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MP PMO\Business Case\"/>
    </mc:Choice>
  </mc:AlternateContent>
  <xr:revisionPtr revIDLastSave="0" documentId="13_ncr:1_{2B2B2766-3ED8-40C1-B6F0-7DC7C9918529}" xr6:coauthVersionLast="47" xr6:coauthVersionMax="47" xr10:uidLastSave="{00000000-0000-0000-0000-000000000000}"/>
  <bookViews>
    <workbookView xWindow="-110" yWindow="-110" windowWidth="19420" windowHeight="11620" firstSheet="1" activeTab="1" xr2:uid="{80F95EEA-1010-411D-A5FE-5420F453EDCB}"/>
  </bookViews>
  <sheets>
    <sheet name="Fleet_Telematry (2 Countries)" sheetId="7" state="hidden" r:id="rId1"/>
    <sheet name="Business Case (UAE_QTR_10)" sheetId="11" r:id="rId2"/>
    <sheet name="Business Case" sheetId="4" state="hidden" r:id="rId3"/>
    <sheet name="Fleet_Telematry (UAE_QTR) (10%)" sheetId="10" r:id="rId4"/>
    <sheet name="Fleet_Telematry (UAE_QTR)" sheetId="9" state="hidden" r:id="rId5"/>
    <sheet name="Fleet_Telematry" sheetId="1" state="hidden" r:id="rId6"/>
    <sheet name="Savings Calculation (Updated)" sheetId="5" r:id="rId7"/>
    <sheet name="Savings Calculation" sheetId="3" state="hidden" r:id="rId8"/>
    <sheet name="Azure Cloud" sheetId="2" r:id="rId9"/>
    <sheet name="Segregatio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5" i="5" s="1"/>
  <c r="H9" i="10"/>
  <c r="D9" i="11"/>
  <c r="D8" i="11"/>
  <c r="C36" i="11"/>
  <c r="P8" i="10"/>
  <c r="P7" i="10"/>
  <c r="P6" i="10"/>
  <c r="E25" i="10"/>
  <c r="E21" i="10"/>
  <c r="E23" i="10"/>
  <c r="M10" i="10" s="1"/>
  <c r="D46" i="10"/>
  <c r="E46" i="10" s="1"/>
  <c r="C6" i="10"/>
  <c r="E6" i="10" s="1"/>
  <c r="C5" i="10"/>
  <c r="E5" i="10" s="1"/>
  <c r="E45" i="10"/>
  <c r="E44" i="10"/>
  <c r="E43" i="10"/>
  <c r="D32" i="10"/>
  <c r="D31" i="10"/>
  <c r="H21" i="10"/>
  <c r="I19" i="10"/>
  <c r="I18" i="10"/>
  <c r="I17" i="10"/>
  <c r="I16" i="10"/>
  <c r="I15" i="10"/>
  <c r="I14" i="10"/>
  <c r="I13" i="10"/>
  <c r="M11" i="10"/>
  <c r="I12" i="10"/>
  <c r="E6" i="9"/>
  <c r="E5" i="9"/>
  <c r="H7" i="9"/>
  <c r="E21" i="9"/>
  <c r="E22" i="9"/>
  <c r="E20" i="9"/>
  <c r="E19" i="9"/>
  <c r="E18" i="9"/>
  <c r="E25" i="9" s="1"/>
  <c r="C32" i="10" l="1"/>
  <c r="E32" i="10" s="1"/>
  <c r="C31" i="10"/>
  <c r="E31" i="10" s="1"/>
  <c r="E34" i="10" s="1"/>
  <c r="D11" i="11" s="1"/>
  <c r="D13" i="11" s="1"/>
  <c r="D21" i="10"/>
  <c r="I21" i="10"/>
  <c r="H7" i="10" s="1"/>
  <c r="M12" i="10" s="1"/>
  <c r="E48" i="10"/>
  <c r="E13" i="10"/>
  <c r="H3" i="10" s="1"/>
  <c r="M6" i="10" s="1"/>
  <c r="E18" i="10"/>
  <c r="E22" i="10"/>
  <c r="P13" i="10" s="1"/>
  <c r="E19" i="10"/>
  <c r="E20" i="10"/>
  <c r="D22" i="10" l="1"/>
  <c r="D18" i="10"/>
  <c r="M7" i="10"/>
  <c r="D20" i="10"/>
  <c r="M9" i="10"/>
  <c r="D19" i="10"/>
  <c r="M8" i="10"/>
  <c r="M13" i="10" l="1"/>
  <c r="H5" i="10"/>
  <c r="G37" i="9" l="1"/>
  <c r="D51" i="9"/>
  <c r="E51" i="9" s="1"/>
  <c r="E50" i="9"/>
  <c r="E49" i="9"/>
  <c r="E48" i="9"/>
  <c r="D34" i="9"/>
  <c r="E34" i="9" s="1"/>
  <c r="D32" i="9"/>
  <c r="E32" i="9" s="1"/>
  <c r="E23" i="9"/>
  <c r="H23" i="9" s="1"/>
  <c r="H21" i="9"/>
  <c r="D21" i="9"/>
  <c r="I18" i="9"/>
  <c r="I17" i="9"/>
  <c r="I16" i="9"/>
  <c r="I15" i="9"/>
  <c r="I14" i="9"/>
  <c r="I13" i="9"/>
  <c r="I12" i="9"/>
  <c r="M11" i="9"/>
  <c r="I11" i="9"/>
  <c r="M10" i="9"/>
  <c r="E53" i="9" l="1"/>
  <c r="I20" i="9"/>
  <c r="M12" i="9" s="1"/>
  <c r="E13" i="9"/>
  <c r="H3" i="9" s="1"/>
  <c r="M6" i="9" s="1"/>
  <c r="E39" i="9"/>
  <c r="F21" i="9"/>
  <c r="F23" i="9"/>
  <c r="F22" i="9" l="1"/>
  <c r="D22" i="9"/>
  <c r="H5" i="9"/>
  <c r="M7" i="9"/>
  <c r="D18" i="9"/>
  <c r="M9" i="9"/>
  <c r="D20" i="9"/>
  <c r="M8" i="9"/>
  <c r="M13" i="9" s="1"/>
  <c r="D19" i="9"/>
  <c r="H9" i="9" l="1"/>
  <c r="J8" i="9" s="1"/>
  <c r="G29" i="9"/>
  <c r="G32" i="9" s="1"/>
  <c r="P13" i="7" l="1"/>
  <c r="P8" i="7"/>
  <c r="P7" i="7"/>
  <c r="P6" i="7"/>
  <c r="H9" i="7"/>
  <c r="I19" i="7"/>
  <c r="I13" i="7"/>
  <c r="I21" i="7" s="1"/>
  <c r="I14" i="7"/>
  <c r="I15" i="7"/>
  <c r="I16" i="7"/>
  <c r="I17" i="7"/>
  <c r="I18" i="7"/>
  <c r="I12" i="7"/>
  <c r="E22" i="7"/>
  <c r="E20" i="7"/>
  <c r="D20" i="7" s="1"/>
  <c r="E19" i="7"/>
  <c r="E18" i="7"/>
  <c r="D51" i="7"/>
  <c r="E51" i="7" s="1"/>
  <c r="E50" i="7"/>
  <c r="E49" i="7"/>
  <c r="E48" i="7"/>
  <c r="E53" i="7" s="1"/>
  <c r="D37" i="7"/>
  <c r="D36" i="7"/>
  <c r="D35" i="7"/>
  <c r="E34" i="7"/>
  <c r="D34" i="7"/>
  <c r="D33" i="7"/>
  <c r="E33" i="7" s="1"/>
  <c r="D32" i="7"/>
  <c r="D31" i="7"/>
  <c r="H23" i="7"/>
  <c r="F23" i="7"/>
  <c r="E23" i="7"/>
  <c r="E21" i="7"/>
  <c r="M11" i="7"/>
  <c r="M10" i="7"/>
  <c r="E8" i="7"/>
  <c r="E7" i="7"/>
  <c r="E13" i="7"/>
  <c r="M13" i="1"/>
  <c r="M12" i="1"/>
  <c r="M11" i="1"/>
  <c r="M10" i="1"/>
  <c r="M9" i="1"/>
  <c r="M8" i="1"/>
  <c r="M7" i="1"/>
  <c r="M6" i="1"/>
  <c r="H7" i="7" l="1"/>
  <c r="M12" i="7" s="1"/>
  <c r="H3" i="7"/>
  <c r="M6" i="7" s="1"/>
  <c r="D19" i="7"/>
  <c r="M8" i="7"/>
  <c r="E39" i="7"/>
  <c r="D21" i="7"/>
  <c r="M9" i="7"/>
  <c r="F21" i="7"/>
  <c r="M7" i="7" l="1"/>
  <c r="D18" i="7"/>
  <c r="E25" i="7"/>
  <c r="F22" i="7"/>
  <c r="D22" i="7"/>
  <c r="M13" i="7"/>
  <c r="H5" i="7" l="1"/>
  <c r="J8" i="7" s="1"/>
  <c r="G29" i="7"/>
  <c r="G32" i="7" s="1"/>
  <c r="H23" i="1" l="1"/>
  <c r="M10" i="5" l="1"/>
  <c r="K10" i="5"/>
  <c r="H10" i="5"/>
  <c r="M7" i="5"/>
  <c r="E51" i="1"/>
  <c r="E50" i="1"/>
  <c r="E49" i="1"/>
  <c r="E48" i="1"/>
  <c r="N16" i="5"/>
  <c r="D26" i="5"/>
  <c r="D25" i="5"/>
  <c r="D24" i="5"/>
  <c r="D23" i="5"/>
  <c r="H20" i="5"/>
  <c r="I20" i="5" s="1"/>
  <c r="K20" i="5" s="1"/>
  <c r="D15" i="5"/>
  <c r="E15" i="5" s="1"/>
  <c r="F15" i="5" s="1"/>
  <c r="H15" i="5" s="1"/>
  <c r="D13" i="5"/>
  <c r="E13" i="5" s="1"/>
  <c r="F13" i="5" s="1"/>
  <c r="H13" i="5" s="1"/>
  <c r="J10" i="5"/>
  <c r="G10" i="5"/>
  <c r="F10" i="5"/>
  <c r="E10" i="5"/>
  <c r="D10" i="5"/>
  <c r="K9" i="5"/>
  <c r="I9" i="5"/>
  <c r="H9" i="5"/>
  <c r="L9" i="5" s="1"/>
  <c r="M9" i="5" s="1"/>
  <c r="K8" i="5"/>
  <c r="I8" i="5"/>
  <c r="L8" i="5" s="1"/>
  <c r="M8" i="5" s="1"/>
  <c r="H8" i="5"/>
  <c r="L7" i="5"/>
  <c r="K7" i="5"/>
  <c r="I7" i="5"/>
  <c r="H7" i="5"/>
  <c r="D7" i="4"/>
  <c r="E7" i="4"/>
  <c r="I7" i="3"/>
  <c r="H7" i="3"/>
  <c r="H7" i="1"/>
  <c r="F7" i="4"/>
  <c r="G7" i="4" s="1"/>
  <c r="H7" i="4" s="1"/>
  <c r="F10" i="4"/>
  <c r="E10" i="4"/>
  <c r="F23" i="1"/>
  <c r="F22" i="1"/>
  <c r="F21" i="1"/>
  <c r="H9" i="1"/>
  <c r="I18" i="1"/>
  <c r="I17" i="1"/>
  <c r="I16" i="1"/>
  <c r="I15" i="1"/>
  <c r="I20" i="1" s="1"/>
  <c r="I14" i="1"/>
  <c r="I13" i="1"/>
  <c r="I12" i="1"/>
  <c r="I11" i="1"/>
  <c r="M14" i="5" l="1"/>
  <c r="N14" i="5" s="1"/>
  <c r="I10" i="5"/>
  <c r="L10" i="5" s="1"/>
  <c r="G10" i="4"/>
  <c r="H10" i="4" s="1"/>
  <c r="H21" i="1"/>
  <c r="C36" i="4"/>
  <c r="E3" i="4"/>
  <c r="F3" i="4" s="1"/>
  <c r="G3" i="4" s="1"/>
  <c r="H3" i="4" s="1"/>
  <c r="E4" i="4"/>
  <c r="F4" i="4" s="1"/>
  <c r="G4" i="4" s="1"/>
  <c r="H4" i="4" s="1"/>
  <c r="E5" i="4"/>
  <c r="F5" i="4" s="1"/>
  <c r="G5" i="4" s="1"/>
  <c r="H5" i="4" s="1"/>
  <c r="D15" i="3" l="1"/>
  <c r="E15" i="3" s="1"/>
  <c r="F15" i="3" s="1"/>
  <c r="H15" i="3" s="1"/>
  <c r="D51" i="1"/>
  <c r="D31" i="1"/>
  <c r="E31" i="1" s="1"/>
  <c r="D13" i="3"/>
  <c r="E13" i="3" s="1"/>
  <c r="F13" i="3" s="1"/>
  <c r="H13" i="3" s="1"/>
  <c r="M14" i="3" s="1"/>
  <c r="N14" i="3" s="1"/>
  <c r="D23" i="3"/>
  <c r="D10" i="2"/>
  <c r="D8" i="2"/>
  <c r="D16" i="2"/>
  <c r="H20" i="3"/>
  <c r="I20" i="3" s="1"/>
  <c r="K20" i="3" s="1"/>
  <c r="D26" i="3"/>
  <c r="D25" i="3"/>
  <c r="D24" i="3"/>
  <c r="J10" i="3"/>
  <c r="G10" i="3"/>
  <c r="F10" i="3"/>
  <c r="E10" i="3"/>
  <c r="D10" i="3"/>
  <c r="K9" i="3"/>
  <c r="I9" i="3"/>
  <c r="H9" i="3"/>
  <c r="K8" i="3"/>
  <c r="I8" i="3"/>
  <c r="H8" i="3"/>
  <c r="K7" i="3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E53" i="1" l="1"/>
  <c r="H10" i="3"/>
  <c r="L9" i="3"/>
  <c r="M9" i="3" s="1"/>
  <c r="L8" i="3"/>
  <c r="M8" i="3" s="1"/>
  <c r="L7" i="3"/>
  <c r="M7" i="3" s="1"/>
  <c r="I10" i="3"/>
  <c r="L10" i="3" s="1"/>
  <c r="M10" i="3" s="1"/>
  <c r="K10" i="3"/>
  <c r="E23" i="1"/>
  <c r="D31" i="2"/>
  <c r="E21" i="1" s="1"/>
  <c r="E11" i="1"/>
  <c r="E10" i="1"/>
  <c r="E9" i="1"/>
  <c r="E8" i="1"/>
  <c r="E7" i="1"/>
  <c r="E6" i="1"/>
  <c r="E5" i="1"/>
  <c r="E20" i="1" l="1"/>
  <c r="E19" i="1"/>
  <c r="E18" i="1"/>
  <c r="D19" i="1"/>
  <c r="D20" i="1"/>
  <c r="E22" i="1"/>
  <c r="D21" i="1"/>
  <c r="E13" i="1"/>
  <c r="D18" i="1" l="1"/>
  <c r="E8" i="4"/>
  <c r="H3" i="1"/>
  <c r="E39" i="1"/>
  <c r="D10" i="4" s="1"/>
  <c r="F8" i="4" l="1"/>
  <c r="E12" i="4"/>
  <c r="D22" i="1"/>
  <c r="E25" i="1"/>
  <c r="G8" i="4" l="1"/>
  <c r="F12" i="4"/>
  <c r="H5" i="1"/>
  <c r="G29" i="1"/>
  <c r="G32" i="1" s="1"/>
  <c r="H8" i="4" l="1"/>
  <c r="H12" i="4" s="1"/>
  <c r="G12" i="4"/>
  <c r="J8" i="1"/>
  <c r="D8" i="4"/>
  <c r="D12" i="4" s="1"/>
</calcChain>
</file>

<file path=xl/sharedStrings.xml><?xml version="1.0" encoding="utf-8"?>
<sst xmlns="http://schemas.openxmlformats.org/spreadsheetml/2006/main" count="601" uniqueCount="223">
  <si>
    <t>Market</t>
  </si>
  <si>
    <t>Total Drivers</t>
  </si>
  <si>
    <t>Unit Price</t>
  </si>
  <si>
    <t>Expected Cost ($ per year)</t>
  </si>
  <si>
    <t>($ per year)</t>
  </si>
  <si>
    <t>Bahrain</t>
  </si>
  <si>
    <t>UAE</t>
  </si>
  <si>
    <t>Kuwait</t>
  </si>
  <si>
    <t>Egypt</t>
  </si>
  <si>
    <t>Oman</t>
  </si>
  <si>
    <t>Qatar</t>
  </si>
  <si>
    <t>KSA</t>
  </si>
  <si>
    <t>Environments</t>
  </si>
  <si>
    <t>Items</t>
  </si>
  <si>
    <t>($ per month)</t>
  </si>
  <si>
    <t>DEV</t>
  </si>
  <si>
    <t>QA</t>
  </si>
  <si>
    <t>UAT</t>
  </si>
  <si>
    <t>PROD</t>
  </si>
  <si>
    <t>DR</t>
  </si>
  <si>
    <t>Estimated Total ALMP Infra Cost</t>
  </si>
  <si>
    <t>Microsoft Azure Estimate</t>
  </si>
  <si>
    <t>Service type</t>
  </si>
  <si>
    <t>Region</t>
  </si>
  <si>
    <t>Description</t>
  </si>
  <si>
    <t>Virtual Machines</t>
  </si>
  <si>
    <t>UAE North</t>
  </si>
  <si>
    <t>1 F8 (8 vCPUs, 16 GB RAM) (1 year reserved), Linux,  (Pay as you go); 1 managed disk – E4, 100 transaction units; Inter Region transfer type, 5 GB outbound data transfer from UAE North to East Asia</t>
  </si>
  <si>
    <t>Azure Kubernetes Service (AKS)</t>
  </si>
  <si>
    <t>4 D8 v3 (8 vCPUs, 32 GB RAM) (1 year reserved), Linux; 4 managed OS disks – E4, 0 clusters</t>
  </si>
  <si>
    <t>Azure Container Registry</t>
  </si>
  <si>
    <t>Premium Tier, 1 registries x 30 days, Geo Replication - 1 regions,  0 GB Extra Storage, Container Build - 1 CPUs x 1 Seconds - Inter Region transfer type, 5 GB outbound data transfer from UAE North to East Asia</t>
  </si>
  <si>
    <t>Kafka Component: 2 D4V2 (8 cores, 28 GB RAM) Head nodes x 730 Hours, 1 D4V2 (8 cores, 28 GB RAM) Region nodes x 730 Hours, 3 D4V2 (8 cores, 28 GB RAM) Zookeeper nodes x 730 Hours, 0 D4V2 (8 cores, 28 GB RAM) Edge nodes x 730 Hours, 0 Standard disks</t>
  </si>
  <si>
    <t>API Management</t>
  </si>
  <si>
    <t>Premium tier, 1 base unit x 730 Hours, 0 additional units</t>
  </si>
  <si>
    <t>Azure Database for PostgreSQL</t>
  </si>
  <si>
    <t>Flexible Server Deployment, General Purpose Tier, 2 D8 v4 (8 vCores) (1 year reserved), 5 GB Storage, 0 GB Additional Backup storage - LRS redundancy, without High Availability</t>
  </si>
  <si>
    <t>Azure Private Link</t>
  </si>
  <si>
    <t>1 Endpoints X 730 Hours, 100 GB Outbound data processed, 100 GB Inbound data processed</t>
  </si>
  <si>
    <t>Key Vault</t>
  </si>
  <si>
    <t>Vault: 1 operations, 1 advanced operations, 1 renewals, 0 protected keys, 0 advanced protected keys; Managed HSM Pools: 0 Standard B1 HSM Pool(s) x 730 Hours</t>
  </si>
  <si>
    <t>Azure Cache for Redis</t>
  </si>
  <si>
    <t>Standard tier; 1 C0 instances, 730 Hours</t>
  </si>
  <si>
    <t>Azure Policy</t>
  </si>
  <si>
    <t>Azure Policy guest configuration, 1 Servers</t>
  </si>
  <si>
    <t>Storage Accounts</t>
  </si>
  <si>
    <t>Block Blob Storage, General Purpose V2, LRS Redundancy, Hot Access Tier, 1 TB Capacity - Pay as you go, 10 x 10,000 Write operations, 10 x 10,000 List and Create Container Operations, 10 x 10,000 Read operations, 100,000 Archive High Priority Read, 1 x 10,000 Other operations. 1,000 GB Data Retrieval, 1,000 GB Archive High Priority Retrieval, 1,000 GB Data Write</t>
  </si>
  <si>
    <t>Azure Monitor</t>
  </si>
  <si>
    <t>Log analytics: 0.2 GB Daily logs ingested; Application Insights: 0.2 GB Daily logs ingested, 3 months Data retention, 0 Multi-step Web Tests; 0 resources monitored X 1 metric time-series monitored per resource, 0 Log Alerts at 5 Minutes Frequency, 0 Additional events, 0 Additional emails, 0 Additional push notifications, 0 Additional web hooks (in millions)</t>
  </si>
  <si>
    <t>Load Balancer</t>
  </si>
  <si>
    <t>Standard Tier: 5 Rules, 1,000 GB Data Processed</t>
  </si>
  <si>
    <t>Virtual Network</t>
  </si>
  <si>
    <t>UAE North (Virtual Network 1): 100 GB Outbound Data Transfer; UAE North (Virtual Network 2): 100 GB Outbound Data Transfer</t>
  </si>
  <si>
    <t>Application Gateway</t>
  </si>
  <si>
    <t>Web Application Firewall V2 tier, 730 Fixed gateway Hours, 5 GB Data transfer</t>
  </si>
  <si>
    <t>IP Addresses</t>
  </si>
  <si>
    <t>0 Dynamic IP Addresses, 2 Static IP Addresses</t>
  </si>
  <si>
    <t>VPN Gateway</t>
  </si>
  <si>
    <t>VPN Gateways, VpnGw2 tier, 730 gateway hour(s), 21 S2S tunnels, 128 P2S tunnels, 0 GB, VPN VPN gateway type</t>
  </si>
  <si>
    <t>Bandwidth</t>
  </si>
  <si>
    <t>Internet egress, 500 GB outbound data transfer from UAE North routed via Public Internet</t>
  </si>
  <si>
    <t>Azure Site Recovery</t>
  </si>
  <si>
    <t>0 Customer instances, 1 Azure instances</t>
  </si>
  <si>
    <t>Static Web Apps</t>
  </si>
  <si>
    <t>Central US</t>
  </si>
  <si>
    <t>Standard tier, 1 app, 0 GB of Bandwidth overages</t>
  </si>
  <si>
    <t>Azure Communication Services</t>
  </si>
  <si>
    <t>East US</t>
  </si>
  <si>
    <t>0 local and 0 toll-free United States (+1) phone number(s); 1 reoccurring call(s) (30 minutes X 0 call(s) per month X 0 participants per call), 10 chat users X 1000 message(s) sent per chat user, 0 connections X 0 minutes per connection X 1 Mbps upload speed</t>
  </si>
  <si>
    <t>Support</t>
  </si>
  <si>
    <t>Licensing Program</t>
  </si>
  <si>
    <t>Microsoft Online Services Agreement</t>
  </si>
  <si>
    <t>Total</t>
  </si>
  <si>
    <t>Confluent Cluster</t>
  </si>
  <si>
    <t>Estimated monthly cost ($)</t>
  </si>
  <si>
    <t>Countries</t>
  </si>
  <si>
    <t>Annual Savings in $</t>
  </si>
  <si>
    <t>Orders Per Month</t>
  </si>
  <si>
    <t>Estimated Total Cost Savings</t>
  </si>
  <si>
    <t>Savings Per Order ($)</t>
  </si>
  <si>
    <t>GPS Device Cost Market Wise</t>
  </si>
  <si>
    <t>Estimated Cost Savings Market Wise</t>
  </si>
  <si>
    <t>With No Tracker</t>
  </si>
  <si>
    <t>With Tracker</t>
  </si>
  <si>
    <t>Additional Feature</t>
  </si>
  <si>
    <t>Fuel price per litre - 0.14 BD/L</t>
  </si>
  <si>
    <t>Bike #</t>
  </si>
  <si>
    <t>Fuel Consumption July (L)</t>
  </si>
  <si>
    <t>Fuel Consumption Aug (L)</t>
  </si>
  <si>
    <t>Orders Delivered July</t>
  </si>
  <si>
    <t>Orders Delivered Aug</t>
  </si>
  <si>
    <t>July L/Order</t>
  </si>
  <si>
    <t>Aug L/Order</t>
  </si>
  <si>
    <t>Aug Mileage</t>
  </si>
  <si>
    <t>L/KM</t>
  </si>
  <si>
    <t>Var L/Order</t>
  </si>
  <si>
    <t>Saving/Order (0.140)</t>
  </si>
  <si>
    <t>Momin</t>
  </si>
  <si>
    <t>Uzaal</t>
  </si>
  <si>
    <t>Anil</t>
  </si>
  <si>
    <t>BAH</t>
  </si>
  <si>
    <t>30 Days</t>
  </si>
  <si>
    <t>A FOC trial was conducted in BAH with one of the partners, below is summary</t>
  </si>
  <si>
    <t>Savings per order</t>
  </si>
  <si>
    <t>#Orders per month</t>
  </si>
  <si>
    <t>Savings per month</t>
  </si>
  <si>
    <t>Annual Savings (in BD)</t>
  </si>
  <si>
    <t>Exchange Rate BD-USD</t>
  </si>
  <si>
    <r>
      <t xml:space="preserve">In addition to above, GPS trackers will also help reduce Stolen Bikes. FY21 – 7 Bikes, FY22 – 4 Bikes, FY23 – 3 Bikes amount </t>
    </r>
    <r>
      <rPr>
        <sz val="9"/>
        <color rgb="FFFF0000"/>
        <rFont val="Calibri"/>
        <family val="2"/>
        <scheme val="minor"/>
      </rPr>
      <t>13K$</t>
    </r>
    <r>
      <rPr>
        <sz val="9"/>
        <color rgb="FF000000"/>
        <rFont val="Calibri"/>
        <family val="2"/>
        <scheme val="minor"/>
      </rPr>
      <t xml:space="preserve">  </t>
    </r>
  </si>
  <si>
    <t>3 BD/Driver/Month</t>
  </si>
  <si>
    <t>2.5 BD/Device/month</t>
  </si>
  <si>
    <t>0.5 BD/Device/month</t>
  </si>
  <si>
    <t>#Count</t>
  </si>
  <si>
    <t>BD</t>
  </si>
  <si>
    <t>Bikes Stolen</t>
  </si>
  <si>
    <t>Savings per day</t>
  </si>
  <si>
    <t>Additional Savings:</t>
  </si>
  <si>
    <t>Beyond Cost Benefits:</t>
  </si>
  <si>
    <t>Improved safety and compliance</t>
  </si>
  <si>
    <t>Reduced fuel costs</t>
  </si>
  <si>
    <t>Lower overall operational costs</t>
  </si>
  <si>
    <t>Increased productivity</t>
  </si>
  <si>
    <t>Better communication</t>
  </si>
  <si>
    <t>Americana | ALMP on Azure Cloud - BoQ</t>
  </si>
  <si>
    <t>ALMP CLOUD DEV ENVIRONMENT (CAPEX)</t>
  </si>
  <si>
    <t>ALMP CLOUD QA ENVIRONMENT (CAPEX)</t>
  </si>
  <si>
    <t>ALMP CLOUD UAT ENVIRONMENT (CAPEX)</t>
  </si>
  <si>
    <t>ALMP CLOUD PROD ENVIRONENT (OPEX)</t>
  </si>
  <si>
    <t>ALMP CLOUD DR ENVIRONMENT (OPEX)</t>
  </si>
  <si>
    <t>Google Maps, Monitoring, Atlassian, Confluent, API etc. (CAPEX+OPEX)</t>
  </si>
  <si>
    <t>Licenses &amp; APIs</t>
  </si>
  <si>
    <t>Cloud Infra and Licenses Cost</t>
  </si>
  <si>
    <t>Estimated Total Device Cost (per year)</t>
  </si>
  <si>
    <t>Estimated Total ALMP Infra Cost (per year)</t>
  </si>
  <si>
    <t>Estimated Total Cost of Fleet Management System</t>
  </si>
  <si>
    <t>Estimated Total Rollout Cost</t>
  </si>
  <si>
    <t>Total Estimated Cost of Delivery</t>
  </si>
  <si>
    <t>S. No.</t>
  </si>
  <si>
    <t>Year of Theft</t>
  </si>
  <si>
    <t>Total Theft</t>
  </si>
  <si>
    <t>FY-21</t>
  </si>
  <si>
    <t>FY-22</t>
  </si>
  <si>
    <t>FY-23</t>
  </si>
  <si>
    <t>Estimated Vehicle Cost</t>
  </si>
  <si>
    <t>Estimated Cost Savings on Vehicles Theft</t>
  </si>
  <si>
    <r>
      <t xml:space="preserve">* In addition to above, GPS trackers will also help reduce Stolen Bikes. FY21 – 7 Bikes, FY22 – 4 Bikes, FY23 – 3 Bikes amount </t>
    </r>
    <r>
      <rPr>
        <sz val="10"/>
        <color rgb="FFFF0000"/>
        <rFont val="Calibri"/>
        <family val="2"/>
        <scheme val="minor"/>
      </rPr>
      <t>13K$</t>
    </r>
    <r>
      <rPr>
        <sz val="10"/>
        <color rgb="FF000000"/>
        <rFont val="Calibri"/>
        <family val="2"/>
        <scheme val="minor"/>
      </rPr>
      <t xml:space="preserve">  </t>
    </r>
  </si>
  <si>
    <t>Note: IoT device connectivity cost will be additional based on market.</t>
  </si>
  <si>
    <t>*Need to align with Ajay</t>
  </si>
  <si>
    <t>Estimated cost of full stack IoT integration engineer</t>
  </si>
  <si>
    <t>FY-24</t>
  </si>
  <si>
    <t>Total Estimated Cost of Theft Vehicles (Last Four Years)</t>
  </si>
  <si>
    <t>Business Case Value</t>
  </si>
  <si>
    <t xml:space="preserve">Assumptions </t>
  </si>
  <si>
    <t>200 Delivery NSO YOY</t>
  </si>
  <si>
    <t>Transactions(Mn)</t>
  </si>
  <si>
    <t>15% Transaction Growth-YOY</t>
  </si>
  <si>
    <t>Drivers with Smart IoT Enabled</t>
  </si>
  <si>
    <t>14% Driver Increase - YoY</t>
  </si>
  <si>
    <t>5% increase in infra cost YoY</t>
  </si>
  <si>
    <t>Full Stack IOT Lead Engineer</t>
  </si>
  <si>
    <t>Resource Name</t>
  </si>
  <si>
    <t>Unit Price ($)</t>
  </si>
  <si>
    <t>Total Cost ($)</t>
  </si>
  <si>
    <t>DB Admin</t>
  </si>
  <si>
    <t>QA - Functional</t>
  </si>
  <si>
    <t>QA - Performance</t>
  </si>
  <si>
    <t>Azure Infra Lead</t>
  </si>
  <si>
    <t>Security Engineer</t>
  </si>
  <si>
    <t>Project Manager</t>
  </si>
  <si>
    <t>UI/UX Designer</t>
  </si>
  <si>
    <t>Estimated Total Development Team Cost</t>
  </si>
  <si>
    <t>Stores</t>
  </si>
  <si>
    <t>GPS Trackers Installed</t>
  </si>
  <si>
    <t>Country</t>
  </si>
  <si>
    <t>Trial Duration</t>
  </si>
  <si>
    <t>Driver
Name</t>
  </si>
  <si>
    <t>Trial Month</t>
  </si>
  <si>
    <t>ROI</t>
  </si>
  <si>
    <t>Estimated Smart IoT Device Cost</t>
  </si>
  <si>
    <t>Estimated Infra, people and rollout cost with ALMP</t>
  </si>
  <si>
    <t>15% savings increase YoY</t>
  </si>
  <si>
    <t>Estimated Cost Savings with Fleet Management and Telematics (FMT)</t>
  </si>
  <si>
    <t>Net Cost Savings with Fleet Management and Telematics (FMT)</t>
  </si>
  <si>
    <t>HD Stores</t>
  </si>
  <si>
    <t>20% AMC and New Device Cost</t>
  </si>
  <si>
    <t>per bike</t>
  </si>
  <si>
    <t>800 BD</t>
  </si>
  <si>
    <t>Loss of bike</t>
  </si>
  <si>
    <t>per bike loss</t>
  </si>
  <si>
    <t>Jul</t>
  </si>
  <si>
    <t>Aug</t>
  </si>
  <si>
    <t>Device</t>
  </si>
  <si>
    <t>Dev</t>
  </si>
  <si>
    <t>Licenses</t>
  </si>
  <si>
    <t>Rollout</t>
  </si>
  <si>
    <t>Team</t>
  </si>
  <si>
    <t>CAPEX</t>
  </si>
  <si>
    <t>Total Cost</t>
  </si>
  <si>
    <t>Opex</t>
  </si>
  <si>
    <t xml:space="preserve">Dheeraj Pant </t>
  </si>
  <si>
    <t>Expense &amp; fuel management system
- off shift &amp; On shift fleet tracking
- Driver &amp; Vehicle wise fleet efficiency Monitoring
- fleet wise Productivity(Utilization vs expenses)
- Complaint management system</t>
  </si>
  <si>
    <t xml:space="preserve">Americana IOT
</t>
  </si>
  <si>
    <t>IOT Integration with Vehicle
- Asset Utilization
- Driver Behavior Monitoring
- Driver safety (DHS), trainings &amp; crash alerts
- On-trip &amp; off-trip Monitoring
- Green Points Strategy for Riders</t>
  </si>
  <si>
    <r>
      <rPr>
        <sz val="13"/>
        <rFont val="Calibri"/>
        <family val="2"/>
        <scheme val="minor"/>
      </rPr>
      <t xml:space="preserve">Fleet Management Module
</t>
    </r>
  </si>
  <si>
    <t>Cloud Infra and Licenses Cost for IoT Integration with ALMP</t>
  </si>
  <si>
    <t>* Improved safety and compliance</t>
  </si>
  <si>
    <t>* Reduced fuel costs</t>
  </si>
  <si>
    <t>* Lower overall operational costs</t>
  </si>
  <si>
    <t>* Increased productivity</t>
  </si>
  <si>
    <t>* Better communication</t>
  </si>
  <si>
    <t>OPEX</t>
  </si>
  <si>
    <t>Total Estimated Cost of Delivery (Without Device)</t>
  </si>
  <si>
    <t>Americana IoT-PoC Project Business Case</t>
  </si>
  <si>
    <t>1. Americana IoT project will be started with UAE and Qatar with 10% drivers in initiate with for 6 months in FY-24 and based on the review the data and
results will be next 50% in UAE and Qatar markets.</t>
  </si>
  <si>
    <t>2. IoT device connectivity cost will be additional based on market.</t>
  </si>
  <si>
    <t>3. The Americana PoC project start time will be Feb 24 and revivewed in August 24 for additional 50% project scope in UAE and QATAR markets.</t>
  </si>
  <si>
    <t>FY-2024</t>
  </si>
  <si>
    <t>FY-2025</t>
  </si>
  <si>
    <t>FY-2026</t>
  </si>
  <si>
    <t>FY-2027</t>
  </si>
  <si>
    <t>FY-2028</t>
  </si>
  <si>
    <t>IoT Device Cost Market Wise</t>
  </si>
  <si>
    <t>Estimated Total Cost of Americana IoT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</si>
</sst>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#,##0.000_);\(#,##0.000\)"/>
    <numFmt numFmtId="166" formatCode="0.000"/>
    <numFmt numFmtId="167" formatCode="0.0000"/>
    <numFmt numFmtId="168" formatCode="&quot;$&quot;#,##0.00"/>
    <numFmt numFmtId="169" formatCode="&quot;$&quot;#,##0"/>
    <numFmt numFmtId="170" formatCode="_(&quot;AED&quot;* #,##0.00_);_(&quot;AED&quot;* \(#,##0.00\);_(&quot;AED&quot;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i/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i/>
      <sz val="10"/>
      <color rgb="FF000000"/>
      <name val="Calibri"/>
      <family val="2"/>
      <scheme val="minor"/>
    </font>
    <font>
      <b/>
      <sz val="8"/>
      <color rgb="FF00B050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6"/>
      <color theme="4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8F5A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5">
    <xf numFmtId="0" fontId="0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0" fillId="12" borderId="15" applyNumberFormat="0" applyAlignment="0" applyProtection="0"/>
    <xf numFmtId="170" fontId="27" fillId="0" borderId="0" applyFont="0" applyFill="0" applyBorder="0" applyAlignment="0" applyProtection="0"/>
  </cellStyleXfs>
  <cellXfs count="135">
    <xf numFmtId="0" fontId="0" fillId="0" borderId="0" xfId="0"/>
    <xf numFmtId="17" fontId="0" fillId="0" borderId="0" xfId="0" applyNumberFormat="1"/>
    <xf numFmtId="16" fontId="0" fillId="0" borderId="0" xfId="0" applyNumberFormat="1"/>
    <xf numFmtId="164" fontId="0" fillId="0" borderId="0" xfId="0" applyNumberFormat="1"/>
    <xf numFmtId="6" fontId="0" fillId="0" borderId="0" xfId="0" applyNumberForma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readingOrder="1"/>
    </xf>
    <xf numFmtId="0" fontId="6" fillId="5" borderId="11" xfId="0" applyFont="1" applyFill="1" applyBorder="1" applyAlignment="1">
      <alignment horizontal="center" vertical="center" wrapText="1" readingOrder="1"/>
    </xf>
    <xf numFmtId="0" fontId="6" fillId="5" borderId="12" xfId="0" applyFont="1" applyFill="1" applyBorder="1" applyAlignment="1">
      <alignment horizontal="center" vertical="center" wrapText="1" readingOrder="1"/>
    </xf>
    <xf numFmtId="8" fontId="6" fillId="5" borderId="12" xfId="0" applyNumberFormat="1" applyFont="1" applyFill="1" applyBorder="1" applyAlignment="1">
      <alignment horizontal="center" vertical="center" wrapText="1" readingOrder="1"/>
    </xf>
    <xf numFmtId="6" fontId="10" fillId="5" borderId="13" xfId="0" applyNumberFormat="1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0" fontId="13" fillId="2" borderId="0" xfId="0" applyFont="1" applyFill="1" applyAlignment="1">
      <alignment wrapText="1"/>
    </xf>
    <xf numFmtId="0" fontId="13" fillId="2" borderId="0" xfId="0" applyFont="1" applyFill="1"/>
    <xf numFmtId="8" fontId="14" fillId="0" borderId="0" xfId="0" applyNumberFormat="1" applyFont="1"/>
    <xf numFmtId="0" fontId="13" fillId="0" borderId="0" xfId="0" applyFont="1" applyAlignment="1">
      <alignment wrapText="1"/>
    </xf>
    <xf numFmtId="0" fontId="13" fillId="0" borderId="6" xfId="0" applyFont="1" applyBorder="1" applyAlignment="1">
      <alignment wrapText="1"/>
    </xf>
    <xf numFmtId="8" fontId="13" fillId="0" borderId="6" xfId="0" applyNumberFormat="1" applyFont="1" applyBorder="1"/>
    <xf numFmtId="0" fontId="0" fillId="0" borderId="7" xfId="0" applyBorder="1"/>
    <xf numFmtId="0" fontId="3" fillId="6" borderId="3" xfId="0" applyFont="1" applyFill="1" applyBorder="1" applyAlignment="1">
      <alignment horizontal="justify" vertical="center" wrapText="1"/>
    </xf>
    <xf numFmtId="37" fontId="3" fillId="6" borderId="4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justify" vertical="center" wrapText="1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5" fillId="6" borderId="5" xfId="0" applyFont="1" applyFill="1" applyBorder="1" applyAlignment="1">
      <alignment horizontal="right"/>
    </xf>
    <xf numFmtId="6" fontId="5" fillId="6" borderId="5" xfId="0" applyNumberFormat="1" applyFont="1" applyFill="1" applyBorder="1"/>
    <xf numFmtId="165" fontId="3" fillId="6" borderId="4" xfId="0" applyNumberFormat="1" applyFont="1" applyFill="1" applyBorder="1" applyAlignment="1">
      <alignment horizontal="center" vertical="center" wrapText="1"/>
    </xf>
    <xf numFmtId="37" fontId="3" fillId="6" borderId="4" xfId="0" applyNumberFormat="1" applyFont="1" applyFill="1" applyBorder="1" applyAlignment="1">
      <alignment horizontal="right" vertical="center" wrapText="1"/>
    </xf>
    <xf numFmtId="164" fontId="5" fillId="6" borderId="5" xfId="0" applyNumberFormat="1" applyFont="1" applyFill="1" applyBorder="1"/>
    <xf numFmtId="0" fontId="2" fillId="7" borderId="2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15" fillId="6" borderId="0" xfId="0" applyFont="1" applyFill="1"/>
    <xf numFmtId="0" fontId="15" fillId="6" borderId="7" xfId="0" applyFont="1" applyFill="1" applyBorder="1"/>
    <xf numFmtId="164" fontId="15" fillId="6" borderId="7" xfId="0" applyNumberFormat="1" applyFont="1" applyFill="1" applyBorder="1" applyAlignment="1">
      <alignment horizontal="right"/>
    </xf>
    <xf numFmtId="164" fontId="5" fillId="6" borderId="5" xfId="0" applyNumberFormat="1" applyFont="1" applyFill="1" applyBorder="1" applyAlignment="1">
      <alignment horizontal="right"/>
    </xf>
    <xf numFmtId="0" fontId="15" fillId="6" borderId="0" xfId="0" applyFont="1" applyFill="1" applyAlignment="1">
      <alignment horizontal="center"/>
    </xf>
    <xf numFmtId="164" fontId="15" fillId="6" borderId="0" xfId="0" applyNumberFormat="1" applyFont="1" applyFill="1"/>
    <xf numFmtId="6" fontId="15" fillId="6" borderId="0" xfId="0" applyNumberFormat="1" applyFont="1" applyFill="1"/>
    <xf numFmtId="0" fontId="16" fillId="6" borderId="0" xfId="0" applyFont="1" applyFill="1" applyAlignment="1">
      <alignment horizontal="left" vertical="center" readingOrder="1"/>
    </xf>
    <xf numFmtId="0" fontId="18" fillId="6" borderId="3" xfId="0" applyFont="1" applyFill="1" applyBorder="1" applyAlignment="1">
      <alignment horizontal="justify" vertical="center" wrapText="1"/>
    </xf>
    <xf numFmtId="37" fontId="18" fillId="6" borderId="4" xfId="0" applyNumberFormat="1" applyFont="1" applyFill="1" applyBorder="1" applyAlignment="1">
      <alignment horizontal="center" vertical="center" wrapText="1"/>
    </xf>
    <xf numFmtId="164" fontId="18" fillId="6" borderId="4" xfId="0" applyNumberFormat="1" applyFont="1" applyFill="1" applyBorder="1" applyAlignment="1">
      <alignment horizontal="justify" vertical="center" wrapText="1"/>
    </xf>
    <xf numFmtId="0" fontId="19" fillId="6" borderId="0" xfId="0" applyFont="1" applyFill="1"/>
    <xf numFmtId="0" fontId="19" fillId="6" borderId="0" xfId="0" applyFont="1" applyFill="1" applyAlignment="1">
      <alignment horizontal="center"/>
    </xf>
    <xf numFmtId="6" fontId="20" fillId="6" borderId="5" xfId="0" applyNumberFormat="1" applyFont="1" applyFill="1" applyBorder="1"/>
    <xf numFmtId="0" fontId="20" fillId="6" borderId="0" xfId="0" applyFont="1" applyFill="1" applyAlignment="1">
      <alignment horizontal="right"/>
    </xf>
    <xf numFmtId="6" fontId="20" fillId="6" borderId="0" xfId="0" applyNumberFormat="1" applyFont="1" applyFill="1"/>
    <xf numFmtId="0" fontId="20" fillId="6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6" fontId="5" fillId="6" borderId="0" xfId="0" applyNumberFormat="1" applyFont="1" applyFill="1"/>
    <xf numFmtId="0" fontId="15" fillId="6" borderId="0" xfId="0" applyFont="1" applyFill="1" applyAlignment="1">
      <alignment horizontal="right"/>
    </xf>
    <xf numFmtId="8" fontId="15" fillId="6" borderId="0" xfId="0" applyNumberFormat="1" applyFont="1" applyFill="1"/>
    <xf numFmtId="0" fontId="15" fillId="6" borderId="7" xfId="0" applyFont="1" applyFill="1" applyBorder="1" applyAlignment="1">
      <alignment horizontal="justify" vertical="center" wrapText="1"/>
    </xf>
    <xf numFmtId="164" fontId="15" fillId="6" borderId="7" xfId="0" applyNumberFormat="1" applyFont="1" applyFill="1" applyBorder="1" applyAlignment="1">
      <alignment horizontal="right" vertical="center" wrapText="1"/>
    </xf>
    <xf numFmtId="0" fontId="3" fillId="6" borderId="7" xfId="0" applyFont="1" applyFill="1" applyBorder="1" applyAlignment="1">
      <alignment horizontal="justify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37" fontId="3" fillId="6" borderId="7" xfId="0" applyNumberFormat="1" applyFont="1" applyFill="1" applyBorder="1" applyAlignment="1">
      <alignment horizontal="right" vertical="center" wrapText="1"/>
    </xf>
    <xf numFmtId="164" fontId="3" fillId="6" borderId="7" xfId="0" applyNumberFormat="1" applyFont="1" applyFill="1" applyBorder="1" applyAlignment="1">
      <alignment horizontal="justify" vertical="center" wrapText="1"/>
    </xf>
    <xf numFmtId="8" fontId="6" fillId="5" borderId="11" xfId="0" applyNumberFormat="1" applyFont="1" applyFill="1" applyBorder="1" applyAlignment="1">
      <alignment horizontal="center" vertical="center" wrapText="1" readingOrder="1"/>
    </xf>
    <xf numFmtId="0" fontId="21" fillId="8" borderId="7" xfId="0" applyFont="1" applyFill="1" applyBorder="1" applyAlignment="1">
      <alignment horizontal="left" wrapText="1" readingOrder="1"/>
    </xf>
    <xf numFmtId="0" fontId="22" fillId="0" borderId="7" xfId="0" applyFont="1" applyBorder="1"/>
    <xf numFmtId="0" fontId="6" fillId="9" borderId="7" xfId="0" applyFont="1" applyFill="1" applyBorder="1" applyAlignment="1">
      <alignment horizontal="left" wrapText="1" readingOrder="1"/>
    </xf>
    <xf numFmtId="0" fontId="6" fillId="3" borderId="7" xfId="0" applyFont="1" applyFill="1" applyBorder="1" applyAlignment="1">
      <alignment horizontal="left" vertical="top" wrapText="1" readingOrder="1"/>
    </xf>
    <xf numFmtId="0" fontId="1" fillId="0" borderId="0" xfId="0" applyFont="1"/>
    <xf numFmtId="0" fontId="6" fillId="8" borderId="7" xfId="0" applyFont="1" applyFill="1" applyBorder="1" applyAlignment="1">
      <alignment wrapText="1" readingOrder="1"/>
    </xf>
    <xf numFmtId="1" fontId="6" fillId="8" borderId="7" xfId="0" applyNumberFormat="1" applyFont="1" applyFill="1" applyBorder="1" applyAlignment="1">
      <alignment wrapText="1" readingOrder="1"/>
    </xf>
    <xf numFmtId="4" fontId="6" fillId="8" borderId="7" xfId="0" applyNumberFormat="1" applyFont="1" applyFill="1" applyBorder="1" applyAlignment="1">
      <alignment wrapText="1" readingOrder="1"/>
    </xf>
    <xf numFmtId="2" fontId="22" fillId="0" borderId="7" xfId="0" applyNumberFormat="1" applyFont="1" applyBorder="1"/>
    <xf numFmtId="1" fontId="22" fillId="0" borderId="7" xfId="0" applyNumberFormat="1" applyFont="1" applyBorder="1"/>
    <xf numFmtId="164" fontId="6" fillId="9" borderId="7" xfId="0" applyNumberFormat="1" applyFont="1" applyFill="1" applyBorder="1" applyAlignment="1">
      <alignment wrapText="1" readingOrder="1"/>
    </xf>
    <xf numFmtId="164" fontId="6" fillId="3" borderId="7" xfId="0" applyNumberFormat="1" applyFont="1" applyFill="1" applyBorder="1" applyAlignment="1">
      <alignment vertical="top" wrapText="1" readingOrder="1"/>
    </xf>
    <xf numFmtId="0" fontId="5" fillId="7" borderId="7" xfId="0" applyFont="1" applyFill="1" applyBorder="1"/>
    <xf numFmtId="164" fontId="15" fillId="6" borderId="7" xfId="0" applyNumberFormat="1" applyFont="1" applyFill="1" applyBorder="1"/>
    <xf numFmtId="164" fontId="15" fillId="6" borderId="5" xfId="0" applyNumberFormat="1" applyFont="1" applyFill="1" applyBorder="1" applyAlignment="1">
      <alignment horizontal="right"/>
    </xf>
    <xf numFmtId="0" fontId="23" fillId="4" borderId="7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24" fillId="3" borderId="7" xfId="0" applyFont="1" applyFill="1" applyBorder="1" applyAlignment="1">
      <alignment horizontal="center"/>
    </xf>
    <xf numFmtId="166" fontId="24" fillId="0" borderId="7" xfId="0" applyNumberFormat="1" applyFont="1" applyBorder="1" applyAlignment="1">
      <alignment horizontal="center"/>
    </xf>
    <xf numFmtId="166" fontId="24" fillId="3" borderId="7" xfId="0" applyNumberFormat="1" applyFont="1" applyFill="1" applyBorder="1" applyAlignment="1">
      <alignment horizontal="center"/>
    </xf>
    <xf numFmtId="167" fontId="24" fillId="0" borderId="7" xfId="0" applyNumberFormat="1" applyFont="1" applyBorder="1" applyAlignment="1">
      <alignment horizontal="center"/>
    </xf>
    <xf numFmtId="167" fontId="24" fillId="0" borderId="7" xfId="0" applyNumberFormat="1" applyFont="1" applyBorder="1" applyAlignment="1">
      <alignment horizontal="center" wrapText="1"/>
    </xf>
    <xf numFmtId="167" fontId="24" fillId="3" borderId="7" xfId="0" applyNumberFormat="1" applyFont="1" applyFill="1" applyBorder="1" applyAlignment="1">
      <alignment horizontal="center" wrapText="1"/>
    </xf>
    <xf numFmtId="0" fontId="25" fillId="3" borderId="11" xfId="0" applyFont="1" applyFill="1" applyBorder="1" applyAlignment="1">
      <alignment horizontal="center" vertical="center" wrapText="1" readingOrder="1"/>
    </xf>
    <xf numFmtId="0" fontId="25" fillId="3" borderId="12" xfId="0" applyFont="1" applyFill="1" applyBorder="1" applyAlignment="1">
      <alignment horizontal="center" vertical="center" wrapText="1" readingOrder="1"/>
    </xf>
    <xf numFmtId="0" fontId="25" fillId="3" borderId="13" xfId="0" applyFont="1" applyFill="1" applyBorder="1" applyAlignment="1">
      <alignment horizontal="center" vertical="center" wrapText="1" readingOrder="1"/>
    </xf>
    <xf numFmtId="8" fontId="0" fillId="0" borderId="0" xfId="0" applyNumberFormat="1"/>
    <xf numFmtId="0" fontId="8" fillId="6" borderId="7" xfId="0" applyFont="1" applyFill="1" applyBorder="1" applyAlignment="1">
      <alignment horizontal="center" vertical="center" wrapText="1" readingOrder="1"/>
    </xf>
    <xf numFmtId="16" fontId="8" fillId="6" borderId="7" xfId="0" applyNumberFormat="1" applyFont="1" applyFill="1" applyBorder="1" applyAlignment="1">
      <alignment horizontal="center" vertical="center" wrapText="1" readingOrder="1"/>
    </xf>
    <xf numFmtId="0" fontId="26" fillId="7" borderId="7" xfId="0" applyFont="1" applyFill="1" applyBorder="1" applyAlignment="1">
      <alignment horizontal="center" vertical="center" wrapText="1" readingOrder="1"/>
    </xf>
    <xf numFmtId="0" fontId="21" fillId="11" borderId="7" xfId="0" applyFont="1" applyFill="1" applyBorder="1" applyAlignment="1">
      <alignment horizontal="center" wrapText="1" readingOrder="1"/>
    </xf>
    <xf numFmtId="0" fontId="6" fillId="10" borderId="14" xfId="0" applyFont="1" applyFill="1" applyBorder="1" applyAlignment="1">
      <alignment horizontal="left" vertical="top" wrapText="1" readingOrder="1"/>
    </xf>
    <xf numFmtId="164" fontId="21" fillId="10" borderId="14" xfId="0" applyNumberFormat="1" applyFont="1" applyFill="1" applyBorder="1" applyAlignment="1">
      <alignment vertical="top" wrapText="1" readingOrder="1"/>
    </xf>
    <xf numFmtId="164" fontId="25" fillId="9" borderId="7" xfId="0" applyNumberFormat="1" applyFont="1" applyFill="1" applyBorder="1" applyAlignment="1">
      <alignment wrapText="1" readingOrder="1"/>
    </xf>
    <xf numFmtId="0" fontId="0" fillId="0" borderId="0" xfId="0" applyAlignment="1">
      <alignment horizontal="center"/>
    </xf>
    <xf numFmtId="44" fontId="0" fillId="0" borderId="0" xfId="1" applyFont="1"/>
    <xf numFmtId="44" fontId="15" fillId="6" borderId="0" xfId="1" applyFont="1" applyFill="1"/>
    <xf numFmtId="0" fontId="2" fillId="6" borderId="3" xfId="0" applyFont="1" applyFill="1" applyBorder="1" applyAlignment="1">
      <alignment horizontal="justify" vertical="center" wrapText="1"/>
    </xf>
    <xf numFmtId="37" fontId="2" fillId="6" borderId="4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justify" vertical="center" wrapText="1"/>
    </xf>
    <xf numFmtId="0" fontId="15" fillId="6" borderId="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28" fillId="0" borderId="16" xfId="0" applyFont="1" applyBorder="1" applyAlignment="1">
      <alignment horizontal="left" vertical="center" wrapText="1" indent="8"/>
    </xf>
    <xf numFmtId="0" fontId="28" fillId="0" borderId="16" xfId="0" applyFont="1" applyBorder="1" applyAlignment="1">
      <alignment horizontal="left" vertical="center"/>
    </xf>
    <xf numFmtId="167" fontId="6" fillId="5" borderId="11" xfId="0" applyNumberFormat="1" applyFont="1" applyFill="1" applyBorder="1" applyAlignment="1">
      <alignment horizontal="center" vertical="center" wrapText="1" readingOrder="1"/>
    </xf>
    <xf numFmtId="164" fontId="20" fillId="6" borderId="5" xfId="0" applyNumberFormat="1" applyFont="1" applyFill="1" applyBorder="1"/>
    <xf numFmtId="0" fontId="0" fillId="0" borderId="0" xfId="0" applyAlignment="1">
      <alignment horizontal="left"/>
    </xf>
    <xf numFmtId="0" fontId="2" fillId="7" borderId="7" xfId="0" applyFont="1" applyFill="1" applyBorder="1" applyAlignment="1">
      <alignment horizontal="justify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justify" vertical="center" wrapText="1"/>
    </xf>
    <xf numFmtId="0" fontId="2" fillId="7" borderId="3" xfId="0" applyFont="1" applyFill="1" applyBorder="1" applyAlignment="1">
      <alignment horizontal="justify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4" fillId="0" borderId="7" xfId="0" applyFont="1" applyBorder="1" applyAlignment="1">
      <alignment horizontal="center"/>
    </xf>
    <xf numFmtId="0" fontId="13" fillId="0" borderId="0" xfId="0" applyFont="1"/>
  </cellXfs>
  <cellStyles count="5">
    <cellStyle name="Check Cell 2" xfId="3" xr:uid="{C8CB94DF-BE96-421D-963F-176D3D688DB8}"/>
    <cellStyle name="Comma 2" xfId="2" xr:uid="{043C93F3-2DE3-4E6D-A32E-21AB3F306AEF}"/>
    <cellStyle name="Currency" xfId="1" builtinId="4"/>
    <cellStyle name="Currency 2" xfId="4" xr:uid="{3ABEE360-8672-484B-9633-E0E430F7293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0056-E825-41C4-B5F2-F1CA6D42E355}">
  <dimension ref="B1:P63"/>
  <sheetViews>
    <sheetView topLeftCell="A13" zoomScale="66" zoomScaleNormal="100" workbookViewId="0">
      <selection activeCell="F36" sqref="F36"/>
    </sheetView>
  </sheetViews>
  <sheetFormatPr defaultRowHeight="13" x14ac:dyDescent="0.3"/>
  <cols>
    <col min="1" max="1" width="8.7265625" style="38"/>
    <col min="2" max="2" width="20.08984375" style="38" customWidth="1"/>
    <col min="3" max="3" width="18.1796875" style="38" customWidth="1"/>
    <col min="4" max="4" width="15" style="38" bestFit="1" customWidth="1"/>
    <col min="5" max="5" width="34" style="38" customWidth="1"/>
    <col min="6" max="6" width="12.08984375" style="38" bestFit="1" customWidth="1"/>
    <col min="7" max="7" width="40.6328125" style="38" bestFit="1" customWidth="1"/>
    <col min="8" max="8" width="12.90625" style="38" bestFit="1" customWidth="1"/>
    <col min="9" max="10" width="11.36328125" style="38" bestFit="1" customWidth="1"/>
    <col min="11" max="12" width="8.7265625" style="38"/>
    <col min="13" max="13" width="13" style="38" bestFit="1" customWidth="1"/>
    <col min="14" max="15" width="8.7265625" style="38"/>
    <col min="16" max="16" width="11.54296875" style="38" bestFit="1" customWidth="1"/>
    <col min="17" max="16384" width="8.7265625" style="38"/>
  </cols>
  <sheetData>
    <row r="1" spans="2:16" ht="13.5" thickBot="1" x14ac:dyDescent="0.35"/>
    <row r="2" spans="2:16" ht="13.5" thickBot="1" x14ac:dyDescent="0.35">
      <c r="B2" s="121" t="s">
        <v>80</v>
      </c>
      <c r="C2" s="122"/>
      <c r="D2" s="122"/>
      <c r="E2" s="123"/>
      <c r="G2" s="129" t="s">
        <v>134</v>
      </c>
      <c r="H2" s="129"/>
    </row>
    <row r="3" spans="2:16" x14ac:dyDescent="0.3">
      <c r="B3" s="124" t="s">
        <v>0</v>
      </c>
      <c r="C3" s="126" t="s">
        <v>1</v>
      </c>
      <c r="D3" s="36" t="s">
        <v>2</v>
      </c>
      <c r="E3" s="124" t="s">
        <v>3</v>
      </c>
      <c r="G3" s="59" t="s">
        <v>132</v>
      </c>
      <c r="H3" s="60">
        <f>E13</f>
        <v>335160</v>
      </c>
    </row>
    <row r="4" spans="2:16" ht="13.5" thickBot="1" x14ac:dyDescent="0.35">
      <c r="B4" s="125"/>
      <c r="C4" s="127"/>
      <c r="D4" s="37" t="s">
        <v>4</v>
      </c>
      <c r="E4" s="125"/>
      <c r="G4" s="59"/>
      <c r="H4" s="60"/>
    </row>
    <row r="5" spans="2:16" ht="13.5" thickBot="1" x14ac:dyDescent="0.35">
      <c r="B5" s="26" t="s">
        <v>5</v>
      </c>
      <c r="C5" s="27">
        <v>275</v>
      </c>
      <c r="D5" s="28">
        <v>120</v>
      </c>
      <c r="E5" s="28">
        <v>0</v>
      </c>
      <c r="G5" s="59" t="s">
        <v>133</v>
      </c>
      <c r="H5" s="60">
        <f>E25</f>
        <v>247731.6</v>
      </c>
      <c r="M5" s="38" t="s">
        <v>196</v>
      </c>
      <c r="P5" s="38" t="s">
        <v>198</v>
      </c>
    </row>
    <row r="6" spans="2:16" ht="13.5" thickBot="1" x14ac:dyDescent="0.35">
      <c r="B6" s="26" t="s">
        <v>6</v>
      </c>
      <c r="C6" s="27">
        <v>2695</v>
      </c>
      <c r="D6" s="28">
        <v>120</v>
      </c>
      <c r="E6" s="28">
        <v>0</v>
      </c>
      <c r="G6" s="39" t="s">
        <v>135</v>
      </c>
      <c r="H6" s="40">
        <v>35000</v>
      </c>
      <c r="J6" s="38" t="s">
        <v>177</v>
      </c>
      <c r="M6" s="43">
        <f>H3</f>
        <v>335160</v>
      </c>
      <c r="N6" s="38" t="s">
        <v>191</v>
      </c>
      <c r="P6" s="43">
        <f>E21</f>
        <v>140585.28</v>
      </c>
    </row>
    <row r="7" spans="2:16" ht="13.5" thickBot="1" x14ac:dyDescent="0.35">
      <c r="B7" s="26" t="s">
        <v>7</v>
      </c>
      <c r="C7" s="27">
        <v>1192</v>
      </c>
      <c r="D7" s="28">
        <v>120</v>
      </c>
      <c r="E7" s="28">
        <f t="shared" ref="E7:E8" si="0">D7*C7</f>
        <v>143040</v>
      </c>
      <c r="G7" s="39" t="s">
        <v>170</v>
      </c>
      <c r="H7" s="40">
        <f>I21*0.35</f>
        <v>68831.7</v>
      </c>
      <c r="J7" s="44"/>
      <c r="M7" s="43">
        <f>E18</f>
        <v>7029.2640000000001</v>
      </c>
      <c r="N7" s="38" t="s">
        <v>192</v>
      </c>
      <c r="P7" s="43">
        <f>E22</f>
        <v>7029.2640000000001</v>
      </c>
    </row>
    <row r="8" spans="2:16" ht="13.5" thickBot="1" x14ac:dyDescent="0.35">
      <c r="B8" s="26" t="s">
        <v>8</v>
      </c>
      <c r="C8" s="27">
        <v>1601</v>
      </c>
      <c r="D8" s="28">
        <v>120</v>
      </c>
      <c r="E8" s="28">
        <f t="shared" si="0"/>
        <v>192120</v>
      </c>
      <c r="J8" s="58">
        <f>E39-H9</f>
        <v>-92670.001999999979</v>
      </c>
      <c r="M8" s="43">
        <f>E19</f>
        <v>7029.2640000000001</v>
      </c>
      <c r="N8" s="38" t="s">
        <v>16</v>
      </c>
      <c r="P8" s="43">
        <f>E23*0.65</f>
        <v>46800</v>
      </c>
    </row>
    <row r="9" spans="2:16" ht="13.5" thickBot="1" x14ac:dyDescent="0.35">
      <c r="B9" s="26" t="s">
        <v>9</v>
      </c>
      <c r="C9" s="27">
        <v>21</v>
      </c>
      <c r="D9" s="28">
        <v>120</v>
      </c>
      <c r="E9" s="28">
        <v>0</v>
      </c>
      <c r="G9" s="31" t="s">
        <v>136</v>
      </c>
      <c r="H9" s="41">
        <f>SUM(H5:H7)</f>
        <v>351563.3</v>
      </c>
      <c r="M9" s="43">
        <f>E20</f>
        <v>14058.528</v>
      </c>
      <c r="N9" s="38" t="s">
        <v>17</v>
      </c>
    </row>
    <row r="10" spans="2:16" ht="13.5" thickBot="1" x14ac:dyDescent="0.35">
      <c r="B10" s="26" t="s">
        <v>10</v>
      </c>
      <c r="C10" s="27">
        <v>420</v>
      </c>
      <c r="D10" s="28">
        <v>120</v>
      </c>
      <c r="E10" s="28">
        <v>0</v>
      </c>
      <c r="I10" s="78"/>
      <c r="M10" s="43">
        <f>E23*0.35</f>
        <v>25200</v>
      </c>
      <c r="N10" s="38" t="s">
        <v>193</v>
      </c>
    </row>
    <row r="11" spans="2:16" ht="13.5" thickBot="1" x14ac:dyDescent="0.35">
      <c r="B11" s="26" t="s">
        <v>11</v>
      </c>
      <c r="C11" s="27">
        <v>157</v>
      </c>
      <c r="D11" s="28">
        <v>120</v>
      </c>
      <c r="E11" s="28">
        <v>0</v>
      </c>
      <c r="G11" s="78" t="s">
        <v>160</v>
      </c>
      <c r="H11" s="78" t="s">
        <v>161</v>
      </c>
      <c r="I11" s="78" t="s">
        <v>162</v>
      </c>
      <c r="M11" s="43">
        <f>H6</f>
        <v>35000</v>
      </c>
      <c r="N11" s="38" t="s">
        <v>194</v>
      </c>
    </row>
    <row r="12" spans="2:16" x14ac:dyDescent="0.3">
      <c r="C12" s="42"/>
      <c r="G12" s="59" t="s">
        <v>159</v>
      </c>
      <c r="H12" s="60">
        <v>5000</v>
      </c>
      <c r="I12" s="79">
        <f>H12*6</f>
        <v>30000</v>
      </c>
      <c r="M12" s="43">
        <f>H7</f>
        <v>68831.7</v>
      </c>
      <c r="N12" s="38" t="s">
        <v>195</v>
      </c>
    </row>
    <row r="13" spans="2:16" ht="13.5" thickBot="1" x14ac:dyDescent="0.35">
      <c r="B13" s="119" t="s">
        <v>132</v>
      </c>
      <c r="C13" s="119"/>
      <c r="D13" s="119"/>
      <c r="E13" s="32">
        <f>SUM(E5:E11)</f>
        <v>335160</v>
      </c>
      <c r="G13" s="59" t="s">
        <v>163</v>
      </c>
      <c r="H13" s="60">
        <v>4000</v>
      </c>
      <c r="I13" s="79">
        <f t="shared" ref="I13:I18" si="1">H13*6</f>
        <v>24000</v>
      </c>
      <c r="M13" s="35">
        <f>SUM(M6:M12)</f>
        <v>492308.75600000005</v>
      </c>
      <c r="N13" s="108"/>
      <c r="P13" s="35">
        <f>SUM(P6:P12)</f>
        <v>194414.54399999999</v>
      </c>
    </row>
    <row r="14" spans="2:16" ht="14" thickTop="1" thickBot="1" x14ac:dyDescent="0.35">
      <c r="G14" s="39" t="s">
        <v>164</v>
      </c>
      <c r="H14" s="40">
        <v>3300</v>
      </c>
      <c r="I14" s="79">
        <f t="shared" si="1"/>
        <v>19800</v>
      </c>
    </row>
    <row r="15" spans="2:16" ht="13.5" thickBot="1" x14ac:dyDescent="0.35">
      <c r="B15" s="121" t="s">
        <v>131</v>
      </c>
      <c r="C15" s="122"/>
      <c r="D15" s="122"/>
      <c r="E15" s="123"/>
      <c r="G15" s="39" t="s">
        <v>165</v>
      </c>
      <c r="H15" s="40">
        <v>3027</v>
      </c>
      <c r="I15" s="79">
        <f t="shared" si="1"/>
        <v>18162</v>
      </c>
    </row>
    <row r="16" spans="2:16" x14ac:dyDescent="0.3">
      <c r="B16" s="124" t="s">
        <v>12</v>
      </c>
      <c r="C16" s="126" t="s">
        <v>13</v>
      </c>
      <c r="D16" s="36" t="s">
        <v>2</v>
      </c>
      <c r="E16" s="124" t="s">
        <v>3</v>
      </c>
      <c r="G16" s="39" t="s">
        <v>166</v>
      </c>
      <c r="H16" s="40">
        <v>5500</v>
      </c>
      <c r="I16" s="79">
        <f t="shared" si="1"/>
        <v>33000</v>
      </c>
    </row>
    <row r="17" spans="2:12" ht="13.5" thickBot="1" x14ac:dyDescent="0.35">
      <c r="B17" s="125"/>
      <c r="C17" s="127"/>
      <c r="D17" s="37" t="s">
        <v>14</v>
      </c>
      <c r="E17" s="125"/>
      <c r="G17" s="39" t="s">
        <v>168</v>
      </c>
      <c r="H17" s="40">
        <v>4950</v>
      </c>
      <c r="I17" s="79">
        <f t="shared" si="1"/>
        <v>29700</v>
      </c>
    </row>
    <row r="18" spans="2:12" ht="21.5" thickBot="1" x14ac:dyDescent="0.35">
      <c r="B18" s="46" t="s">
        <v>15</v>
      </c>
      <c r="C18" s="47" t="s">
        <v>124</v>
      </c>
      <c r="D18" s="48">
        <f>E18/12</f>
        <v>585.77200000000005</v>
      </c>
      <c r="E18" s="48">
        <f>E21*0.05</f>
        <v>7029.2640000000001</v>
      </c>
      <c r="F18" s="43"/>
      <c r="G18" s="39" t="s">
        <v>169</v>
      </c>
      <c r="H18" s="40">
        <v>3500</v>
      </c>
      <c r="I18" s="79">
        <f t="shared" si="1"/>
        <v>21000</v>
      </c>
    </row>
    <row r="19" spans="2:12" ht="21.5" thickBot="1" x14ac:dyDescent="0.35">
      <c r="B19" s="46" t="s">
        <v>16</v>
      </c>
      <c r="C19" s="47" t="s">
        <v>125</v>
      </c>
      <c r="D19" s="48">
        <f t="shared" ref="D19:D22" si="2">E19/12</f>
        <v>585.77200000000005</v>
      </c>
      <c r="E19" s="48">
        <f>E21*0.05</f>
        <v>7029.2640000000001</v>
      </c>
      <c r="F19" s="43"/>
      <c r="G19" s="39" t="s">
        <v>167</v>
      </c>
      <c r="H19" s="40">
        <v>3500</v>
      </c>
      <c r="I19" s="79">
        <f>H19*6</f>
        <v>21000</v>
      </c>
      <c r="L19" s="38" t="s">
        <v>197</v>
      </c>
    </row>
    <row r="20" spans="2:12" ht="21.5" thickBot="1" x14ac:dyDescent="0.35">
      <c r="B20" s="46" t="s">
        <v>17</v>
      </c>
      <c r="C20" s="47" t="s">
        <v>126</v>
      </c>
      <c r="D20" s="48">
        <f t="shared" si="2"/>
        <v>1171.5440000000001</v>
      </c>
      <c r="E20" s="48">
        <f>E21*0.1</f>
        <v>14058.528</v>
      </c>
      <c r="F20" s="43"/>
    </row>
    <row r="21" spans="2:12" ht="21.5" thickBot="1" x14ac:dyDescent="0.35">
      <c r="B21" s="46" t="s">
        <v>18</v>
      </c>
      <c r="C21" s="47" t="s">
        <v>127</v>
      </c>
      <c r="D21" s="48">
        <f t="shared" si="2"/>
        <v>11715.44</v>
      </c>
      <c r="E21" s="48">
        <f>'Azure Cloud'!D31*12</f>
        <v>140585.28</v>
      </c>
      <c r="F21" s="43">
        <f>E21</f>
        <v>140585.28</v>
      </c>
      <c r="G21" s="31" t="s">
        <v>136</v>
      </c>
      <c r="H21" s="80"/>
      <c r="I21" s="35">
        <f>SUM(I11:I19)</f>
        <v>196662</v>
      </c>
    </row>
    <row r="22" spans="2:12" ht="21.5" thickBot="1" x14ac:dyDescent="0.35">
      <c r="B22" s="46" t="s">
        <v>19</v>
      </c>
      <c r="C22" s="47" t="s">
        <v>128</v>
      </c>
      <c r="D22" s="48">
        <f t="shared" si="2"/>
        <v>585.77200000000005</v>
      </c>
      <c r="E22" s="48">
        <f>E21*0.05</f>
        <v>7029.2640000000001</v>
      </c>
      <c r="F22" s="43">
        <f>E22</f>
        <v>7029.2640000000001</v>
      </c>
    </row>
    <row r="23" spans="2:12" ht="32" thickBot="1" x14ac:dyDescent="0.35">
      <c r="B23" s="46" t="s">
        <v>130</v>
      </c>
      <c r="C23" s="47" t="s">
        <v>129</v>
      </c>
      <c r="D23" s="48">
        <v>6000</v>
      </c>
      <c r="E23" s="48">
        <f>D23*12</f>
        <v>72000</v>
      </c>
      <c r="F23" s="43">
        <f>E23*0.65</f>
        <v>46800</v>
      </c>
      <c r="G23" s="38">
        <v>56234</v>
      </c>
      <c r="H23" s="43">
        <f>E23*0.35</f>
        <v>25200</v>
      </c>
      <c r="I23" s="38">
        <v>35000</v>
      </c>
      <c r="J23" s="38">
        <v>141863</v>
      </c>
    </row>
    <row r="24" spans="2:12" x14ac:dyDescent="0.3">
      <c r="B24" s="49"/>
      <c r="C24" s="50"/>
      <c r="D24" s="49"/>
      <c r="E24" s="49"/>
    </row>
    <row r="25" spans="2:12" ht="13.5" thickBot="1" x14ac:dyDescent="0.35">
      <c r="B25" s="128" t="s">
        <v>20</v>
      </c>
      <c r="C25" s="128"/>
      <c r="D25" s="128"/>
      <c r="E25" s="51">
        <f>SUM(E18:E23)</f>
        <v>247731.6</v>
      </c>
      <c r="F25" s="44"/>
    </row>
    <row r="26" spans="2:12" ht="13.5" thickTop="1" x14ac:dyDescent="0.3">
      <c r="B26" s="54" t="s">
        <v>146</v>
      </c>
      <c r="C26" s="52"/>
      <c r="D26" s="52"/>
      <c r="E26" s="53"/>
      <c r="F26" s="44"/>
    </row>
    <row r="27" spans="2:12" ht="13.5" thickBot="1" x14ac:dyDescent="0.35"/>
    <row r="28" spans="2:12" ht="13.5" thickBot="1" x14ac:dyDescent="0.35">
      <c r="B28" s="121" t="s">
        <v>81</v>
      </c>
      <c r="C28" s="122"/>
      <c r="D28" s="122"/>
      <c r="E28" s="123"/>
    </row>
    <row r="29" spans="2:12" x14ac:dyDescent="0.3">
      <c r="B29" s="124" t="s">
        <v>75</v>
      </c>
      <c r="C29" s="126" t="s">
        <v>79</v>
      </c>
      <c r="D29" s="126" t="s">
        <v>77</v>
      </c>
      <c r="E29" s="124" t="s">
        <v>76</v>
      </c>
      <c r="G29" s="44">
        <f>E13+E25</f>
        <v>582891.6</v>
      </c>
    </row>
    <row r="30" spans="2:12" ht="13.5" thickBot="1" x14ac:dyDescent="0.35">
      <c r="B30" s="125"/>
      <c r="C30" s="127"/>
      <c r="D30" s="127"/>
      <c r="E30" s="125"/>
    </row>
    <row r="31" spans="2:12" ht="13.5" thickBot="1" x14ac:dyDescent="0.35">
      <c r="B31" s="26" t="s">
        <v>5</v>
      </c>
      <c r="C31" s="33">
        <v>1E-3</v>
      </c>
      <c r="D31" s="34">
        <f>106465+106465*0.18</f>
        <v>125628.7</v>
      </c>
      <c r="E31" s="28">
        <v>0</v>
      </c>
    </row>
    <row r="32" spans="2:12" ht="13.5" thickBot="1" x14ac:dyDescent="0.35">
      <c r="B32" s="26" t="s">
        <v>6</v>
      </c>
      <c r="C32" s="33">
        <v>2.5000000000000001E-2</v>
      </c>
      <c r="D32" s="34">
        <f>1243155+1243155*0.18</f>
        <v>1466922.9</v>
      </c>
      <c r="E32" s="28">
        <v>0</v>
      </c>
      <c r="G32" s="44">
        <f>E39-G29</f>
        <v>-323998.30199999997</v>
      </c>
    </row>
    <row r="33" spans="2:9" ht="13.5" thickBot="1" x14ac:dyDescent="0.35">
      <c r="B33" s="26" t="s">
        <v>7</v>
      </c>
      <c r="C33" s="33">
        <v>2.5000000000000001E-2</v>
      </c>
      <c r="D33" s="34">
        <f>485350+485350*0.18</f>
        <v>572713</v>
      </c>
      <c r="E33" s="28">
        <f t="shared" ref="E33" si="3">D33*C33*12</f>
        <v>171813.90000000002</v>
      </c>
    </row>
    <row r="34" spans="2:9" ht="13.5" thickBot="1" x14ac:dyDescent="0.35">
      <c r="B34" s="26" t="s">
        <v>10</v>
      </c>
      <c r="C34" s="33">
        <v>2.5000000000000001E-2</v>
      </c>
      <c r="D34" s="34">
        <f>245987+245987*0.18</f>
        <v>290264.65999999997</v>
      </c>
      <c r="E34" s="28">
        <f>D34*C34*12</f>
        <v>87079.398000000001</v>
      </c>
    </row>
    <row r="35" spans="2:9" ht="13.5" thickBot="1" x14ac:dyDescent="0.35">
      <c r="B35" s="26" t="s">
        <v>11</v>
      </c>
      <c r="C35" s="33">
        <v>2.5000000000000001E-2</v>
      </c>
      <c r="D35" s="34">
        <f>265675+265675*0.18</f>
        <v>313496.5</v>
      </c>
      <c r="E35" s="28">
        <v>0</v>
      </c>
    </row>
    <row r="36" spans="2:9" ht="13.5" thickBot="1" x14ac:dyDescent="0.35">
      <c r="B36" s="26" t="s">
        <v>8</v>
      </c>
      <c r="C36" s="33">
        <v>2.5000000000000001E-2</v>
      </c>
      <c r="D36" s="34">
        <f>419694+419694*0.18</f>
        <v>495238.92</v>
      </c>
      <c r="E36" s="28">
        <v>0</v>
      </c>
    </row>
    <row r="37" spans="2:9" ht="13.5" thickBot="1" x14ac:dyDescent="0.35">
      <c r="B37" s="26" t="s">
        <v>9</v>
      </c>
      <c r="C37" s="33">
        <v>2.5000000000000001E-2</v>
      </c>
      <c r="D37" s="34">
        <f>41767+41767*0.18</f>
        <v>49285.06</v>
      </c>
      <c r="E37" s="28">
        <v>0</v>
      </c>
    </row>
    <row r="38" spans="2:9" x14ac:dyDescent="0.3">
      <c r="B38" s="29"/>
      <c r="C38" s="30"/>
      <c r="D38" s="29"/>
      <c r="E38" s="29"/>
    </row>
    <row r="39" spans="2:9" ht="13.5" thickBot="1" x14ac:dyDescent="0.35">
      <c r="B39" s="119" t="s">
        <v>78</v>
      </c>
      <c r="C39" s="119"/>
      <c r="D39" s="119"/>
      <c r="E39" s="32">
        <f>SUM(E31:E37)</f>
        <v>258893.29800000001</v>
      </c>
      <c r="F39" s="44"/>
    </row>
    <row r="40" spans="2:9" ht="13.5" thickTop="1" x14ac:dyDescent="0.3">
      <c r="B40" s="57" t="s">
        <v>147</v>
      </c>
      <c r="C40" s="55"/>
      <c r="D40" s="55"/>
      <c r="E40" s="56"/>
      <c r="F40" s="44"/>
    </row>
    <row r="41" spans="2:9" x14ac:dyDescent="0.3">
      <c r="G41" s="44"/>
    </row>
    <row r="42" spans="2:9" x14ac:dyDescent="0.3">
      <c r="B42" s="38" t="s">
        <v>116</v>
      </c>
    </row>
    <row r="43" spans="2:9" x14ac:dyDescent="0.3">
      <c r="B43" s="45" t="s">
        <v>145</v>
      </c>
    </row>
    <row r="44" spans="2:9" x14ac:dyDescent="0.3">
      <c r="B44" s="45"/>
    </row>
    <row r="45" spans="2:9" x14ac:dyDescent="0.3">
      <c r="B45" s="120" t="s">
        <v>144</v>
      </c>
      <c r="C45" s="120"/>
      <c r="D45" s="120"/>
      <c r="E45" s="120"/>
    </row>
    <row r="46" spans="2:9" x14ac:dyDescent="0.3">
      <c r="B46" s="117" t="s">
        <v>137</v>
      </c>
      <c r="C46" s="118" t="s">
        <v>138</v>
      </c>
      <c r="D46" s="118" t="s">
        <v>139</v>
      </c>
      <c r="E46" s="117" t="s">
        <v>143</v>
      </c>
    </row>
    <row r="47" spans="2:9" x14ac:dyDescent="0.3">
      <c r="B47" s="117"/>
      <c r="C47" s="118"/>
      <c r="D47" s="118"/>
      <c r="E47" s="117"/>
    </row>
    <row r="48" spans="2:9" ht="14.5" x14ac:dyDescent="0.35">
      <c r="B48" s="61">
        <v>1</v>
      </c>
      <c r="C48" s="62" t="s">
        <v>140</v>
      </c>
      <c r="D48" s="63">
        <v>7</v>
      </c>
      <c r="E48" s="64">
        <f>D48*G48</f>
        <v>14851.759999999998</v>
      </c>
      <c r="G48" s="104">
        <v>2121.6799999999998</v>
      </c>
      <c r="H48" s="38" t="s">
        <v>188</v>
      </c>
      <c r="I48" t="s">
        <v>186</v>
      </c>
    </row>
    <row r="49" spans="2:5" x14ac:dyDescent="0.3">
      <c r="B49" s="61">
        <v>2</v>
      </c>
      <c r="C49" s="62" t="s">
        <v>141</v>
      </c>
      <c r="D49" s="63">
        <v>4</v>
      </c>
      <c r="E49" s="64">
        <f>D49*G48</f>
        <v>8486.7199999999993</v>
      </c>
    </row>
    <row r="50" spans="2:5" x14ac:dyDescent="0.3">
      <c r="B50" s="61">
        <v>3</v>
      </c>
      <c r="C50" s="62" t="s">
        <v>142</v>
      </c>
      <c r="D50" s="63">
        <v>3</v>
      </c>
      <c r="E50" s="64">
        <f>D50*G48</f>
        <v>6365.0399999999991</v>
      </c>
    </row>
    <row r="51" spans="2:5" x14ac:dyDescent="0.3">
      <c r="B51" s="61">
        <v>4</v>
      </c>
      <c r="C51" s="62" t="s">
        <v>149</v>
      </c>
      <c r="D51" s="63">
        <f>(7+4+3)/3</f>
        <v>4.666666666666667</v>
      </c>
      <c r="E51" s="64">
        <f>D51*G48</f>
        <v>9901.1733333333341</v>
      </c>
    </row>
    <row r="52" spans="2:5" x14ac:dyDescent="0.3">
      <c r="B52" s="29"/>
      <c r="C52" s="30"/>
      <c r="D52" s="29"/>
      <c r="E52" s="29"/>
    </row>
    <row r="53" spans="2:5" ht="13.5" thickBot="1" x14ac:dyDescent="0.35">
      <c r="B53" s="119" t="s">
        <v>150</v>
      </c>
      <c r="C53" s="119"/>
      <c r="D53" s="119"/>
      <c r="E53" s="35">
        <f>SUM(E48:E51)</f>
        <v>39604.693333333329</v>
      </c>
    </row>
    <row r="54" spans="2:5" ht="13.5" thickTop="1" x14ac:dyDescent="0.3">
      <c r="B54" s="45"/>
    </row>
    <row r="55" spans="2:5" x14ac:dyDescent="0.3">
      <c r="B55" s="45"/>
    </row>
    <row r="56" spans="2:5" x14ac:dyDescent="0.3">
      <c r="B56" s="45"/>
    </row>
    <row r="58" spans="2:5" x14ac:dyDescent="0.3">
      <c r="B58" s="38" t="s">
        <v>117</v>
      </c>
    </row>
    <row r="59" spans="2:5" x14ac:dyDescent="0.3">
      <c r="B59" s="45" t="s">
        <v>118</v>
      </c>
    </row>
    <row r="60" spans="2:5" x14ac:dyDescent="0.3">
      <c r="B60" s="45" t="s">
        <v>119</v>
      </c>
    </row>
    <row r="61" spans="2:5" x14ac:dyDescent="0.3">
      <c r="B61" s="45" t="s">
        <v>120</v>
      </c>
    </row>
    <row r="62" spans="2:5" x14ac:dyDescent="0.3">
      <c r="B62" s="45" t="s">
        <v>121</v>
      </c>
    </row>
    <row r="63" spans="2:5" x14ac:dyDescent="0.3">
      <c r="B63" s="45" t="s">
        <v>122</v>
      </c>
    </row>
  </sheetData>
  <mergeCells count="23">
    <mergeCell ref="B13:D13"/>
    <mergeCell ref="B2:E2"/>
    <mergeCell ref="G2:H2"/>
    <mergeCell ref="B3:B4"/>
    <mergeCell ref="C3:C4"/>
    <mergeCell ref="E3:E4"/>
    <mergeCell ref="B45:E45"/>
    <mergeCell ref="B15:E15"/>
    <mergeCell ref="B16:B17"/>
    <mergeCell ref="C16:C17"/>
    <mergeCell ref="E16:E17"/>
    <mergeCell ref="B25:D25"/>
    <mergeCell ref="B28:E28"/>
    <mergeCell ref="B29:B30"/>
    <mergeCell ref="C29:C30"/>
    <mergeCell ref="D29:D30"/>
    <mergeCell ref="E29:E30"/>
    <mergeCell ref="B39:D39"/>
    <mergeCell ref="B46:B47"/>
    <mergeCell ref="C46:C47"/>
    <mergeCell ref="D46:D47"/>
    <mergeCell ref="E46:E47"/>
    <mergeCell ref="B53:D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3D5F-1C84-405C-9B85-7791FCEBEAE1}">
  <dimension ref="B5:D6"/>
  <sheetViews>
    <sheetView topLeftCell="A5" workbookViewId="0">
      <selection activeCell="D8" sqref="D8"/>
    </sheetView>
  </sheetViews>
  <sheetFormatPr defaultColWidth="58.54296875" defaultRowHeight="14.5" x14ac:dyDescent="0.35"/>
  <cols>
    <col min="1" max="1" width="9.36328125" customWidth="1"/>
    <col min="2" max="2" width="28.08984375" bestFit="1" customWidth="1"/>
    <col min="3" max="3" width="12" bestFit="1" customWidth="1"/>
    <col min="4" max="4" width="42.26953125" bestFit="1" customWidth="1"/>
  </cols>
  <sheetData>
    <row r="5" spans="2:4" ht="72.5" x14ac:dyDescent="0.35">
      <c r="B5" s="113" t="s">
        <v>203</v>
      </c>
      <c r="C5" s="109" t="s">
        <v>199</v>
      </c>
      <c r="D5" s="111" t="s">
        <v>200</v>
      </c>
    </row>
    <row r="6" spans="2:4" ht="87" x14ac:dyDescent="0.35">
      <c r="B6" s="112" t="s">
        <v>201</v>
      </c>
      <c r="C6" s="109" t="s">
        <v>199</v>
      </c>
      <c r="D6" s="110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2A6-BC21-4971-A3EB-C5BE333B21E9}">
  <dimension ref="B1:H36"/>
  <sheetViews>
    <sheetView tabSelected="1" topLeftCell="A2" zoomScale="142" workbookViewId="0">
      <selection activeCell="A2" sqref="A1:XFD1048576"/>
    </sheetView>
  </sheetViews>
  <sheetFormatPr defaultColWidth="27.453125" defaultRowHeight="14.5" x14ac:dyDescent="0.35"/>
  <cols>
    <col min="1" max="1" width="7.6328125" customWidth="1"/>
    <col min="2" max="2" width="27.36328125" customWidth="1"/>
    <col min="3" max="3" width="19" bestFit="1" customWidth="1"/>
    <col min="4" max="4" width="10.81640625" bestFit="1" customWidth="1"/>
    <col min="5" max="8" width="9.7265625" hidden="1" customWidth="1"/>
  </cols>
  <sheetData>
    <row r="1" spans="2:8" x14ac:dyDescent="0.35">
      <c r="B1" s="130" t="s">
        <v>212</v>
      </c>
      <c r="C1" s="130"/>
      <c r="D1" s="130"/>
    </row>
    <row r="3" spans="2:8" x14ac:dyDescent="0.35">
      <c r="B3" s="98" t="s">
        <v>24</v>
      </c>
      <c r="C3" s="98" t="s">
        <v>152</v>
      </c>
      <c r="D3" s="98" t="s">
        <v>216</v>
      </c>
      <c r="E3" s="98" t="s">
        <v>217</v>
      </c>
      <c r="F3" s="98" t="s">
        <v>218</v>
      </c>
      <c r="G3" s="98" t="s">
        <v>219</v>
      </c>
      <c r="H3" s="98" t="s">
        <v>220</v>
      </c>
    </row>
    <row r="4" spans="2:8" x14ac:dyDescent="0.35">
      <c r="B4" s="66" t="s">
        <v>183</v>
      </c>
      <c r="C4" s="66" t="s">
        <v>153</v>
      </c>
      <c r="D4" s="71">
        <v>1957</v>
      </c>
      <c r="E4" s="72"/>
      <c r="F4" s="72"/>
      <c r="G4" s="72"/>
      <c r="H4" s="72"/>
    </row>
    <row r="5" spans="2:8" x14ac:dyDescent="0.35">
      <c r="B5" s="66" t="s">
        <v>156</v>
      </c>
      <c r="C5" s="66" t="s">
        <v>157</v>
      </c>
      <c r="D5" s="71">
        <v>9300</v>
      </c>
      <c r="E5" s="72"/>
      <c r="F5" s="72"/>
      <c r="G5" s="72"/>
      <c r="H5" s="72"/>
    </row>
    <row r="6" spans="2:8" x14ac:dyDescent="0.35">
      <c r="B6" s="66" t="s">
        <v>154</v>
      </c>
      <c r="C6" s="66" t="s">
        <v>155</v>
      </c>
      <c r="D6" s="73">
        <v>55</v>
      </c>
      <c r="E6" s="73"/>
      <c r="F6" s="73"/>
      <c r="G6" s="73"/>
      <c r="H6" s="73"/>
    </row>
    <row r="7" spans="2:8" ht="1.5" customHeight="1" x14ac:dyDescent="0.35">
      <c r="B7" s="67"/>
      <c r="C7" s="67"/>
      <c r="D7" s="74"/>
      <c r="E7" s="74"/>
      <c r="F7" s="74"/>
      <c r="G7" s="74"/>
      <c r="H7" s="74"/>
    </row>
    <row r="8" spans="2:8" ht="22" x14ac:dyDescent="0.35">
      <c r="B8" s="68" t="s">
        <v>178</v>
      </c>
      <c r="C8" s="68" t="s">
        <v>184</v>
      </c>
      <c r="D8" s="76">
        <f>'Fleet_Telematry (UAE_QTR) (10%)'!E13</f>
        <v>37380</v>
      </c>
      <c r="E8" s="101"/>
      <c r="F8" s="101"/>
      <c r="G8" s="101"/>
      <c r="H8" s="101"/>
    </row>
    <row r="9" spans="2:8" ht="21.5" customHeight="1" x14ac:dyDescent="0.35">
      <c r="B9" s="68" t="s">
        <v>179</v>
      </c>
      <c r="C9" s="68" t="s">
        <v>158</v>
      </c>
      <c r="D9" s="76">
        <f>'Fleet_Telematry (UAE_QTR) (10%)'!H9</f>
        <v>107998.85</v>
      </c>
      <c r="E9" s="76"/>
      <c r="F9" s="76"/>
      <c r="G9" s="76"/>
      <c r="H9" s="76"/>
    </row>
    <row r="10" spans="2:8" ht="1.5" customHeight="1" x14ac:dyDescent="0.35">
      <c r="B10" s="67"/>
      <c r="C10" s="67"/>
      <c r="D10" s="75"/>
      <c r="E10" s="75"/>
      <c r="F10" s="75"/>
      <c r="G10" s="75"/>
      <c r="H10" s="67"/>
    </row>
    <row r="11" spans="2:8" ht="21" x14ac:dyDescent="0.35">
      <c r="B11" s="69" t="s">
        <v>181</v>
      </c>
      <c r="C11" s="69" t="s">
        <v>180</v>
      </c>
      <c r="D11" s="77">
        <f>'Fleet_Telematry (UAE_QTR) (10%)'!E34</f>
        <v>59264.681593125875</v>
      </c>
      <c r="E11" s="77"/>
      <c r="F11" s="77"/>
      <c r="G11" s="77"/>
      <c r="H11" s="77"/>
    </row>
    <row r="12" spans="2:8" ht="5.5" customHeight="1" x14ac:dyDescent="0.35"/>
    <row r="13" spans="2:8" ht="21.5" thickBot="1" x14ac:dyDescent="0.4">
      <c r="B13" s="99" t="s">
        <v>182</v>
      </c>
      <c r="C13" s="99"/>
      <c r="D13" s="100">
        <f>D11-D9-D8</f>
        <v>-86114.168406874131</v>
      </c>
      <c r="E13" s="100"/>
      <c r="F13" s="100"/>
      <c r="G13" s="100"/>
      <c r="H13" s="100"/>
    </row>
    <row r="14" spans="2:8" ht="15" thickTop="1" x14ac:dyDescent="0.35"/>
    <row r="15" spans="2:8" s="116" customFormat="1" ht="36" customHeight="1" x14ac:dyDescent="0.35">
      <c r="B15" s="131" t="s">
        <v>213</v>
      </c>
      <c r="C15" s="132"/>
      <c r="D15" s="132"/>
      <c r="E15" s="132"/>
      <c r="F15" s="132"/>
      <c r="G15" s="132"/>
      <c r="H15" s="132"/>
    </row>
    <row r="16" spans="2:8" x14ac:dyDescent="0.35">
      <c r="B16" s="131" t="s">
        <v>214</v>
      </c>
      <c r="C16" s="132"/>
      <c r="D16" s="132"/>
      <c r="E16" s="132"/>
      <c r="F16" s="132"/>
      <c r="G16" s="132"/>
      <c r="H16" s="132"/>
    </row>
    <row r="17" spans="2:8" ht="26.5" customHeight="1" x14ac:dyDescent="0.35">
      <c r="B17" s="131" t="s">
        <v>215</v>
      </c>
      <c r="C17" s="132"/>
      <c r="D17" s="132"/>
      <c r="E17" s="132"/>
      <c r="F17" s="132"/>
      <c r="G17" s="132"/>
      <c r="H17" s="132"/>
    </row>
    <row r="19" spans="2:8" x14ac:dyDescent="0.35">
      <c r="E19" s="3"/>
    </row>
    <row r="20" spans="2:8" x14ac:dyDescent="0.35">
      <c r="E20" s="3"/>
    </row>
    <row r="29" spans="2:8" x14ac:dyDescent="0.35">
      <c r="B29" s="70" t="s">
        <v>134</v>
      </c>
      <c r="C29" s="102" t="s">
        <v>149</v>
      </c>
    </row>
    <row r="30" spans="2:8" x14ac:dyDescent="0.35">
      <c r="B30" s="25" t="s">
        <v>132</v>
      </c>
      <c r="C30" s="25">
        <v>763320</v>
      </c>
      <c r="D30" s="25"/>
    </row>
    <row r="31" spans="2:8" x14ac:dyDescent="0.35">
      <c r="B31" s="25"/>
      <c r="C31" s="25"/>
      <c r="D31" s="25"/>
    </row>
    <row r="32" spans="2:8" x14ac:dyDescent="0.35">
      <c r="B32" s="25" t="s">
        <v>133</v>
      </c>
      <c r="C32" s="25">
        <v>325053.50399999996</v>
      </c>
      <c r="D32" s="25"/>
    </row>
    <row r="33" spans="2:4" x14ac:dyDescent="0.35">
      <c r="B33" s="25" t="s">
        <v>135</v>
      </c>
      <c r="C33" s="25">
        <v>35000</v>
      </c>
      <c r="D33" s="25"/>
    </row>
    <row r="34" spans="2:4" x14ac:dyDescent="0.35">
      <c r="B34" s="25" t="s">
        <v>148</v>
      </c>
      <c r="C34" s="25">
        <v>96000</v>
      </c>
      <c r="D34" s="25"/>
    </row>
    <row r="35" spans="2:4" x14ac:dyDescent="0.35">
      <c r="B35" s="25"/>
      <c r="C35" s="25"/>
      <c r="D35" s="25"/>
    </row>
    <row r="36" spans="2:4" x14ac:dyDescent="0.35">
      <c r="B36" s="25" t="s">
        <v>136</v>
      </c>
      <c r="C36" s="25">
        <f>SUM(C32:C34)</f>
        <v>456053.50399999996</v>
      </c>
      <c r="D36" s="25"/>
    </row>
  </sheetData>
  <mergeCells count="4">
    <mergeCell ref="B1:D1"/>
    <mergeCell ref="B15:H15"/>
    <mergeCell ref="B16:H16"/>
    <mergeCell ref="B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79A5-74F3-4F90-B0EA-58E36DCE2AA3}">
  <dimension ref="B2:H36"/>
  <sheetViews>
    <sheetView topLeftCell="A2" zoomScale="147" workbookViewId="0">
      <selection activeCell="B19" sqref="B19"/>
    </sheetView>
  </sheetViews>
  <sheetFormatPr defaultColWidth="27.453125" defaultRowHeight="14.5" x14ac:dyDescent="0.35"/>
  <cols>
    <col min="1" max="1" width="7.6328125" customWidth="1"/>
    <col min="2" max="2" width="27.36328125" customWidth="1"/>
    <col min="3" max="3" width="19" bestFit="1" customWidth="1"/>
    <col min="4" max="4" width="10.81640625" bestFit="1" customWidth="1"/>
    <col min="5" max="8" width="9.7265625" bestFit="1" customWidth="1"/>
  </cols>
  <sheetData>
    <row r="2" spans="2:8" x14ac:dyDescent="0.35">
      <c r="B2" s="98" t="s">
        <v>24</v>
      </c>
      <c r="C2" s="98" t="s">
        <v>152</v>
      </c>
      <c r="D2" s="98">
        <v>2024</v>
      </c>
      <c r="E2" s="98">
        <v>2025</v>
      </c>
      <c r="F2" s="98">
        <v>2026</v>
      </c>
      <c r="G2" s="98">
        <v>2027</v>
      </c>
      <c r="H2" s="98">
        <v>2028</v>
      </c>
    </row>
    <row r="3" spans="2:8" x14ac:dyDescent="0.35">
      <c r="B3" s="66" t="s">
        <v>183</v>
      </c>
      <c r="C3" s="66" t="s">
        <v>153</v>
      </c>
      <c r="D3" s="71">
        <v>1957</v>
      </c>
      <c r="E3" s="72">
        <f>D3+200</f>
        <v>2157</v>
      </c>
      <c r="F3" s="72">
        <f t="shared" ref="F3:H3" si="0">E3+200</f>
        <v>2357</v>
      </c>
      <c r="G3" s="72">
        <f t="shared" si="0"/>
        <v>2557</v>
      </c>
      <c r="H3" s="72">
        <f t="shared" si="0"/>
        <v>2757</v>
      </c>
    </row>
    <row r="4" spans="2:8" x14ac:dyDescent="0.35">
      <c r="B4" s="66" t="s">
        <v>156</v>
      </c>
      <c r="C4" s="66" t="s">
        <v>157</v>
      </c>
      <c r="D4" s="71">
        <v>9300</v>
      </c>
      <c r="E4" s="72">
        <f>D4+D4*0.14</f>
        <v>10602</v>
      </c>
      <c r="F4" s="72">
        <f t="shared" ref="F4:H4" si="1">E4+E4*0.14</f>
        <v>12086.28</v>
      </c>
      <c r="G4" s="72">
        <f t="shared" si="1"/>
        <v>13778.359200000001</v>
      </c>
      <c r="H4" s="72">
        <f t="shared" si="1"/>
        <v>15707.329488000001</v>
      </c>
    </row>
    <row r="5" spans="2:8" x14ac:dyDescent="0.35">
      <c r="B5" s="66" t="s">
        <v>154</v>
      </c>
      <c r="C5" s="66" t="s">
        <v>155</v>
      </c>
      <c r="D5" s="73">
        <v>55</v>
      </c>
      <c r="E5" s="73">
        <f>D5+D5*0.15</f>
        <v>63.25</v>
      </c>
      <c r="F5" s="73">
        <f t="shared" ref="F5:H5" si="2">E5+E5*0.15</f>
        <v>72.737499999999997</v>
      </c>
      <c r="G5" s="73">
        <f t="shared" si="2"/>
        <v>83.648124999999993</v>
      </c>
      <c r="H5" s="73">
        <f t="shared" si="2"/>
        <v>96.195343749999992</v>
      </c>
    </row>
    <row r="6" spans="2:8" ht="1.5" customHeight="1" x14ac:dyDescent="0.35">
      <c r="B6" s="67"/>
      <c r="C6" s="67"/>
      <c r="D6" s="74"/>
      <c r="E6" s="74"/>
      <c r="F6" s="74"/>
      <c r="G6" s="74"/>
      <c r="H6" s="74"/>
    </row>
    <row r="7" spans="2:8" ht="22" x14ac:dyDescent="0.35">
      <c r="B7" s="68" t="s">
        <v>178</v>
      </c>
      <c r="C7" s="68" t="s">
        <v>184</v>
      </c>
      <c r="D7" s="76">
        <f>C30</f>
        <v>763320</v>
      </c>
      <c r="E7" s="101">
        <f>D7*0.2 + (D4*0.14)*120</f>
        <v>308904</v>
      </c>
      <c r="F7" s="101">
        <f t="shared" ref="F7:H7" si="3">E7*0.15 + (E4*0.14)*120</f>
        <v>224449.20000000004</v>
      </c>
      <c r="G7" s="101">
        <f t="shared" si="3"/>
        <v>236716.88400000005</v>
      </c>
      <c r="H7" s="101">
        <f t="shared" si="3"/>
        <v>266983.96716</v>
      </c>
    </row>
    <row r="8" spans="2:8" ht="21.5" customHeight="1" x14ac:dyDescent="0.35">
      <c r="B8" s="68" t="s">
        <v>179</v>
      </c>
      <c r="C8" s="68" t="s">
        <v>158</v>
      </c>
      <c r="D8" s="76">
        <f>Fleet_Telematry!H9</f>
        <v>459741.31999999995</v>
      </c>
      <c r="E8" s="76">
        <f>D36</f>
        <v>0</v>
      </c>
      <c r="F8" s="76">
        <f>E8+E8*0.05</f>
        <v>0</v>
      </c>
      <c r="G8" s="76">
        <f t="shared" ref="G8:H8" si="4">F8+F8*0.05</f>
        <v>0</v>
      </c>
      <c r="H8" s="76">
        <f t="shared" si="4"/>
        <v>0</v>
      </c>
    </row>
    <row r="9" spans="2:8" ht="1.5" customHeight="1" x14ac:dyDescent="0.35">
      <c r="B9" s="67"/>
      <c r="C9" s="67"/>
      <c r="D9" s="75"/>
      <c r="E9" s="75"/>
      <c r="F9" s="75"/>
      <c r="G9" s="75"/>
      <c r="H9" s="67"/>
    </row>
    <row r="10" spans="2:8" ht="21" x14ac:dyDescent="0.35">
      <c r="B10" s="69" t="s">
        <v>181</v>
      </c>
      <c r="C10" s="69" t="s">
        <v>180</v>
      </c>
      <c r="D10" s="77">
        <f>Fleet_Telematry!E39</f>
        <v>994064.92200000014</v>
      </c>
      <c r="E10" s="77">
        <f>D10+D10*0.15</f>
        <v>1143174.6603000001</v>
      </c>
      <c r="F10" s="77">
        <f t="shared" ref="F10:H10" si="5">E10+E10*0.15</f>
        <v>1314650.8593450002</v>
      </c>
      <c r="G10" s="77">
        <f t="shared" si="5"/>
        <v>1511848.4882467503</v>
      </c>
      <c r="H10" s="77">
        <f t="shared" si="5"/>
        <v>1738625.7614837629</v>
      </c>
    </row>
    <row r="11" spans="2:8" ht="5.5" customHeight="1" x14ac:dyDescent="0.35"/>
    <row r="12" spans="2:8" ht="21.5" thickBot="1" x14ac:dyDescent="0.4">
      <c r="B12" s="99" t="s">
        <v>182</v>
      </c>
      <c r="C12" s="99"/>
      <c r="D12" s="100">
        <f>D10-D8-D7</f>
        <v>-228996.39799999981</v>
      </c>
      <c r="E12" s="100">
        <f t="shared" ref="E12:H12" si="6">E10-E8-E7</f>
        <v>834270.66030000011</v>
      </c>
      <c r="F12" s="100">
        <f t="shared" si="6"/>
        <v>1090201.6593450003</v>
      </c>
      <c r="G12" s="100">
        <f t="shared" si="6"/>
        <v>1275131.6042467502</v>
      </c>
      <c r="H12" s="100">
        <f t="shared" si="6"/>
        <v>1471641.7943237629</v>
      </c>
    </row>
    <row r="13" spans="2:8" ht="15" thickTop="1" x14ac:dyDescent="0.35"/>
    <row r="19" spans="2:5" x14ac:dyDescent="0.35">
      <c r="E19" s="3"/>
    </row>
    <row r="20" spans="2:5" x14ac:dyDescent="0.35">
      <c r="E20" s="3"/>
    </row>
    <row r="29" spans="2:5" x14ac:dyDescent="0.35">
      <c r="B29" s="70" t="s">
        <v>134</v>
      </c>
      <c r="C29" s="102" t="s">
        <v>149</v>
      </c>
    </row>
    <row r="30" spans="2:5" x14ac:dyDescent="0.35">
      <c r="B30" s="25" t="s">
        <v>132</v>
      </c>
      <c r="C30" s="25">
        <v>763320</v>
      </c>
      <c r="D30" s="25"/>
    </row>
    <row r="31" spans="2:5" x14ac:dyDescent="0.35">
      <c r="B31" s="25"/>
      <c r="C31" s="25"/>
      <c r="D31" s="25"/>
    </row>
    <row r="32" spans="2:5" x14ac:dyDescent="0.35">
      <c r="B32" s="25" t="s">
        <v>133</v>
      </c>
      <c r="C32" s="25">
        <v>325053.50399999996</v>
      </c>
      <c r="D32" s="25"/>
    </row>
    <row r="33" spans="2:4" x14ac:dyDescent="0.35">
      <c r="B33" s="25" t="s">
        <v>135</v>
      </c>
      <c r="C33" s="25">
        <v>35000</v>
      </c>
      <c r="D33" s="25"/>
    </row>
    <row r="34" spans="2:4" x14ac:dyDescent="0.35">
      <c r="B34" s="25" t="s">
        <v>148</v>
      </c>
      <c r="C34" s="25">
        <v>96000</v>
      </c>
      <c r="D34" s="25"/>
    </row>
    <row r="35" spans="2:4" x14ac:dyDescent="0.35">
      <c r="B35" s="25"/>
      <c r="C35" s="25"/>
      <c r="D35" s="25"/>
    </row>
    <row r="36" spans="2:4" x14ac:dyDescent="0.35">
      <c r="B36" s="25" t="s">
        <v>136</v>
      </c>
      <c r="C36" s="25">
        <f>SUM(C32:C34)</f>
        <v>456053.50399999996</v>
      </c>
      <c r="D3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255E-97F2-4608-9FBD-9079DD4FB239}">
  <dimension ref="B1:P58"/>
  <sheetViews>
    <sheetView topLeftCell="A9" zoomScale="66" zoomScaleNormal="100" workbookViewId="0">
      <selection activeCell="A9" sqref="A1:XFD1048576"/>
    </sheetView>
  </sheetViews>
  <sheetFormatPr defaultRowHeight="13" x14ac:dyDescent="0.3"/>
  <cols>
    <col min="1" max="1" width="8.7265625" style="38"/>
    <col min="2" max="2" width="20.08984375" style="38" customWidth="1"/>
    <col min="3" max="3" width="18.1796875" style="38" customWidth="1"/>
    <col min="4" max="4" width="15" style="38" bestFit="1" customWidth="1"/>
    <col min="5" max="5" width="34" style="38" customWidth="1"/>
    <col min="6" max="6" width="12.08984375" style="38" bestFit="1" customWidth="1"/>
    <col min="7" max="7" width="40.6328125" style="38" bestFit="1" customWidth="1"/>
    <col min="8" max="8" width="12.90625" style="38" bestFit="1" customWidth="1"/>
    <col min="9" max="10" width="11.36328125" style="38" bestFit="1" customWidth="1"/>
    <col min="11" max="12" width="8.7265625" style="38"/>
    <col min="13" max="13" width="13" style="38" bestFit="1" customWidth="1"/>
    <col min="14" max="15" width="8.7265625" style="38"/>
    <col min="16" max="16" width="10.54296875" style="38" bestFit="1" customWidth="1"/>
    <col min="17" max="16384" width="8.7265625" style="38"/>
  </cols>
  <sheetData>
    <row r="1" spans="2:16" ht="13.5" thickBot="1" x14ac:dyDescent="0.35"/>
    <row r="2" spans="2:16" ht="13.5" thickBot="1" x14ac:dyDescent="0.35">
      <c r="B2" s="121" t="s">
        <v>221</v>
      </c>
      <c r="C2" s="122"/>
      <c r="D2" s="122"/>
      <c r="E2" s="123"/>
      <c r="G2" s="129" t="s">
        <v>222</v>
      </c>
      <c r="H2" s="129"/>
    </row>
    <row r="3" spans="2:16" x14ac:dyDescent="0.3">
      <c r="B3" s="124" t="s">
        <v>0</v>
      </c>
      <c r="C3" s="126" t="s">
        <v>1</v>
      </c>
      <c r="D3" s="36" t="s">
        <v>2</v>
      </c>
      <c r="E3" s="124" t="s">
        <v>3</v>
      </c>
      <c r="G3" s="59" t="s">
        <v>132</v>
      </c>
      <c r="H3" s="60">
        <f>E13</f>
        <v>37380</v>
      </c>
    </row>
    <row r="4" spans="2:16" ht="13.5" thickBot="1" x14ac:dyDescent="0.35">
      <c r="B4" s="125"/>
      <c r="C4" s="127"/>
      <c r="D4" s="37" t="s">
        <v>4</v>
      </c>
      <c r="E4" s="125"/>
      <c r="G4" s="59"/>
      <c r="H4" s="60"/>
    </row>
    <row r="5" spans="2:16" ht="13.5" thickBot="1" x14ac:dyDescent="0.35">
      <c r="B5" s="26" t="s">
        <v>6</v>
      </c>
      <c r="C5" s="27">
        <f>2695*0.1</f>
        <v>269.5</v>
      </c>
      <c r="D5" s="28">
        <v>120</v>
      </c>
      <c r="E5" s="28">
        <f t="shared" ref="E5:E6" si="0">D5*C5</f>
        <v>32340</v>
      </c>
      <c r="G5" s="59" t="s">
        <v>133</v>
      </c>
      <c r="H5" s="60">
        <f>E25</f>
        <v>57966.45</v>
      </c>
      <c r="M5" s="38" t="s">
        <v>196</v>
      </c>
      <c r="P5" s="38" t="s">
        <v>210</v>
      </c>
    </row>
    <row r="6" spans="2:16" ht="13.5" thickBot="1" x14ac:dyDescent="0.35">
      <c r="B6" s="26" t="s">
        <v>10</v>
      </c>
      <c r="C6" s="27">
        <f>420*0.1</f>
        <v>42</v>
      </c>
      <c r="D6" s="28">
        <v>120</v>
      </c>
      <c r="E6" s="28">
        <f t="shared" si="0"/>
        <v>5040</v>
      </c>
      <c r="G6" s="39" t="s">
        <v>135</v>
      </c>
      <c r="H6" s="40">
        <v>9500</v>
      </c>
      <c r="M6" s="43">
        <f>H3</f>
        <v>37380</v>
      </c>
      <c r="N6" s="38" t="s">
        <v>191</v>
      </c>
      <c r="P6" s="43">
        <f>E21</f>
        <v>35146.32</v>
      </c>
    </row>
    <row r="7" spans="2:16" ht="13.5" thickBot="1" x14ac:dyDescent="0.35">
      <c r="B7" s="105"/>
      <c r="C7" s="106"/>
      <c r="D7" s="107"/>
      <c r="E7" s="107"/>
      <c r="G7" s="39" t="s">
        <v>170</v>
      </c>
      <c r="H7" s="40">
        <f>I21*0.1</f>
        <v>40532.400000000001</v>
      </c>
      <c r="J7" s="44"/>
      <c r="M7" s="43">
        <f>E18</f>
        <v>1757.316</v>
      </c>
      <c r="N7" s="38" t="s">
        <v>192</v>
      </c>
      <c r="P7" s="43">
        <f>E22</f>
        <v>1757.316</v>
      </c>
    </row>
    <row r="8" spans="2:16" ht="13.5" thickBot="1" x14ac:dyDescent="0.35">
      <c r="B8" s="105"/>
      <c r="C8" s="106"/>
      <c r="D8" s="107"/>
      <c r="E8" s="107"/>
      <c r="J8" s="58"/>
      <c r="M8" s="43">
        <f>E19</f>
        <v>1757.316</v>
      </c>
      <c r="N8" s="38" t="s">
        <v>16</v>
      </c>
      <c r="P8" s="43">
        <f>E23/2</f>
        <v>36000</v>
      </c>
    </row>
    <row r="9" spans="2:16" ht="13.5" thickBot="1" x14ac:dyDescent="0.35">
      <c r="B9" s="26"/>
      <c r="C9" s="27"/>
      <c r="D9" s="28"/>
      <c r="E9" s="28"/>
      <c r="G9" s="31" t="s">
        <v>211</v>
      </c>
      <c r="H9" s="41">
        <f>SUM(H5:H7)</f>
        <v>107998.85</v>
      </c>
      <c r="M9" s="43">
        <f>E20</f>
        <v>3514.6320000000001</v>
      </c>
      <c r="N9" s="38" t="s">
        <v>17</v>
      </c>
    </row>
    <row r="10" spans="2:16" ht="13.5" thickBot="1" x14ac:dyDescent="0.35">
      <c r="B10" s="26"/>
      <c r="C10" s="27"/>
      <c r="D10" s="28"/>
      <c r="E10" s="28"/>
      <c r="M10" s="43">
        <f>E23*0.1</f>
        <v>7200</v>
      </c>
      <c r="N10" s="38" t="s">
        <v>193</v>
      </c>
    </row>
    <row r="11" spans="2:16" ht="13.5" thickBot="1" x14ac:dyDescent="0.35">
      <c r="B11" s="26"/>
      <c r="C11" s="27"/>
      <c r="D11" s="28"/>
      <c r="E11" s="28"/>
      <c r="G11" s="78" t="s">
        <v>160</v>
      </c>
      <c r="H11" s="78" t="s">
        <v>161</v>
      </c>
      <c r="I11" s="78" t="s">
        <v>162</v>
      </c>
      <c r="M11" s="43">
        <f>H6</f>
        <v>9500</v>
      </c>
      <c r="N11" s="38" t="s">
        <v>194</v>
      </c>
    </row>
    <row r="12" spans="2:16" x14ac:dyDescent="0.3">
      <c r="C12" s="42"/>
      <c r="G12" s="59" t="s">
        <v>159</v>
      </c>
      <c r="H12" s="60">
        <v>5000</v>
      </c>
      <c r="I12" s="79">
        <f>H12*12</f>
        <v>60000</v>
      </c>
      <c r="M12" s="43">
        <f>H7</f>
        <v>40532.400000000001</v>
      </c>
      <c r="N12" s="38" t="s">
        <v>195</v>
      </c>
    </row>
    <row r="13" spans="2:16" ht="13.5" thickBot="1" x14ac:dyDescent="0.35">
      <c r="B13" s="119" t="s">
        <v>132</v>
      </c>
      <c r="C13" s="119"/>
      <c r="D13" s="119"/>
      <c r="E13" s="32">
        <f>SUM(E5:E11)</f>
        <v>37380</v>
      </c>
      <c r="G13" s="59" t="s">
        <v>163</v>
      </c>
      <c r="H13" s="60">
        <v>5000</v>
      </c>
      <c r="I13" s="79">
        <f t="shared" ref="I13:I19" si="1">H13*12</f>
        <v>60000</v>
      </c>
      <c r="M13" s="35">
        <f>SUM(M6:M12)</f>
        <v>101641.66399999999</v>
      </c>
      <c r="N13" s="108"/>
      <c r="P13" s="35">
        <f>SUM(P6:P12)</f>
        <v>72903.635999999999</v>
      </c>
    </row>
    <row r="14" spans="2:16" ht="14" thickTop="1" thickBot="1" x14ac:dyDescent="0.35">
      <c r="G14" s="39" t="s">
        <v>164</v>
      </c>
      <c r="H14" s="40">
        <v>3300</v>
      </c>
      <c r="I14" s="79">
        <f t="shared" si="1"/>
        <v>39600</v>
      </c>
    </row>
    <row r="15" spans="2:16" ht="13.5" thickBot="1" x14ac:dyDescent="0.35">
      <c r="B15" s="121" t="s">
        <v>204</v>
      </c>
      <c r="C15" s="122"/>
      <c r="D15" s="122"/>
      <c r="E15" s="123"/>
      <c r="G15" s="39" t="s">
        <v>165</v>
      </c>
      <c r="H15" s="40">
        <v>3027</v>
      </c>
      <c r="I15" s="79">
        <f t="shared" si="1"/>
        <v>36324</v>
      </c>
    </row>
    <row r="16" spans="2:16" x14ac:dyDescent="0.3">
      <c r="B16" s="124" t="s">
        <v>12</v>
      </c>
      <c r="C16" s="126" t="s">
        <v>13</v>
      </c>
      <c r="D16" s="36" t="s">
        <v>2</v>
      </c>
      <c r="E16" s="124" t="s">
        <v>3</v>
      </c>
      <c r="G16" s="39" t="s">
        <v>166</v>
      </c>
      <c r="H16" s="40">
        <v>5500</v>
      </c>
      <c r="I16" s="79">
        <f t="shared" si="1"/>
        <v>66000</v>
      </c>
    </row>
    <row r="17" spans="2:9" ht="13.5" thickBot="1" x14ac:dyDescent="0.35">
      <c r="B17" s="125"/>
      <c r="C17" s="127"/>
      <c r="D17" s="37" t="s">
        <v>14</v>
      </c>
      <c r="E17" s="125"/>
      <c r="G17" s="39" t="s">
        <v>168</v>
      </c>
      <c r="H17" s="40">
        <v>4950</v>
      </c>
      <c r="I17" s="79">
        <f t="shared" si="1"/>
        <v>59400</v>
      </c>
    </row>
    <row r="18" spans="2:9" ht="21.5" thickBot="1" x14ac:dyDescent="0.35">
      <c r="B18" s="46" t="s">
        <v>15</v>
      </c>
      <c r="C18" s="47" t="s">
        <v>124</v>
      </c>
      <c r="D18" s="48">
        <f>E18/12</f>
        <v>146.44300000000001</v>
      </c>
      <c r="E18" s="48">
        <f>E21*0.05</f>
        <v>1757.316</v>
      </c>
      <c r="F18" s="43"/>
      <c r="G18" s="39" t="s">
        <v>169</v>
      </c>
      <c r="H18" s="40">
        <v>3500</v>
      </c>
      <c r="I18" s="79">
        <f t="shared" si="1"/>
        <v>42000</v>
      </c>
    </row>
    <row r="19" spans="2:9" ht="21.5" thickBot="1" x14ac:dyDescent="0.35">
      <c r="B19" s="46" t="s">
        <v>16</v>
      </c>
      <c r="C19" s="47" t="s">
        <v>125</v>
      </c>
      <c r="D19" s="48">
        <f t="shared" ref="D19:D22" si="2">E19/12</f>
        <v>146.44300000000001</v>
      </c>
      <c r="E19" s="48">
        <f>E21*0.05</f>
        <v>1757.316</v>
      </c>
      <c r="F19" s="43"/>
      <c r="G19" s="39" t="s">
        <v>167</v>
      </c>
      <c r="H19" s="40">
        <v>3500</v>
      </c>
      <c r="I19" s="79">
        <f t="shared" si="1"/>
        <v>42000</v>
      </c>
    </row>
    <row r="20" spans="2:9" ht="21.5" thickBot="1" x14ac:dyDescent="0.35">
      <c r="B20" s="46" t="s">
        <v>17</v>
      </c>
      <c r="C20" s="47" t="s">
        <v>126</v>
      </c>
      <c r="D20" s="48">
        <f t="shared" si="2"/>
        <v>292.88600000000002</v>
      </c>
      <c r="E20" s="48">
        <f>E21*0.1</f>
        <v>3514.6320000000001</v>
      </c>
      <c r="F20" s="43"/>
    </row>
    <row r="21" spans="2:9" ht="21.5" thickBot="1" x14ac:dyDescent="0.35">
      <c r="B21" s="46" t="s">
        <v>18</v>
      </c>
      <c r="C21" s="47" t="s">
        <v>127</v>
      </c>
      <c r="D21" s="48">
        <f t="shared" si="2"/>
        <v>2928.86</v>
      </c>
      <c r="E21" s="48">
        <f>'Azure Cloud'!D31*12*0.25</f>
        <v>35146.32</v>
      </c>
      <c r="F21" s="43"/>
      <c r="G21" s="31" t="s">
        <v>136</v>
      </c>
      <c r="H21" s="80">
        <f>SUM(H14:H19)</f>
        <v>23777</v>
      </c>
      <c r="I21" s="35">
        <f>SUM(I12:I19)</f>
        <v>405324</v>
      </c>
    </row>
    <row r="22" spans="2:9" ht="21.5" thickBot="1" x14ac:dyDescent="0.35">
      <c r="B22" s="46" t="s">
        <v>19</v>
      </c>
      <c r="C22" s="47" t="s">
        <v>128</v>
      </c>
      <c r="D22" s="48">
        <f t="shared" si="2"/>
        <v>146.44300000000001</v>
      </c>
      <c r="E22" s="48">
        <f>E21*0.05</f>
        <v>1757.316</v>
      </c>
      <c r="F22" s="43"/>
    </row>
    <row r="23" spans="2:9" ht="32" thickBot="1" x14ac:dyDescent="0.35">
      <c r="B23" s="46" t="s">
        <v>130</v>
      </c>
      <c r="C23" s="47" t="s">
        <v>129</v>
      </c>
      <c r="D23" s="48">
        <v>6000</v>
      </c>
      <c r="E23" s="48">
        <f>D23*12</f>
        <v>72000</v>
      </c>
      <c r="F23" s="43"/>
      <c r="H23" s="43"/>
    </row>
    <row r="24" spans="2:9" x14ac:dyDescent="0.3">
      <c r="B24" s="49"/>
      <c r="C24" s="50"/>
      <c r="D24" s="49"/>
      <c r="E24" s="49"/>
    </row>
    <row r="25" spans="2:9" ht="13.5" thickBot="1" x14ac:dyDescent="0.35">
      <c r="B25" s="128" t="s">
        <v>20</v>
      </c>
      <c r="C25" s="128"/>
      <c r="D25" s="128"/>
      <c r="E25" s="115">
        <f>SUM(E18:E23)/2</f>
        <v>57966.45</v>
      </c>
      <c r="F25" s="44"/>
    </row>
    <row r="26" spans="2:9" ht="13.5" thickTop="1" x14ac:dyDescent="0.3">
      <c r="B26" s="54" t="s">
        <v>146</v>
      </c>
      <c r="C26" s="52"/>
      <c r="D26" s="52"/>
      <c r="E26" s="53"/>
      <c r="F26" s="44"/>
    </row>
    <row r="27" spans="2:9" ht="13.5" thickBot="1" x14ac:dyDescent="0.35"/>
    <row r="28" spans="2:9" ht="13.5" thickBot="1" x14ac:dyDescent="0.35">
      <c r="B28" s="121" t="s">
        <v>81</v>
      </c>
      <c r="C28" s="122"/>
      <c r="D28" s="122"/>
      <c r="E28" s="123"/>
    </row>
    <row r="29" spans="2:9" x14ac:dyDescent="0.3">
      <c r="B29" s="124" t="s">
        <v>75</v>
      </c>
      <c r="C29" s="126" t="s">
        <v>79</v>
      </c>
      <c r="D29" s="126" t="s">
        <v>77</v>
      </c>
      <c r="E29" s="124" t="s">
        <v>76</v>
      </c>
      <c r="G29" s="44"/>
    </row>
    <row r="30" spans="2:9" ht="13.5" thickBot="1" x14ac:dyDescent="0.35">
      <c r="B30" s="125"/>
      <c r="C30" s="127"/>
      <c r="D30" s="127"/>
      <c r="E30" s="125"/>
    </row>
    <row r="31" spans="2:9" ht="13.5" thickBot="1" x14ac:dyDescent="0.35">
      <c r="B31" s="26" t="s">
        <v>6</v>
      </c>
      <c r="C31" s="33">
        <f>'Savings Calculation (Updated)'!B15</f>
        <v>2.810584128022067E-3</v>
      </c>
      <c r="D31" s="34">
        <f>1243155+1243155*0.18</f>
        <v>1466922.9</v>
      </c>
      <c r="E31" s="28">
        <f t="shared" ref="E31" si="3">D31*C31*12</f>
        <v>49474.922637265219</v>
      </c>
      <c r="G31" s="44"/>
    </row>
    <row r="32" spans="2:9" ht="13.5" thickBot="1" x14ac:dyDescent="0.35">
      <c r="B32" s="26" t="s">
        <v>10</v>
      </c>
      <c r="C32" s="33">
        <f>'Savings Calculation (Updated)'!B15</f>
        <v>2.810584128022067E-3</v>
      </c>
      <c r="D32" s="34">
        <f>245987+245987*0.18</f>
        <v>290264.65999999997</v>
      </c>
      <c r="E32" s="28">
        <f>D32*C32*12</f>
        <v>9789.7589558606596</v>
      </c>
    </row>
    <row r="33" spans="2:9" x14ac:dyDescent="0.3">
      <c r="B33" s="29"/>
      <c r="C33" s="30"/>
      <c r="D33" s="29"/>
      <c r="E33" s="29"/>
    </row>
    <row r="34" spans="2:9" ht="13.5" thickBot="1" x14ac:dyDescent="0.35">
      <c r="B34" s="119" t="s">
        <v>78</v>
      </c>
      <c r="C34" s="119"/>
      <c r="D34" s="119"/>
      <c r="E34" s="32">
        <f>SUM(E31:E32)</f>
        <v>59264.681593125875</v>
      </c>
      <c r="F34" s="44"/>
    </row>
    <row r="35" spans="2:9" ht="13.5" thickTop="1" x14ac:dyDescent="0.3">
      <c r="B35" s="57" t="s">
        <v>147</v>
      </c>
      <c r="C35" s="55"/>
      <c r="D35" s="55"/>
      <c r="E35" s="56"/>
      <c r="F35" s="44"/>
    </row>
    <row r="36" spans="2:9" x14ac:dyDescent="0.3">
      <c r="G36" s="44"/>
    </row>
    <row r="37" spans="2:9" x14ac:dyDescent="0.3">
      <c r="B37" s="38" t="s">
        <v>116</v>
      </c>
    </row>
    <row r="38" spans="2:9" x14ac:dyDescent="0.3">
      <c r="B38" s="45" t="s">
        <v>145</v>
      </c>
    </row>
    <row r="39" spans="2:9" x14ac:dyDescent="0.3">
      <c r="B39" s="45"/>
    </row>
    <row r="40" spans="2:9" x14ac:dyDescent="0.3">
      <c r="B40" s="120" t="s">
        <v>144</v>
      </c>
      <c r="C40" s="120"/>
      <c r="D40" s="120"/>
      <c r="E40" s="120"/>
    </row>
    <row r="41" spans="2:9" x14ac:dyDescent="0.3">
      <c r="B41" s="117" t="s">
        <v>137</v>
      </c>
      <c r="C41" s="118" t="s">
        <v>138</v>
      </c>
      <c r="D41" s="118" t="s">
        <v>139</v>
      </c>
      <c r="E41" s="117" t="s">
        <v>143</v>
      </c>
    </row>
    <row r="42" spans="2:9" x14ac:dyDescent="0.3">
      <c r="B42" s="117"/>
      <c r="C42" s="118"/>
      <c r="D42" s="118"/>
      <c r="E42" s="117"/>
    </row>
    <row r="43" spans="2:9" x14ac:dyDescent="0.3">
      <c r="B43" s="61">
        <v>1</v>
      </c>
      <c r="C43" s="62" t="s">
        <v>140</v>
      </c>
      <c r="D43" s="63">
        <v>7</v>
      </c>
      <c r="E43" s="64">
        <f>D43*G43</f>
        <v>14851.759999999998</v>
      </c>
      <c r="G43" s="104">
        <v>2121.6799999999998</v>
      </c>
      <c r="H43" s="38" t="s">
        <v>188</v>
      </c>
    </row>
    <row r="44" spans="2:9" ht="14.5" x14ac:dyDescent="0.35">
      <c r="B44" s="61">
        <v>2</v>
      </c>
      <c r="C44" s="62" t="s">
        <v>141</v>
      </c>
      <c r="D44" s="63">
        <v>4</v>
      </c>
      <c r="E44" s="64">
        <f>D44*G43</f>
        <v>8486.7199999999993</v>
      </c>
      <c r="I44" t="s">
        <v>186</v>
      </c>
    </row>
    <row r="45" spans="2:9" x14ac:dyDescent="0.3">
      <c r="B45" s="61">
        <v>3</v>
      </c>
      <c r="C45" s="62" t="s">
        <v>142</v>
      </c>
      <c r="D45" s="63">
        <v>3</v>
      </c>
      <c r="E45" s="64">
        <f>D45*G43</f>
        <v>6365.0399999999991</v>
      </c>
    </row>
    <row r="46" spans="2:9" x14ac:dyDescent="0.3">
      <c r="B46" s="61">
        <v>4</v>
      </c>
      <c r="C46" s="62" t="s">
        <v>149</v>
      </c>
      <c r="D46" s="63">
        <f>AVERAGE(D43:D45)</f>
        <v>4.666666666666667</v>
      </c>
      <c r="E46" s="64">
        <f>D46*G43</f>
        <v>9901.1733333333341</v>
      </c>
    </row>
    <row r="47" spans="2:9" x14ac:dyDescent="0.3">
      <c r="B47" s="29"/>
      <c r="C47" s="30"/>
      <c r="D47" s="29"/>
      <c r="E47" s="29"/>
    </row>
    <row r="48" spans="2:9" ht="13.5" thickBot="1" x14ac:dyDescent="0.35">
      <c r="B48" s="119" t="s">
        <v>150</v>
      </c>
      <c r="C48" s="119"/>
      <c r="D48" s="119"/>
      <c r="E48" s="35">
        <f>SUM(E43:E46)</f>
        <v>39604.693333333329</v>
      </c>
    </row>
    <row r="49" spans="2:2" ht="13.5" thickTop="1" x14ac:dyDescent="0.3">
      <c r="B49" s="45"/>
    </row>
    <row r="50" spans="2:2" x14ac:dyDescent="0.3">
      <c r="B50" s="45"/>
    </row>
    <row r="51" spans="2:2" x14ac:dyDescent="0.3">
      <c r="B51" s="45"/>
    </row>
    <row r="52" spans="2:2" x14ac:dyDescent="0.3">
      <c r="B52" s="38" t="s">
        <v>116</v>
      </c>
    </row>
    <row r="53" spans="2:2" x14ac:dyDescent="0.3">
      <c r="B53" s="45" t="s">
        <v>145</v>
      </c>
    </row>
    <row r="54" spans="2:2" x14ac:dyDescent="0.3">
      <c r="B54" s="45" t="s">
        <v>205</v>
      </c>
    </row>
    <row r="55" spans="2:2" x14ac:dyDescent="0.3">
      <c r="B55" s="45" t="s">
        <v>206</v>
      </c>
    </row>
    <row r="56" spans="2:2" x14ac:dyDescent="0.3">
      <c r="B56" s="45" t="s">
        <v>207</v>
      </c>
    </row>
    <row r="57" spans="2:2" x14ac:dyDescent="0.3">
      <c r="B57" s="45" t="s">
        <v>208</v>
      </c>
    </row>
    <row r="58" spans="2:2" x14ac:dyDescent="0.3">
      <c r="B58" s="45" t="s">
        <v>209</v>
      </c>
    </row>
  </sheetData>
  <mergeCells count="23">
    <mergeCell ref="B13:D13"/>
    <mergeCell ref="B2:E2"/>
    <mergeCell ref="G2:H2"/>
    <mergeCell ref="B3:B4"/>
    <mergeCell ref="C3:C4"/>
    <mergeCell ref="E3:E4"/>
    <mergeCell ref="B40:E40"/>
    <mergeCell ref="B15:E15"/>
    <mergeCell ref="B16:B17"/>
    <mergeCell ref="C16:C17"/>
    <mergeCell ref="E16:E17"/>
    <mergeCell ref="B25:D25"/>
    <mergeCell ref="B28:E28"/>
    <mergeCell ref="B29:B30"/>
    <mergeCell ref="C29:C30"/>
    <mergeCell ref="D29:D30"/>
    <mergeCell ref="E29:E30"/>
    <mergeCell ref="B34:D34"/>
    <mergeCell ref="B41:B42"/>
    <mergeCell ref="C41:C42"/>
    <mergeCell ref="D41:D42"/>
    <mergeCell ref="E41:E42"/>
    <mergeCell ref="B48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2522-BFE3-438C-890A-812DC80D7191}">
  <dimension ref="B1:N63"/>
  <sheetViews>
    <sheetView topLeftCell="C1" zoomScale="66" zoomScaleNormal="100" workbookViewId="0">
      <selection activeCell="F27" sqref="F27"/>
    </sheetView>
  </sheetViews>
  <sheetFormatPr defaultRowHeight="13" x14ac:dyDescent="0.3"/>
  <cols>
    <col min="1" max="1" width="8.7265625" style="38"/>
    <col min="2" max="2" width="20.08984375" style="38" customWidth="1"/>
    <col min="3" max="3" width="18.1796875" style="38" customWidth="1"/>
    <col min="4" max="4" width="15" style="38" bestFit="1" customWidth="1"/>
    <col min="5" max="5" width="34" style="38" customWidth="1"/>
    <col min="6" max="6" width="12.08984375" style="38" bestFit="1" customWidth="1"/>
    <col min="7" max="7" width="40.6328125" style="38" bestFit="1" customWidth="1"/>
    <col min="8" max="8" width="12.90625" style="38" bestFit="1" customWidth="1"/>
    <col min="9" max="10" width="11.36328125" style="38" bestFit="1" customWidth="1"/>
    <col min="11" max="12" width="8.7265625" style="38"/>
    <col min="13" max="13" width="13" style="38" bestFit="1" customWidth="1"/>
    <col min="14" max="16384" width="8.7265625" style="38"/>
  </cols>
  <sheetData>
    <row r="1" spans="2:14" ht="13.5" thickBot="1" x14ac:dyDescent="0.35"/>
    <row r="2" spans="2:14" ht="13.5" thickBot="1" x14ac:dyDescent="0.35">
      <c r="B2" s="121" t="s">
        <v>80</v>
      </c>
      <c r="C2" s="122"/>
      <c r="D2" s="122"/>
      <c r="E2" s="123"/>
      <c r="G2" s="129" t="s">
        <v>134</v>
      </c>
      <c r="H2" s="129"/>
    </row>
    <row r="3" spans="2:14" x14ac:dyDescent="0.3">
      <c r="B3" s="124" t="s">
        <v>0</v>
      </c>
      <c r="C3" s="126" t="s">
        <v>1</v>
      </c>
      <c r="D3" s="36" t="s">
        <v>2</v>
      </c>
      <c r="E3" s="124" t="s">
        <v>3</v>
      </c>
      <c r="G3" s="59" t="s">
        <v>132</v>
      </c>
      <c r="H3" s="60">
        <f>E13</f>
        <v>373800</v>
      </c>
    </row>
    <row r="4" spans="2:14" ht="13.5" thickBot="1" x14ac:dyDescent="0.35">
      <c r="B4" s="125"/>
      <c r="C4" s="127"/>
      <c r="D4" s="37" t="s">
        <v>4</v>
      </c>
      <c r="E4" s="125"/>
      <c r="G4" s="59"/>
      <c r="H4" s="60"/>
    </row>
    <row r="5" spans="2:14" ht="13.5" thickBot="1" x14ac:dyDescent="0.35">
      <c r="B5" s="26" t="s">
        <v>6</v>
      </c>
      <c r="C5" s="27">
        <v>2695</v>
      </c>
      <c r="D5" s="28">
        <v>120</v>
      </c>
      <c r="E5" s="28">
        <f t="shared" ref="E5:E6" si="0">D5*C5</f>
        <v>323400</v>
      </c>
      <c r="G5" s="59" t="s">
        <v>133</v>
      </c>
      <c r="H5" s="60">
        <f>E25</f>
        <v>98359.739999999991</v>
      </c>
      <c r="M5" s="38" t="s">
        <v>196</v>
      </c>
    </row>
    <row r="6" spans="2:14" ht="13.5" thickBot="1" x14ac:dyDescent="0.35">
      <c r="B6" s="26" t="s">
        <v>10</v>
      </c>
      <c r="C6" s="27">
        <v>420</v>
      </c>
      <c r="D6" s="28">
        <v>120</v>
      </c>
      <c r="E6" s="28">
        <f t="shared" si="0"/>
        <v>50400</v>
      </c>
      <c r="G6" s="39" t="s">
        <v>135</v>
      </c>
      <c r="H6" s="40">
        <v>9500</v>
      </c>
      <c r="J6" s="38" t="s">
        <v>177</v>
      </c>
      <c r="M6" s="43">
        <f>H3</f>
        <v>373800</v>
      </c>
      <c r="N6" s="38" t="s">
        <v>191</v>
      </c>
    </row>
    <row r="7" spans="2:14" ht="13.5" thickBot="1" x14ac:dyDescent="0.35">
      <c r="B7" s="105"/>
      <c r="C7" s="106"/>
      <c r="D7" s="107"/>
      <c r="E7" s="107"/>
      <c r="G7" s="39" t="s">
        <v>170</v>
      </c>
      <c r="H7" s="40">
        <f>I20*0.1</f>
        <v>40532.400000000001</v>
      </c>
      <c r="J7" s="44"/>
      <c r="M7" s="43">
        <f>E18</f>
        <v>1054.3896</v>
      </c>
      <c r="N7" s="38" t="s">
        <v>192</v>
      </c>
    </row>
    <row r="8" spans="2:14" ht="13.5" thickBot="1" x14ac:dyDescent="0.35">
      <c r="B8" s="105"/>
      <c r="C8" s="106"/>
      <c r="D8" s="107"/>
      <c r="E8" s="107"/>
      <c r="J8" s="58">
        <f>E39-H9</f>
        <v>378764.12800000003</v>
      </c>
      <c r="M8" s="43">
        <f>E19</f>
        <v>1054.3896</v>
      </c>
      <c r="N8" s="38" t="s">
        <v>16</v>
      </c>
    </row>
    <row r="9" spans="2:14" ht="13.5" thickBot="1" x14ac:dyDescent="0.35">
      <c r="B9" s="26"/>
      <c r="C9" s="27"/>
      <c r="D9" s="28"/>
      <c r="E9" s="28"/>
      <c r="G9" s="31" t="s">
        <v>136</v>
      </c>
      <c r="H9" s="41">
        <f>SUM(H5:H7)</f>
        <v>148392.13999999998</v>
      </c>
      <c r="M9" s="43">
        <f>E20</f>
        <v>2108.7791999999999</v>
      </c>
      <c r="N9" s="38" t="s">
        <v>17</v>
      </c>
    </row>
    <row r="10" spans="2:14" ht="13.5" thickBot="1" x14ac:dyDescent="0.35">
      <c r="B10" s="26"/>
      <c r="C10" s="27"/>
      <c r="D10" s="28"/>
      <c r="E10" s="28"/>
      <c r="I10" s="78" t="s">
        <v>162</v>
      </c>
      <c r="M10" s="43">
        <f>E23*0.35</f>
        <v>25200</v>
      </c>
      <c r="N10" s="38" t="s">
        <v>193</v>
      </c>
    </row>
    <row r="11" spans="2:14" ht="13.5" thickBot="1" x14ac:dyDescent="0.35">
      <c r="B11" s="26"/>
      <c r="C11" s="27"/>
      <c r="D11" s="28"/>
      <c r="E11" s="28"/>
      <c r="G11" s="78" t="s">
        <v>160</v>
      </c>
      <c r="H11" s="78" t="s">
        <v>161</v>
      </c>
      <c r="I11" s="79">
        <f>H12*12</f>
        <v>60000</v>
      </c>
      <c r="M11" s="43">
        <f>H6</f>
        <v>9500</v>
      </c>
      <c r="N11" s="38" t="s">
        <v>194</v>
      </c>
    </row>
    <row r="12" spans="2:14" x14ac:dyDescent="0.3">
      <c r="C12" s="42"/>
      <c r="G12" s="59" t="s">
        <v>159</v>
      </c>
      <c r="H12" s="60">
        <v>5000</v>
      </c>
      <c r="I12" s="79">
        <f t="shared" ref="I12:I18" si="1">H13*12</f>
        <v>60000</v>
      </c>
      <c r="M12" s="43">
        <f>H7</f>
        <v>40532.400000000001</v>
      </c>
      <c r="N12" s="38" t="s">
        <v>195</v>
      </c>
    </row>
    <row r="13" spans="2:14" ht="13.5" thickBot="1" x14ac:dyDescent="0.35">
      <c r="B13" s="119" t="s">
        <v>132</v>
      </c>
      <c r="C13" s="119"/>
      <c r="D13" s="119"/>
      <c r="E13" s="32">
        <f>SUM(E5:E11)</f>
        <v>373800</v>
      </c>
      <c r="G13" s="59" t="s">
        <v>163</v>
      </c>
      <c r="H13" s="60">
        <v>5000</v>
      </c>
      <c r="I13" s="79">
        <f t="shared" si="1"/>
        <v>39600</v>
      </c>
      <c r="M13" s="35">
        <f>SUM(M6:M12)</f>
        <v>453249.9584</v>
      </c>
      <c r="N13" s="108"/>
    </row>
    <row r="14" spans="2:14" ht="14" thickTop="1" thickBot="1" x14ac:dyDescent="0.35">
      <c r="G14" s="39" t="s">
        <v>164</v>
      </c>
      <c r="H14" s="40">
        <v>3300</v>
      </c>
      <c r="I14" s="79">
        <f t="shared" si="1"/>
        <v>36324</v>
      </c>
    </row>
    <row r="15" spans="2:14" ht="13.5" thickBot="1" x14ac:dyDescent="0.35">
      <c r="B15" s="121" t="s">
        <v>204</v>
      </c>
      <c r="C15" s="122"/>
      <c r="D15" s="122"/>
      <c r="E15" s="123"/>
      <c r="G15" s="39" t="s">
        <v>165</v>
      </c>
      <c r="H15" s="40">
        <v>3027</v>
      </c>
      <c r="I15" s="79">
        <f t="shared" si="1"/>
        <v>66000</v>
      </c>
    </row>
    <row r="16" spans="2:14" x14ac:dyDescent="0.3">
      <c r="B16" s="124" t="s">
        <v>12</v>
      </c>
      <c r="C16" s="126" t="s">
        <v>13</v>
      </c>
      <c r="D16" s="36" t="s">
        <v>2</v>
      </c>
      <c r="E16" s="124" t="s">
        <v>3</v>
      </c>
      <c r="G16" s="39" t="s">
        <v>166</v>
      </c>
      <c r="H16" s="40">
        <v>5500</v>
      </c>
      <c r="I16" s="79">
        <f t="shared" si="1"/>
        <v>59400</v>
      </c>
    </row>
    <row r="17" spans="2:10" ht="13.5" thickBot="1" x14ac:dyDescent="0.35">
      <c r="B17" s="125"/>
      <c r="C17" s="127"/>
      <c r="D17" s="37" t="s">
        <v>14</v>
      </c>
      <c r="E17" s="125"/>
      <c r="G17" s="39" t="s">
        <v>168</v>
      </c>
      <c r="H17" s="40">
        <v>4950</v>
      </c>
      <c r="I17" s="79">
        <f t="shared" si="1"/>
        <v>42000</v>
      </c>
    </row>
    <row r="18" spans="2:10" ht="21.5" thickBot="1" x14ac:dyDescent="0.35">
      <c r="B18" s="46" t="s">
        <v>15</v>
      </c>
      <c r="C18" s="47" t="s">
        <v>124</v>
      </c>
      <c r="D18" s="48">
        <f>E18/12</f>
        <v>87.865799999999993</v>
      </c>
      <c r="E18" s="48">
        <f>E21*0.05</f>
        <v>1054.3896</v>
      </c>
      <c r="F18" s="43"/>
      <c r="G18" s="39" t="s">
        <v>169</v>
      </c>
      <c r="H18" s="40">
        <v>3500</v>
      </c>
      <c r="I18" s="79">
        <f t="shared" si="1"/>
        <v>42000</v>
      </c>
    </row>
    <row r="19" spans="2:10" ht="21.5" thickBot="1" x14ac:dyDescent="0.35">
      <c r="B19" s="46" t="s">
        <v>16</v>
      </c>
      <c r="C19" s="47" t="s">
        <v>125</v>
      </c>
      <c r="D19" s="48">
        <f t="shared" ref="D19:D22" si="2">E19/12</f>
        <v>87.865799999999993</v>
      </c>
      <c r="E19" s="48">
        <f>E21*0.05</f>
        <v>1054.3896</v>
      </c>
      <c r="F19" s="43"/>
      <c r="G19" s="39" t="s">
        <v>167</v>
      </c>
      <c r="H19" s="40">
        <v>3500</v>
      </c>
    </row>
    <row r="20" spans="2:10" ht="21.5" thickBot="1" x14ac:dyDescent="0.35">
      <c r="B20" s="46" t="s">
        <v>17</v>
      </c>
      <c r="C20" s="47" t="s">
        <v>126</v>
      </c>
      <c r="D20" s="48">
        <f t="shared" si="2"/>
        <v>175.73159999999999</v>
      </c>
      <c r="E20" s="48">
        <f>E21*0.1</f>
        <v>2108.7791999999999</v>
      </c>
      <c r="F20" s="43"/>
      <c r="I20" s="35">
        <f>SUM(I11:I18)</f>
        <v>405324</v>
      </c>
    </row>
    <row r="21" spans="2:10" ht="21.5" thickBot="1" x14ac:dyDescent="0.35">
      <c r="B21" s="46" t="s">
        <v>18</v>
      </c>
      <c r="C21" s="47" t="s">
        <v>127</v>
      </c>
      <c r="D21" s="48">
        <f t="shared" si="2"/>
        <v>1757.3159999999998</v>
      </c>
      <c r="E21" s="48">
        <f>'Azure Cloud'!D31*12*0.15</f>
        <v>21087.791999999998</v>
      </c>
      <c r="F21" s="43">
        <f>E21</f>
        <v>21087.791999999998</v>
      </c>
      <c r="G21" s="31" t="s">
        <v>136</v>
      </c>
      <c r="H21" s="80">
        <f>SUM(H14:H19)</f>
        <v>23777</v>
      </c>
    </row>
    <row r="22" spans="2:10" ht="21.5" thickBot="1" x14ac:dyDescent="0.35">
      <c r="B22" s="46" t="s">
        <v>19</v>
      </c>
      <c r="C22" s="47" t="s">
        <v>128</v>
      </c>
      <c r="D22" s="48">
        <f t="shared" si="2"/>
        <v>87.865799999999993</v>
      </c>
      <c r="E22" s="48">
        <f>E21*0.05</f>
        <v>1054.3896</v>
      </c>
      <c r="F22" s="43">
        <f>E22</f>
        <v>1054.3896</v>
      </c>
    </row>
    <row r="23" spans="2:10" ht="32" thickBot="1" x14ac:dyDescent="0.35">
      <c r="B23" s="46" t="s">
        <v>130</v>
      </c>
      <c r="C23" s="47" t="s">
        <v>129</v>
      </c>
      <c r="D23" s="48">
        <v>6000</v>
      </c>
      <c r="E23" s="48">
        <f>D23*12</f>
        <v>72000</v>
      </c>
      <c r="F23" s="43">
        <f>E23*0.65</f>
        <v>46800</v>
      </c>
      <c r="G23" s="38">
        <v>56234</v>
      </c>
      <c r="H23" s="43">
        <f>E23*0.35</f>
        <v>25200</v>
      </c>
      <c r="I23" s="38">
        <v>35000</v>
      </c>
      <c r="J23" s="38">
        <v>141863</v>
      </c>
    </row>
    <row r="24" spans="2:10" x14ac:dyDescent="0.3">
      <c r="B24" s="49"/>
      <c r="C24" s="50"/>
      <c r="D24" s="49"/>
      <c r="E24" s="49"/>
    </row>
    <row r="25" spans="2:10" ht="13.5" thickBot="1" x14ac:dyDescent="0.35">
      <c r="B25" s="128" t="s">
        <v>20</v>
      </c>
      <c r="C25" s="128"/>
      <c r="D25" s="128"/>
      <c r="E25" s="115">
        <f>SUM(E18:E23)</f>
        <v>98359.739999999991</v>
      </c>
      <c r="F25" s="44"/>
    </row>
    <row r="26" spans="2:10" ht="13.5" thickTop="1" x14ac:dyDescent="0.3">
      <c r="B26" s="54" t="s">
        <v>146</v>
      </c>
      <c r="C26" s="52"/>
      <c r="D26" s="52"/>
      <c r="E26" s="53"/>
      <c r="F26" s="44"/>
    </row>
    <row r="27" spans="2:10" ht="13.5" thickBot="1" x14ac:dyDescent="0.35"/>
    <row r="28" spans="2:10" ht="13.5" thickBot="1" x14ac:dyDescent="0.35">
      <c r="B28" s="121" t="s">
        <v>81</v>
      </c>
      <c r="C28" s="122"/>
      <c r="D28" s="122"/>
      <c r="E28" s="123"/>
    </row>
    <row r="29" spans="2:10" x14ac:dyDescent="0.3">
      <c r="B29" s="124" t="s">
        <v>75</v>
      </c>
      <c r="C29" s="126" t="s">
        <v>79</v>
      </c>
      <c r="D29" s="126" t="s">
        <v>77</v>
      </c>
      <c r="E29" s="124" t="s">
        <v>76</v>
      </c>
      <c r="G29" s="44">
        <f>E13+E25</f>
        <v>472159.74</v>
      </c>
    </row>
    <row r="30" spans="2:10" ht="13.5" thickBot="1" x14ac:dyDescent="0.35">
      <c r="B30" s="125"/>
      <c r="C30" s="127"/>
      <c r="D30" s="127"/>
      <c r="E30" s="125"/>
    </row>
    <row r="31" spans="2:10" ht="13.5" thickBot="1" x14ac:dyDescent="0.35">
      <c r="B31" s="26"/>
      <c r="C31" s="33"/>
      <c r="D31" s="34"/>
      <c r="E31" s="28"/>
    </row>
    <row r="32" spans="2:10" ht="13.5" thickBot="1" x14ac:dyDescent="0.35">
      <c r="B32" s="26" t="s">
        <v>6</v>
      </c>
      <c r="C32" s="33">
        <v>2.5000000000000001E-2</v>
      </c>
      <c r="D32" s="34">
        <f>1243155+1243155*0.18</f>
        <v>1466922.9</v>
      </c>
      <c r="E32" s="28">
        <f t="shared" ref="E32" si="3">D32*C32*12</f>
        <v>440076.87</v>
      </c>
      <c r="G32" s="44">
        <f>E39-G29</f>
        <v>54996.528000000049</v>
      </c>
    </row>
    <row r="33" spans="2:9" ht="13.5" thickBot="1" x14ac:dyDescent="0.35">
      <c r="B33" s="26"/>
      <c r="C33" s="33"/>
      <c r="D33" s="34"/>
      <c r="E33" s="28"/>
    </row>
    <row r="34" spans="2:9" ht="13.5" thickBot="1" x14ac:dyDescent="0.35">
      <c r="B34" s="26" t="s">
        <v>10</v>
      </c>
      <c r="C34" s="33">
        <v>2.5000000000000001E-2</v>
      </c>
      <c r="D34" s="34">
        <f>245987+245987*0.18</f>
        <v>290264.65999999997</v>
      </c>
      <c r="E34" s="28">
        <f>D34*C34*12</f>
        <v>87079.398000000001</v>
      </c>
    </row>
    <row r="35" spans="2:9" ht="13.5" thickBot="1" x14ac:dyDescent="0.35">
      <c r="B35" s="26"/>
      <c r="C35" s="33"/>
      <c r="D35" s="34"/>
      <c r="E35" s="28"/>
    </row>
    <row r="36" spans="2:9" ht="13.5" thickBot="1" x14ac:dyDescent="0.35">
      <c r="B36" s="26"/>
      <c r="C36" s="33"/>
      <c r="D36" s="34"/>
      <c r="E36" s="28"/>
    </row>
    <row r="37" spans="2:9" ht="13.5" thickBot="1" x14ac:dyDescent="0.35">
      <c r="B37" s="26"/>
      <c r="C37" s="33"/>
      <c r="D37" s="34"/>
      <c r="E37" s="28"/>
      <c r="G37" s="38">
        <f>50000*4</f>
        <v>200000</v>
      </c>
    </row>
    <row r="38" spans="2:9" x14ac:dyDescent="0.3">
      <c r="B38" s="29"/>
      <c r="C38" s="30"/>
      <c r="D38" s="29"/>
      <c r="E38" s="29"/>
    </row>
    <row r="39" spans="2:9" ht="13.5" thickBot="1" x14ac:dyDescent="0.35">
      <c r="B39" s="119" t="s">
        <v>78</v>
      </c>
      <c r="C39" s="119"/>
      <c r="D39" s="119"/>
      <c r="E39" s="32">
        <f>SUM(E31:E37)</f>
        <v>527156.26800000004</v>
      </c>
      <c r="F39" s="44"/>
    </row>
    <row r="40" spans="2:9" ht="13.5" thickTop="1" x14ac:dyDescent="0.3">
      <c r="B40" s="57" t="s">
        <v>147</v>
      </c>
      <c r="C40" s="55"/>
      <c r="D40" s="55"/>
      <c r="E40" s="56"/>
      <c r="F40" s="44"/>
    </row>
    <row r="41" spans="2:9" x14ac:dyDescent="0.3">
      <c r="G41" s="44"/>
    </row>
    <row r="42" spans="2:9" x14ac:dyDescent="0.3">
      <c r="B42" s="38" t="s">
        <v>116</v>
      </c>
    </row>
    <row r="43" spans="2:9" x14ac:dyDescent="0.3">
      <c r="B43" s="45" t="s">
        <v>145</v>
      </c>
    </row>
    <row r="44" spans="2:9" x14ac:dyDescent="0.3">
      <c r="B44" s="45"/>
    </row>
    <row r="45" spans="2:9" x14ac:dyDescent="0.3">
      <c r="B45" s="120" t="s">
        <v>144</v>
      </c>
      <c r="C45" s="120"/>
      <c r="D45" s="120"/>
      <c r="E45" s="120"/>
    </row>
    <row r="46" spans="2:9" x14ac:dyDescent="0.3">
      <c r="B46" s="117" t="s">
        <v>137</v>
      </c>
      <c r="C46" s="118" t="s">
        <v>138</v>
      </c>
      <c r="D46" s="118" t="s">
        <v>139</v>
      </c>
      <c r="E46" s="117" t="s">
        <v>143</v>
      </c>
    </row>
    <row r="47" spans="2:9" x14ac:dyDescent="0.3">
      <c r="B47" s="117"/>
      <c r="C47" s="118"/>
      <c r="D47" s="118"/>
      <c r="E47" s="117"/>
    </row>
    <row r="48" spans="2:9" ht="14.5" x14ac:dyDescent="0.35">
      <c r="B48" s="61">
        <v>1</v>
      </c>
      <c r="C48" s="62" t="s">
        <v>140</v>
      </c>
      <c r="D48" s="63">
        <v>7</v>
      </c>
      <c r="E48" s="64">
        <f>D48*G48</f>
        <v>14851.759999999998</v>
      </c>
      <c r="G48" s="104">
        <v>2121.6799999999998</v>
      </c>
      <c r="H48" s="38" t="s">
        <v>188</v>
      </c>
      <c r="I48" t="s">
        <v>186</v>
      </c>
    </row>
    <row r="49" spans="2:5" x14ac:dyDescent="0.3">
      <c r="B49" s="61">
        <v>2</v>
      </c>
      <c r="C49" s="62" t="s">
        <v>141</v>
      </c>
      <c r="D49" s="63">
        <v>4</v>
      </c>
      <c r="E49" s="64">
        <f>D49*G48</f>
        <v>8486.7199999999993</v>
      </c>
    </row>
    <row r="50" spans="2:5" x14ac:dyDescent="0.3">
      <c r="B50" s="61">
        <v>3</v>
      </c>
      <c r="C50" s="62" t="s">
        <v>142</v>
      </c>
      <c r="D50" s="63">
        <v>3</v>
      </c>
      <c r="E50" s="64">
        <f>D50*G48</f>
        <v>6365.0399999999991</v>
      </c>
    </row>
    <row r="51" spans="2:5" x14ac:dyDescent="0.3">
      <c r="B51" s="61">
        <v>4</v>
      </c>
      <c r="C51" s="62" t="s">
        <v>149</v>
      </c>
      <c r="D51" s="63">
        <f>(7+4+3)/3</f>
        <v>4.666666666666667</v>
      </c>
      <c r="E51" s="64">
        <f>D51*G48</f>
        <v>9901.1733333333341</v>
      </c>
    </row>
    <row r="52" spans="2:5" x14ac:dyDescent="0.3">
      <c r="B52" s="29"/>
      <c r="C52" s="30"/>
      <c r="D52" s="29"/>
      <c r="E52" s="29"/>
    </row>
    <row r="53" spans="2:5" ht="13.5" thickBot="1" x14ac:dyDescent="0.35">
      <c r="B53" s="119" t="s">
        <v>150</v>
      </c>
      <c r="C53" s="119"/>
      <c r="D53" s="119"/>
      <c r="E53" s="35">
        <f>SUM(E48:E51)</f>
        <v>39604.693333333329</v>
      </c>
    </row>
    <row r="54" spans="2:5" ht="13.5" thickTop="1" x14ac:dyDescent="0.3">
      <c r="B54" s="45"/>
    </row>
    <row r="55" spans="2:5" x14ac:dyDescent="0.3">
      <c r="B55" s="45"/>
    </row>
    <row r="56" spans="2:5" x14ac:dyDescent="0.3">
      <c r="B56" s="45"/>
    </row>
    <row r="58" spans="2:5" x14ac:dyDescent="0.3">
      <c r="B58" s="38" t="s">
        <v>117</v>
      </c>
    </row>
    <row r="59" spans="2:5" x14ac:dyDescent="0.3">
      <c r="B59" s="45" t="s">
        <v>118</v>
      </c>
    </row>
    <row r="60" spans="2:5" x14ac:dyDescent="0.3">
      <c r="B60" s="45" t="s">
        <v>119</v>
      </c>
    </row>
    <row r="61" spans="2:5" x14ac:dyDescent="0.3">
      <c r="B61" s="45" t="s">
        <v>120</v>
      </c>
    </row>
    <row r="62" spans="2:5" x14ac:dyDescent="0.3">
      <c r="B62" s="45" t="s">
        <v>121</v>
      </c>
    </row>
    <row r="63" spans="2:5" x14ac:dyDescent="0.3">
      <c r="B63" s="45" t="s">
        <v>122</v>
      </c>
    </row>
  </sheetData>
  <mergeCells count="23">
    <mergeCell ref="B13:D13"/>
    <mergeCell ref="B2:E2"/>
    <mergeCell ref="G2:H2"/>
    <mergeCell ref="B3:B4"/>
    <mergeCell ref="C3:C4"/>
    <mergeCell ref="E3:E4"/>
    <mergeCell ref="B45:E45"/>
    <mergeCell ref="B15:E15"/>
    <mergeCell ref="B16:B17"/>
    <mergeCell ref="C16:C17"/>
    <mergeCell ref="E16:E17"/>
    <mergeCell ref="B25:D25"/>
    <mergeCell ref="B28:E28"/>
    <mergeCell ref="B29:B30"/>
    <mergeCell ref="C29:C30"/>
    <mergeCell ref="D29:D30"/>
    <mergeCell ref="E29:E30"/>
    <mergeCell ref="B39:D39"/>
    <mergeCell ref="B46:B47"/>
    <mergeCell ref="C46:C47"/>
    <mergeCell ref="D46:D47"/>
    <mergeCell ref="E46:E47"/>
    <mergeCell ref="B53:D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DAFD-7CCB-40F9-8DF5-13D13C9A4B25}">
  <dimension ref="B1:N63"/>
  <sheetViews>
    <sheetView topLeftCell="E1" zoomScale="66" zoomScaleNormal="100" workbookViewId="0">
      <selection activeCell="B26" sqref="B26"/>
    </sheetView>
  </sheetViews>
  <sheetFormatPr defaultRowHeight="13" x14ac:dyDescent="0.3"/>
  <cols>
    <col min="1" max="1" width="8.7265625" style="38"/>
    <col min="2" max="2" width="20.08984375" style="38" customWidth="1"/>
    <col min="3" max="3" width="18.1796875" style="38" customWidth="1"/>
    <col min="4" max="4" width="15" style="38" bestFit="1" customWidth="1"/>
    <col min="5" max="5" width="34" style="38" customWidth="1"/>
    <col min="6" max="6" width="12.08984375" style="38" bestFit="1" customWidth="1"/>
    <col min="7" max="7" width="40.6328125" style="38" bestFit="1" customWidth="1"/>
    <col min="8" max="8" width="12.90625" style="38" bestFit="1" customWidth="1"/>
    <col min="9" max="10" width="11.36328125" style="38" bestFit="1" customWidth="1"/>
    <col min="11" max="12" width="8.7265625" style="38"/>
    <col min="13" max="13" width="13" style="38" bestFit="1" customWidth="1"/>
    <col min="14" max="16384" width="8.7265625" style="38"/>
  </cols>
  <sheetData>
    <row r="1" spans="2:14" ht="13.5" thickBot="1" x14ac:dyDescent="0.35"/>
    <row r="2" spans="2:14" ht="13.5" thickBot="1" x14ac:dyDescent="0.35">
      <c r="B2" s="121" t="s">
        <v>80</v>
      </c>
      <c r="C2" s="122"/>
      <c r="D2" s="122"/>
      <c r="E2" s="123"/>
      <c r="G2" s="129" t="s">
        <v>134</v>
      </c>
      <c r="H2" s="129"/>
    </row>
    <row r="3" spans="2:14" x14ac:dyDescent="0.3">
      <c r="B3" s="124" t="s">
        <v>0</v>
      </c>
      <c r="C3" s="126" t="s">
        <v>1</v>
      </c>
      <c r="D3" s="36" t="s">
        <v>2</v>
      </c>
      <c r="E3" s="124" t="s">
        <v>3</v>
      </c>
      <c r="G3" s="59" t="s">
        <v>132</v>
      </c>
      <c r="H3" s="60">
        <f>E13</f>
        <v>763320</v>
      </c>
    </row>
    <row r="4" spans="2:14" ht="13.5" thickBot="1" x14ac:dyDescent="0.35">
      <c r="B4" s="125"/>
      <c r="C4" s="127"/>
      <c r="D4" s="37" t="s">
        <v>4</v>
      </c>
      <c r="E4" s="125"/>
      <c r="G4" s="59"/>
      <c r="H4" s="60"/>
    </row>
    <row r="5" spans="2:14" ht="13.5" thickBot="1" x14ac:dyDescent="0.35">
      <c r="B5" s="26" t="s">
        <v>5</v>
      </c>
      <c r="C5" s="27">
        <v>275</v>
      </c>
      <c r="D5" s="28">
        <v>120</v>
      </c>
      <c r="E5" s="28">
        <f>D5*C5</f>
        <v>33000</v>
      </c>
      <c r="G5" s="59" t="s">
        <v>133</v>
      </c>
      <c r="H5" s="60">
        <f>E25</f>
        <v>282877.92</v>
      </c>
      <c r="M5" s="38" t="s">
        <v>196</v>
      </c>
    </row>
    <row r="6" spans="2:14" ht="13.5" thickBot="1" x14ac:dyDescent="0.35">
      <c r="B6" s="26" t="s">
        <v>6</v>
      </c>
      <c r="C6" s="27">
        <v>2695</v>
      </c>
      <c r="D6" s="28">
        <v>120</v>
      </c>
      <c r="E6" s="28">
        <f t="shared" ref="E6:E10" si="0">D6*C6</f>
        <v>323400</v>
      </c>
      <c r="G6" s="39" t="s">
        <v>135</v>
      </c>
      <c r="H6" s="40">
        <v>35000</v>
      </c>
      <c r="J6" s="38" t="s">
        <v>177</v>
      </c>
      <c r="M6" s="43">
        <f>H3</f>
        <v>763320</v>
      </c>
      <c r="N6" s="38" t="s">
        <v>191</v>
      </c>
    </row>
    <row r="7" spans="2:14" ht="13.5" thickBot="1" x14ac:dyDescent="0.35">
      <c r="B7" s="105" t="s">
        <v>7</v>
      </c>
      <c r="C7" s="106">
        <v>1192</v>
      </c>
      <c r="D7" s="107">
        <v>120</v>
      </c>
      <c r="E7" s="107">
        <f t="shared" si="0"/>
        <v>143040</v>
      </c>
      <c r="G7" s="39" t="s">
        <v>170</v>
      </c>
      <c r="H7" s="40">
        <f>I20*0.35</f>
        <v>141863.4</v>
      </c>
      <c r="J7" s="44"/>
      <c r="M7" s="43">
        <f>E18</f>
        <v>14058.528</v>
      </c>
      <c r="N7" s="38" t="s">
        <v>192</v>
      </c>
    </row>
    <row r="8" spans="2:14" ht="13.5" thickBot="1" x14ac:dyDescent="0.35">
      <c r="B8" s="105" t="s">
        <v>8</v>
      </c>
      <c r="C8" s="106">
        <v>1601</v>
      </c>
      <c r="D8" s="107">
        <v>120</v>
      </c>
      <c r="E8" s="107">
        <f t="shared" si="0"/>
        <v>192120</v>
      </c>
      <c r="J8" s="58">
        <f>E39-H9</f>
        <v>534323.60200000019</v>
      </c>
      <c r="M8" s="43">
        <f>E19</f>
        <v>14058.528</v>
      </c>
      <c r="N8" s="38" t="s">
        <v>16</v>
      </c>
    </row>
    <row r="9" spans="2:14" ht="13.5" thickBot="1" x14ac:dyDescent="0.35">
      <c r="B9" s="26" t="s">
        <v>9</v>
      </c>
      <c r="C9" s="27">
        <v>21</v>
      </c>
      <c r="D9" s="28">
        <v>120</v>
      </c>
      <c r="E9" s="28">
        <f t="shared" si="0"/>
        <v>2520</v>
      </c>
      <c r="G9" s="31" t="s">
        <v>136</v>
      </c>
      <c r="H9" s="41">
        <f>SUM(H5:H7)</f>
        <v>459741.31999999995</v>
      </c>
      <c r="M9" s="43">
        <f>E20</f>
        <v>28117.056</v>
      </c>
      <c r="N9" s="38" t="s">
        <v>17</v>
      </c>
    </row>
    <row r="10" spans="2:14" ht="13.5" thickBot="1" x14ac:dyDescent="0.35">
      <c r="B10" s="26" t="s">
        <v>10</v>
      </c>
      <c r="C10" s="27">
        <v>420</v>
      </c>
      <c r="D10" s="28">
        <v>120</v>
      </c>
      <c r="E10" s="28">
        <f t="shared" si="0"/>
        <v>50400</v>
      </c>
      <c r="I10" s="78" t="s">
        <v>162</v>
      </c>
      <c r="M10" s="43">
        <f>E23*0.35</f>
        <v>25200</v>
      </c>
      <c r="N10" s="38" t="s">
        <v>193</v>
      </c>
    </row>
    <row r="11" spans="2:14" ht="13.5" thickBot="1" x14ac:dyDescent="0.35">
      <c r="B11" s="26" t="s">
        <v>11</v>
      </c>
      <c r="C11" s="27">
        <v>157</v>
      </c>
      <c r="D11" s="28">
        <v>120</v>
      </c>
      <c r="E11" s="28">
        <f>D11*C11</f>
        <v>18840</v>
      </c>
      <c r="G11" s="78" t="s">
        <v>160</v>
      </c>
      <c r="H11" s="78" t="s">
        <v>161</v>
      </c>
      <c r="I11" s="79">
        <f>H12*12</f>
        <v>60000</v>
      </c>
      <c r="M11" s="43">
        <f>H6</f>
        <v>35000</v>
      </c>
      <c r="N11" s="38" t="s">
        <v>194</v>
      </c>
    </row>
    <row r="12" spans="2:14" x14ac:dyDescent="0.3">
      <c r="C12" s="42"/>
      <c r="G12" s="59" t="s">
        <v>159</v>
      </c>
      <c r="H12" s="60">
        <v>5000</v>
      </c>
      <c r="I12" s="79">
        <f t="shared" ref="I12:I18" si="1">H13*12</f>
        <v>60000</v>
      </c>
      <c r="M12" s="43">
        <f>H7</f>
        <v>141863.4</v>
      </c>
      <c r="N12" s="38" t="s">
        <v>195</v>
      </c>
    </row>
    <row r="13" spans="2:14" ht="13.5" thickBot="1" x14ac:dyDescent="0.35">
      <c r="B13" s="119" t="s">
        <v>132</v>
      </c>
      <c r="C13" s="119"/>
      <c r="D13" s="119"/>
      <c r="E13" s="32">
        <f>SUM(E5:E11)</f>
        <v>763320</v>
      </c>
      <c r="G13" s="59" t="s">
        <v>163</v>
      </c>
      <c r="H13" s="60">
        <v>5000</v>
      </c>
      <c r="I13" s="79">
        <f t="shared" si="1"/>
        <v>39600</v>
      </c>
      <c r="M13" s="35">
        <f>SUM(M6:M12)</f>
        <v>1021617.5120000001</v>
      </c>
      <c r="N13" s="108"/>
    </row>
    <row r="14" spans="2:14" ht="14" thickTop="1" thickBot="1" x14ac:dyDescent="0.35">
      <c r="G14" s="39" t="s">
        <v>164</v>
      </c>
      <c r="H14" s="40">
        <v>3300</v>
      </c>
      <c r="I14" s="79">
        <f t="shared" si="1"/>
        <v>36324</v>
      </c>
    </row>
    <row r="15" spans="2:14" ht="13.5" thickBot="1" x14ac:dyDescent="0.35">
      <c r="B15" s="121" t="s">
        <v>131</v>
      </c>
      <c r="C15" s="122"/>
      <c r="D15" s="122"/>
      <c r="E15" s="123"/>
      <c r="G15" s="39" t="s">
        <v>165</v>
      </c>
      <c r="H15" s="40">
        <v>3027</v>
      </c>
      <c r="I15" s="79">
        <f t="shared" si="1"/>
        <v>66000</v>
      </c>
    </row>
    <row r="16" spans="2:14" x14ac:dyDescent="0.3">
      <c r="B16" s="124" t="s">
        <v>12</v>
      </c>
      <c r="C16" s="126" t="s">
        <v>13</v>
      </c>
      <c r="D16" s="36" t="s">
        <v>2</v>
      </c>
      <c r="E16" s="124" t="s">
        <v>3</v>
      </c>
      <c r="G16" s="39" t="s">
        <v>166</v>
      </c>
      <c r="H16" s="40">
        <v>5500</v>
      </c>
      <c r="I16" s="79">
        <f t="shared" si="1"/>
        <v>59400</v>
      </c>
    </row>
    <row r="17" spans="2:10" ht="13.5" thickBot="1" x14ac:dyDescent="0.35">
      <c r="B17" s="125"/>
      <c r="C17" s="127"/>
      <c r="D17" s="37" t="s">
        <v>14</v>
      </c>
      <c r="E17" s="125"/>
      <c r="G17" s="39" t="s">
        <v>168</v>
      </c>
      <c r="H17" s="40">
        <v>4950</v>
      </c>
      <c r="I17" s="79">
        <f t="shared" si="1"/>
        <v>42000</v>
      </c>
    </row>
    <row r="18" spans="2:10" ht="21.5" thickBot="1" x14ac:dyDescent="0.35">
      <c r="B18" s="46" t="s">
        <v>15</v>
      </c>
      <c r="C18" s="47" t="s">
        <v>124</v>
      </c>
      <c r="D18" s="48">
        <f>E18/12</f>
        <v>1171.5440000000001</v>
      </c>
      <c r="E18" s="48">
        <f>E21*0.1</f>
        <v>14058.528</v>
      </c>
      <c r="F18" s="43"/>
      <c r="G18" s="39" t="s">
        <v>169</v>
      </c>
      <c r="H18" s="40">
        <v>3500</v>
      </c>
      <c r="I18" s="79">
        <f t="shared" si="1"/>
        <v>42000</v>
      </c>
    </row>
    <row r="19" spans="2:10" ht="21.5" thickBot="1" x14ac:dyDescent="0.35">
      <c r="B19" s="46" t="s">
        <v>16</v>
      </c>
      <c r="C19" s="47" t="s">
        <v>125</v>
      </c>
      <c r="D19" s="48">
        <f t="shared" ref="D19:D22" si="2">E19/12</f>
        <v>1171.5440000000001</v>
      </c>
      <c r="E19" s="48">
        <f>E21*0.1</f>
        <v>14058.528</v>
      </c>
      <c r="F19" s="43"/>
      <c r="G19" s="39" t="s">
        <v>167</v>
      </c>
      <c r="H19" s="40">
        <v>3500</v>
      </c>
    </row>
    <row r="20" spans="2:10" ht="21.5" thickBot="1" x14ac:dyDescent="0.35">
      <c r="B20" s="46" t="s">
        <v>17</v>
      </c>
      <c r="C20" s="47" t="s">
        <v>126</v>
      </c>
      <c r="D20" s="48">
        <f t="shared" si="2"/>
        <v>2343.0880000000002</v>
      </c>
      <c r="E20" s="48">
        <f>E21*0.2</f>
        <v>28117.056</v>
      </c>
      <c r="F20" s="43"/>
      <c r="I20" s="35">
        <f>SUM(I11:I18)</f>
        <v>405324</v>
      </c>
    </row>
    <row r="21" spans="2:10" ht="21.5" thickBot="1" x14ac:dyDescent="0.35">
      <c r="B21" s="46" t="s">
        <v>18</v>
      </c>
      <c r="C21" s="47" t="s">
        <v>127</v>
      </c>
      <c r="D21" s="48">
        <f t="shared" si="2"/>
        <v>11715.44</v>
      </c>
      <c r="E21" s="48">
        <f>'Azure Cloud'!D31*12</f>
        <v>140585.28</v>
      </c>
      <c r="F21" s="43">
        <f>E21</f>
        <v>140585.28</v>
      </c>
      <c r="G21" s="31" t="s">
        <v>136</v>
      </c>
      <c r="H21" s="80">
        <f>SUM(H14:H19)</f>
        <v>23777</v>
      </c>
    </row>
    <row r="22" spans="2:10" ht="21.5" thickBot="1" x14ac:dyDescent="0.35">
      <c r="B22" s="46" t="s">
        <v>19</v>
      </c>
      <c r="C22" s="47" t="s">
        <v>128</v>
      </c>
      <c r="D22" s="48">
        <f t="shared" si="2"/>
        <v>1171.5440000000001</v>
      </c>
      <c r="E22" s="48">
        <f>E21*0.1</f>
        <v>14058.528</v>
      </c>
      <c r="F22" s="43">
        <f>E22</f>
        <v>14058.528</v>
      </c>
    </row>
    <row r="23" spans="2:10" ht="32" thickBot="1" x14ac:dyDescent="0.35">
      <c r="B23" s="46" t="s">
        <v>130</v>
      </c>
      <c r="C23" s="47" t="s">
        <v>129</v>
      </c>
      <c r="D23" s="48">
        <v>6000</v>
      </c>
      <c r="E23" s="48">
        <f>D23*12</f>
        <v>72000</v>
      </c>
      <c r="F23" s="43">
        <f>E23*0.65</f>
        <v>46800</v>
      </c>
      <c r="G23" s="38">
        <v>56234</v>
      </c>
      <c r="H23" s="43">
        <f>E23*0.35</f>
        <v>25200</v>
      </c>
      <c r="I23" s="38">
        <v>35000</v>
      </c>
      <c r="J23" s="38">
        <v>141863</v>
      </c>
    </row>
    <row r="24" spans="2:10" x14ac:dyDescent="0.3">
      <c r="B24" s="49"/>
      <c r="C24" s="50"/>
      <c r="D24" s="49"/>
      <c r="E24" s="49"/>
    </row>
    <row r="25" spans="2:10" ht="13.5" thickBot="1" x14ac:dyDescent="0.35">
      <c r="B25" s="128" t="s">
        <v>20</v>
      </c>
      <c r="C25" s="128"/>
      <c r="D25" s="128"/>
      <c r="E25" s="51">
        <f>SUM(E18:E23)</f>
        <v>282877.92</v>
      </c>
      <c r="F25" s="44"/>
    </row>
    <row r="26" spans="2:10" ht="13.5" thickTop="1" x14ac:dyDescent="0.3">
      <c r="B26" s="54" t="s">
        <v>146</v>
      </c>
      <c r="C26" s="52"/>
      <c r="D26" s="52"/>
      <c r="E26" s="53"/>
      <c r="F26" s="44"/>
    </row>
    <row r="27" spans="2:10" ht="13.5" thickBot="1" x14ac:dyDescent="0.35"/>
    <row r="28" spans="2:10" ht="13.5" thickBot="1" x14ac:dyDescent="0.35">
      <c r="B28" s="121" t="s">
        <v>81</v>
      </c>
      <c r="C28" s="122"/>
      <c r="D28" s="122"/>
      <c r="E28" s="123"/>
    </row>
    <row r="29" spans="2:10" x14ac:dyDescent="0.3">
      <c r="B29" s="124" t="s">
        <v>75</v>
      </c>
      <c r="C29" s="126" t="s">
        <v>79</v>
      </c>
      <c r="D29" s="126" t="s">
        <v>77</v>
      </c>
      <c r="E29" s="124" t="s">
        <v>76</v>
      </c>
      <c r="G29" s="44">
        <f>E13+E25</f>
        <v>1046197.9199999999</v>
      </c>
    </row>
    <row r="30" spans="2:10" ht="13.5" thickBot="1" x14ac:dyDescent="0.35">
      <c r="B30" s="125"/>
      <c r="C30" s="127"/>
      <c r="D30" s="127"/>
      <c r="E30" s="125"/>
    </row>
    <row r="31" spans="2:10" ht="13.5" thickBot="1" x14ac:dyDescent="0.35">
      <c r="B31" s="26" t="s">
        <v>5</v>
      </c>
      <c r="C31" s="33">
        <v>2.5000000000000001E-2</v>
      </c>
      <c r="D31" s="34">
        <f>106465+106465*0.18</f>
        <v>125628.7</v>
      </c>
      <c r="E31" s="28">
        <f>D31*C31*12</f>
        <v>37688.61</v>
      </c>
    </row>
    <row r="32" spans="2:10" ht="13.5" thickBot="1" x14ac:dyDescent="0.35">
      <c r="B32" s="26" t="s">
        <v>6</v>
      </c>
      <c r="C32" s="33">
        <v>2.5000000000000001E-2</v>
      </c>
      <c r="D32" s="34">
        <f>1243155+1243155*0.18</f>
        <v>1466922.9</v>
      </c>
      <c r="E32" s="28">
        <f t="shared" ref="E32:E37" si="3">D32*C32*12</f>
        <v>440076.87</v>
      </c>
      <c r="G32" s="44">
        <f>E39-G29</f>
        <v>-52132.997999999789</v>
      </c>
    </row>
    <row r="33" spans="2:9" ht="13.5" thickBot="1" x14ac:dyDescent="0.35">
      <c r="B33" s="26" t="s">
        <v>7</v>
      </c>
      <c r="C33" s="33">
        <v>2.5000000000000001E-2</v>
      </c>
      <c r="D33" s="34">
        <f>485350+485350*0.18</f>
        <v>572713</v>
      </c>
      <c r="E33" s="28">
        <f t="shared" si="3"/>
        <v>171813.90000000002</v>
      </c>
    </row>
    <row r="34" spans="2:9" ht="13.5" thickBot="1" x14ac:dyDescent="0.35">
      <c r="B34" s="26" t="s">
        <v>10</v>
      </c>
      <c r="C34" s="33">
        <v>2.5000000000000001E-2</v>
      </c>
      <c r="D34" s="34">
        <f>245987+245987*0.18</f>
        <v>290264.65999999997</v>
      </c>
      <c r="E34" s="28">
        <f>D34*C34*12</f>
        <v>87079.398000000001</v>
      </c>
    </row>
    <row r="35" spans="2:9" ht="13.5" thickBot="1" x14ac:dyDescent="0.35">
      <c r="B35" s="26" t="s">
        <v>11</v>
      </c>
      <c r="C35" s="33">
        <v>2.5000000000000001E-2</v>
      </c>
      <c r="D35" s="34">
        <f>265675+265675*0.18</f>
        <v>313496.5</v>
      </c>
      <c r="E35" s="28">
        <f>D35*C35*12</f>
        <v>94048.950000000012</v>
      </c>
    </row>
    <row r="36" spans="2:9" ht="13.5" thickBot="1" x14ac:dyDescent="0.35">
      <c r="B36" s="26" t="s">
        <v>8</v>
      </c>
      <c r="C36" s="33">
        <v>2.5000000000000001E-2</v>
      </c>
      <c r="D36" s="34">
        <f>419694+419694*0.18</f>
        <v>495238.92</v>
      </c>
      <c r="E36" s="28">
        <f t="shared" si="3"/>
        <v>148571.67600000001</v>
      </c>
    </row>
    <row r="37" spans="2:9" ht="13.5" thickBot="1" x14ac:dyDescent="0.35">
      <c r="B37" s="26" t="s">
        <v>9</v>
      </c>
      <c r="C37" s="33">
        <v>2.5000000000000001E-2</v>
      </c>
      <c r="D37" s="34">
        <f>41767+41767*0.18</f>
        <v>49285.06</v>
      </c>
      <c r="E37" s="28">
        <f t="shared" si="3"/>
        <v>14785.518</v>
      </c>
    </row>
    <row r="38" spans="2:9" x14ac:dyDescent="0.3">
      <c r="B38" s="29"/>
      <c r="C38" s="30"/>
      <c r="D38" s="29"/>
      <c r="E38" s="29"/>
    </row>
    <row r="39" spans="2:9" ht="13.5" thickBot="1" x14ac:dyDescent="0.35">
      <c r="B39" s="119" t="s">
        <v>78</v>
      </c>
      <c r="C39" s="119"/>
      <c r="D39" s="119"/>
      <c r="E39" s="32">
        <f>SUM(E31:E37)</f>
        <v>994064.92200000014</v>
      </c>
      <c r="F39" s="44"/>
    </row>
    <row r="40" spans="2:9" ht="13.5" thickTop="1" x14ac:dyDescent="0.3">
      <c r="B40" s="57" t="s">
        <v>147</v>
      </c>
      <c r="C40" s="55"/>
      <c r="D40" s="55"/>
      <c r="E40" s="56"/>
      <c r="F40" s="44"/>
    </row>
    <row r="41" spans="2:9" x14ac:dyDescent="0.3">
      <c r="G41" s="44"/>
    </row>
    <row r="42" spans="2:9" x14ac:dyDescent="0.3">
      <c r="B42" s="38" t="s">
        <v>116</v>
      </c>
    </row>
    <row r="43" spans="2:9" x14ac:dyDescent="0.3">
      <c r="B43" s="45" t="s">
        <v>145</v>
      </c>
    </row>
    <row r="44" spans="2:9" x14ac:dyDescent="0.3">
      <c r="B44" s="45"/>
    </row>
    <row r="45" spans="2:9" x14ac:dyDescent="0.3">
      <c r="B45" s="120" t="s">
        <v>144</v>
      </c>
      <c r="C45" s="120"/>
      <c r="D45" s="120"/>
      <c r="E45" s="120"/>
    </row>
    <row r="46" spans="2:9" x14ac:dyDescent="0.3">
      <c r="B46" s="117" t="s">
        <v>137</v>
      </c>
      <c r="C46" s="118" t="s">
        <v>138</v>
      </c>
      <c r="D46" s="118" t="s">
        <v>139</v>
      </c>
      <c r="E46" s="117" t="s">
        <v>143</v>
      </c>
    </row>
    <row r="47" spans="2:9" x14ac:dyDescent="0.3">
      <c r="B47" s="117"/>
      <c r="C47" s="118"/>
      <c r="D47" s="118"/>
      <c r="E47" s="117"/>
    </row>
    <row r="48" spans="2:9" ht="14.5" x14ac:dyDescent="0.35">
      <c r="B48" s="61">
        <v>1</v>
      </c>
      <c r="C48" s="62" t="s">
        <v>140</v>
      </c>
      <c r="D48" s="63">
        <v>7</v>
      </c>
      <c r="E48" s="64">
        <f>D48*G48</f>
        <v>14851.759999999998</v>
      </c>
      <c r="G48" s="104">
        <v>2121.6799999999998</v>
      </c>
      <c r="H48" s="38" t="s">
        <v>188</v>
      </c>
      <c r="I48" t="s">
        <v>186</v>
      </c>
    </row>
    <row r="49" spans="2:5" x14ac:dyDescent="0.3">
      <c r="B49" s="61">
        <v>2</v>
      </c>
      <c r="C49" s="62" t="s">
        <v>141</v>
      </c>
      <c r="D49" s="63">
        <v>4</v>
      </c>
      <c r="E49" s="64">
        <f>D49*G48</f>
        <v>8486.7199999999993</v>
      </c>
    </row>
    <row r="50" spans="2:5" x14ac:dyDescent="0.3">
      <c r="B50" s="61">
        <v>3</v>
      </c>
      <c r="C50" s="62" t="s">
        <v>142</v>
      </c>
      <c r="D50" s="63">
        <v>3</v>
      </c>
      <c r="E50" s="64">
        <f>D50*G48</f>
        <v>6365.0399999999991</v>
      </c>
    </row>
    <row r="51" spans="2:5" x14ac:dyDescent="0.3">
      <c r="B51" s="61">
        <v>4</v>
      </c>
      <c r="C51" s="62" t="s">
        <v>149</v>
      </c>
      <c r="D51" s="63">
        <f>(7+4+3)/3</f>
        <v>4.666666666666667</v>
      </c>
      <c r="E51" s="64">
        <f>D51*G48</f>
        <v>9901.1733333333341</v>
      </c>
    </row>
    <row r="52" spans="2:5" x14ac:dyDescent="0.3">
      <c r="B52" s="29"/>
      <c r="C52" s="30"/>
      <c r="D52" s="29"/>
      <c r="E52" s="29"/>
    </row>
    <row r="53" spans="2:5" ht="13.5" thickBot="1" x14ac:dyDescent="0.35">
      <c r="B53" s="119" t="s">
        <v>150</v>
      </c>
      <c r="C53" s="119"/>
      <c r="D53" s="119"/>
      <c r="E53" s="35">
        <f>SUM(E48:E51)</f>
        <v>39604.693333333329</v>
      </c>
    </row>
    <row r="54" spans="2:5" ht="13.5" thickTop="1" x14ac:dyDescent="0.3">
      <c r="B54" s="45"/>
    </row>
    <row r="55" spans="2:5" x14ac:dyDescent="0.3">
      <c r="B55" s="45"/>
    </row>
    <row r="56" spans="2:5" x14ac:dyDescent="0.3">
      <c r="B56" s="45"/>
    </row>
    <row r="58" spans="2:5" x14ac:dyDescent="0.3">
      <c r="B58" s="38" t="s">
        <v>117</v>
      </c>
    </row>
    <row r="59" spans="2:5" x14ac:dyDescent="0.3">
      <c r="B59" s="45" t="s">
        <v>118</v>
      </c>
    </row>
    <row r="60" spans="2:5" x14ac:dyDescent="0.3">
      <c r="B60" s="45" t="s">
        <v>119</v>
      </c>
    </row>
    <row r="61" spans="2:5" x14ac:dyDescent="0.3">
      <c r="B61" s="45" t="s">
        <v>120</v>
      </c>
    </row>
    <row r="62" spans="2:5" x14ac:dyDescent="0.3">
      <c r="B62" s="45" t="s">
        <v>121</v>
      </c>
    </row>
    <row r="63" spans="2:5" x14ac:dyDescent="0.3">
      <c r="B63" s="45" t="s">
        <v>122</v>
      </c>
    </row>
  </sheetData>
  <mergeCells count="23">
    <mergeCell ref="B29:B30"/>
    <mergeCell ref="C29:C30"/>
    <mergeCell ref="E29:E30"/>
    <mergeCell ref="B39:D39"/>
    <mergeCell ref="D29:D30"/>
    <mergeCell ref="B2:E2"/>
    <mergeCell ref="B15:E15"/>
    <mergeCell ref="B28:E28"/>
    <mergeCell ref="G2:H2"/>
    <mergeCell ref="B25:D25"/>
    <mergeCell ref="B3:B4"/>
    <mergeCell ref="C3:C4"/>
    <mergeCell ref="E3:E4"/>
    <mergeCell ref="B13:D13"/>
    <mergeCell ref="B16:B17"/>
    <mergeCell ref="C16:C17"/>
    <mergeCell ref="E16:E17"/>
    <mergeCell ref="E46:E47"/>
    <mergeCell ref="B53:D53"/>
    <mergeCell ref="B45:E45"/>
    <mergeCell ref="B46:B47"/>
    <mergeCell ref="C46:C47"/>
    <mergeCell ref="D46:D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282C-5062-4A98-8E38-A8589BE97BE4}">
  <dimension ref="B1:P26"/>
  <sheetViews>
    <sheetView topLeftCell="A13" zoomScale="142" workbookViewId="0">
      <selection activeCell="G24" sqref="A1:XFD1048576"/>
    </sheetView>
  </sheetViews>
  <sheetFormatPr defaultRowHeight="14.5" x14ac:dyDescent="0.35"/>
  <cols>
    <col min="2" max="2" width="6.08984375" customWidth="1"/>
    <col min="3" max="3" width="5.453125" customWidth="1"/>
    <col min="13" max="13" width="11.453125" bestFit="1" customWidth="1"/>
    <col min="16" max="16" width="10.36328125" bestFit="1" customWidth="1"/>
  </cols>
  <sheetData>
    <row r="1" spans="2:15" x14ac:dyDescent="0.35">
      <c r="B1" s="7" t="s">
        <v>102</v>
      </c>
    </row>
    <row r="2" spans="2:15" ht="36" x14ac:dyDescent="0.35">
      <c r="B2" s="97" t="s">
        <v>173</v>
      </c>
      <c r="C2" s="97" t="s">
        <v>171</v>
      </c>
      <c r="D2" s="97" t="s">
        <v>172</v>
      </c>
      <c r="E2" s="97" t="s">
        <v>174</v>
      </c>
      <c r="F2" s="97" t="s">
        <v>176</v>
      </c>
    </row>
    <row r="3" spans="2:15" x14ac:dyDescent="0.35">
      <c r="B3" s="95" t="s">
        <v>100</v>
      </c>
      <c r="C3" s="95">
        <v>1</v>
      </c>
      <c r="D3" s="95">
        <v>3</v>
      </c>
      <c r="E3" s="95" t="s">
        <v>101</v>
      </c>
      <c r="F3" s="96">
        <v>45161</v>
      </c>
    </row>
    <row r="5" spans="2:15" ht="21" x14ac:dyDescent="0.35">
      <c r="B5" s="5"/>
      <c r="C5" s="5"/>
      <c r="D5" s="5" t="s">
        <v>82</v>
      </c>
      <c r="E5" s="5" t="s">
        <v>83</v>
      </c>
      <c r="F5" s="5"/>
      <c r="G5" s="5"/>
      <c r="H5" s="5"/>
      <c r="I5" s="5"/>
      <c r="J5" s="5" t="s">
        <v>84</v>
      </c>
      <c r="K5" s="5"/>
      <c r="L5" s="5"/>
      <c r="M5" s="6" t="s">
        <v>85</v>
      </c>
    </row>
    <row r="6" spans="2:15" ht="24" x14ac:dyDescent="0.35">
      <c r="B6" s="81" t="s">
        <v>86</v>
      </c>
      <c r="C6" s="82" t="s">
        <v>175</v>
      </c>
      <c r="D6" s="82" t="s">
        <v>87</v>
      </c>
      <c r="E6" s="83" t="s">
        <v>88</v>
      </c>
      <c r="F6" s="82" t="s">
        <v>89</v>
      </c>
      <c r="G6" s="83" t="s">
        <v>90</v>
      </c>
      <c r="H6" s="82" t="s">
        <v>91</v>
      </c>
      <c r="I6" s="83" t="s">
        <v>92</v>
      </c>
      <c r="J6" s="82" t="s">
        <v>93</v>
      </c>
      <c r="K6" s="81" t="s">
        <v>94</v>
      </c>
      <c r="L6" s="82" t="s">
        <v>95</v>
      </c>
      <c r="M6" s="83" t="s">
        <v>96</v>
      </c>
      <c r="N6" t="s">
        <v>189</v>
      </c>
      <c r="O6" t="s">
        <v>190</v>
      </c>
    </row>
    <row r="7" spans="2:15" x14ac:dyDescent="0.35">
      <c r="B7" s="84">
        <v>29562</v>
      </c>
      <c r="C7" s="84" t="s">
        <v>97</v>
      </c>
      <c r="D7" s="84">
        <v>103.595</v>
      </c>
      <c r="E7" s="85">
        <v>83.043000000000006</v>
      </c>
      <c r="F7" s="84">
        <v>590</v>
      </c>
      <c r="G7" s="85">
        <v>529</v>
      </c>
      <c r="H7" s="86">
        <f>D7/F7</f>
        <v>0.17558474576271185</v>
      </c>
      <c r="I7" s="87">
        <f>E7/G7</f>
        <v>0.15698109640831759</v>
      </c>
      <c r="J7" s="84">
        <v>3010</v>
      </c>
      <c r="K7" s="88">
        <f>E7/J7</f>
        <v>2.7589036544850499E-2</v>
      </c>
      <c r="L7" s="89">
        <f>I7-H7</f>
        <v>-1.8603649354394264E-2</v>
      </c>
      <c r="M7" s="90">
        <f>L7*0.14</f>
        <v>-2.6045109096151974E-3</v>
      </c>
    </row>
    <row r="8" spans="2:15" x14ac:dyDescent="0.35">
      <c r="B8" s="84">
        <v>29574</v>
      </c>
      <c r="C8" s="84" t="s">
        <v>98</v>
      </c>
      <c r="D8" s="84">
        <v>105.18</v>
      </c>
      <c r="E8" s="85">
        <v>111.03</v>
      </c>
      <c r="F8" s="84">
        <v>548</v>
      </c>
      <c r="G8" s="85">
        <v>570</v>
      </c>
      <c r="H8" s="86">
        <f t="shared" ref="H8:I10" si="0">D8/F8</f>
        <v>0.19193430656934307</v>
      </c>
      <c r="I8" s="87">
        <f t="shared" si="0"/>
        <v>0.19478947368421054</v>
      </c>
      <c r="J8" s="84">
        <v>2806</v>
      </c>
      <c r="K8" s="88">
        <f>E8/J8</f>
        <v>3.95687811831789E-2</v>
      </c>
      <c r="L8" s="89">
        <f t="shared" ref="L8:L10" si="1">I8-H8</f>
        <v>2.8551671148674684E-3</v>
      </c>
      <c r="M8" s="90">
        <f t="shared" ref="M8:M9" si="2">L8*0.14</f>
        <v>3.9972339608144563E-4</v>
      </c>
    </row>
    <row r="9" spans="2:15" x14ac:dyDescent="0.35">
      <c r="B9" s="84">
        <v>29590</v>
      </c>
      <c r="C9" s="84" t="s">
        <v>99</v>
      </c>
      <c r="D9" s="84">
        <v>157.833</v>
      </c>
      <c r="E9" s="85">
        <v>127.303</v>
      </c>
      <c r="F9" s="84">
        <v>454</v>
      </c>
      <c r="G9" s="85">
        <v>524</v>
      </c>
      <c r="H9" s="86">
        <f t="shared" si="0"/>
        <v>0.34764977973568284</v>
      </c>
      <c r="I9" s="87">
        <f t="shared" si="0"/>
        <v>0.24294465648854963</v>
      </c>
      <c r="J9" s="84">
        <v>3306</v>
      </c>
      <c r="K9" s="88">
        <f>E9/J9</f>
        <v>3.8506654567453114E-2</v>
      </c>
      <c r="L9" s="89">
        <f t="shared" si="1"/>
        <v>-0.10470512324713321</v>
      </c>
      <c r="M9" s="90">
        <f t="shared" si="2"/>
        <v>-1.4658717254598651E-2</v>
      </c>
    </row>
    <row r="10" spans="2:15" x14ac:dyDescent="0.35">
      <c r="B10" s="133" t="s">
        <v>72</v>
      </c>
      <c r="C10" s="133"/>
      <c r="D10" s="84">
        <f>SUM(D7:D9)</f>
        <v>366.608</v>
      </c>
      <c r="E10" s="85">
        <f>SUM(E7:E9)</f>
        <v>321.37599999999998</v>
      </c>
      <c r="F10" s="84">
        <f>SUM(F7:F9)</f>
        <v>1592</v>
      </c>
      <c r="G10" s="85">
        <f>SUM(G7:G9)</f>
        <v>1623</v>
      </c>
      <c r="H10" s="86">
        <f>D10/F10</f>
        <v>0.23028140703517588</v>
      </c>
      <c r="I10" s="87">
        <f t="shared" si="0"/>
        <v>0.19801355514479357</v>
      </c>
      <c r="J10" s="84">
        <f>SUM(J7:J9)</f>
        <v>9122</v>
      </c>
      <c r="K10" s="88">
        <f>E10/J10</f>
        <v>3.5230870423152816E-2</v>
      </c>
      <c r="L10" s="89">
        <f t="shared" si="1"/>
        <v>-3.226785189038231E-2</v>
      </c>
      <c r="M10" s="90">
        <f>L10*0.14</f>
        <v>-4.5174992646535234E-3</v>
      </c>
    </row>
    <row r="11" spans="2:15" ht="15" thickBot="1" x14ac:dyDescent="0.4"/>
    <row r="12" spans="2:15" ht="32" thickBot="1" x14ac:dyDescent="0.4">
      <c r="B12" s="91" t="s">
        <v>103</v>
      </c>
      <c r="C12" s="92" t="s">
        <v>104</v>
      </c>
      <c r="D12" s="92" t="s">
        <v>115</v>
      </c>
      <c r="E12" s="92" t="s">
        <v>105</v>
      </c>
      <c r="F12" s="92" t="s">
        <v>106</v>
      </c>
      <c r="G12" s="92" t="s">
        <v>107</v>
      </c>
      <c r="H12" s="93" t="s">
        <v>76</v>
      </c>
    </row>
    <row r="13" spans="2:15" ht="15" thickBot="1" x14ac:dyDescent="0.4">
      <c r="B13" s="114">
        <f>-AVERAGE(M7:M9)</f>
        <v>5.621168256044134E-3</v>
      </c>
      <c r="C13" s="9">
        <v>4000</v>
      </c>
      <c r="D13" s="9">
        <f>C13*B13</f>
        <v>22.484673024176537</v>
      </c>
      <c r="E13" s="9">
        <f>D13*30</f>
        <v>674.54019072529616</v>
      </c>
      <c r="F13" s="9">
        <f>E13*12</f>
        <v>8094.4822887035534</v>
      </c>
      <c r="G13" s="10">
        <v>2.65</v>
      </c>
      <c r="H13" s="11">
        <f>G13*F13</f>
        <v>21450.378065064415</v>
      </c>
    </row>
    <row r="14" spans="2:15" ht="15" thickBot="1" x14ac:dyDescent="0.4">
      <c r="B14" s="65"/>
      <c r="M14" s="94">
        <f>(H13-H15)</f>
        <v>10725.189032532207</v>
      </c>
      <c r="N14">
        <f>M14/H13</f>
        <v>0.5</v>
      </c>
    </row>
    <row r="15" spans="2:15" ht="15" thickBot="1" x14ac:dyDescent="0.4">
      <c r="B15" s="8">
        <f>B13/2</f>
        <v>2.810584128022067E-3</v>
      </c>
      <c r="C15" s="9">
        <v>4000</v>
      </c>
      <c r="D15" s="9">
        <f>C15*B15</f>
        <v>11.242336512088269</v>
      </c>
      <c r="E15" s="9">
        <f>D15*30</f>
        <v>337.27009536264808</v>
      </c>
      <c r="F15" s="9">
        <f>E15*12</f>
        <v>4047.2411443517767</v>
      </c>
      <c r="G15" s="10">
        <v>2.65</v>
      </c>
      <c r="H15" s="11">
        <f>G15*F15</f>
        <v>10725.189032532207</v>
      </c>
      <c r="I15" t="s">
        <v>151</v>
      </c>
      <c r="L15" s="4"/>
      <c r="N15" t="s">
        <v>187</v>
      </c>
    </row>
    <row r="16" spans="2:15" x14ac:dyDescent="0.35">
      <c r="B16" s="12" t="s">
        <v>108</v>
      </c>
      <c r="N16">
        <f>13000/14</f>
        <v>928.57142857142856</v>
      </c>
      <c r="O16" t="s">
        <v>185</v>
      </c>
    </row>
    <row r="18" spans="2:16" x14ac:dyDescent="0.35">
      <c r="N18" t="s">
        <v>186</v>
      </c>
      <c r="O18" t="s">
        <v>185</v>
      </c>
      <c r="P18" s="103">
        <v>2121.6799999999998</v>
      </c>
    </row>
    <row r="19" spans="2:16" ht="43.5" x14ac:dyDescent="0.35">
      <c r="C19" t="s">
        <v>109</v>
      </c>
      <c r="D19" t="s">
        <v>110</v>
      </c>
      <c r="F19" s="13" t="s">
        <v>103</v>
      </c>
      <c r="G19" s="13" t="s">
        <v>104</v>
      </c>
      <c r="H19" s="13" t="s">
        <v>105</v>
      </c>
      <c r="I19" s="13" t="s">
        <v>106</v>
      </c>
      <c r="J19" s="13" t="s">
        <v>107</v>
      </c>
      <c r="K19" s="13" t="s">
        <v>76</v>
      </c>
    </row>
    <row r="20" spans="2:16" x14ac:dyDescent="0.35">
      <c r="C20" t="s">
        <v>111</v>
      </c>
      <c r="F20" s="13">
        <v>1.4999999999999999E-2</v>
      </c>
      <c r="G20" s="13">
        <v>4000</v>
      </c>
      <c r="H20" s="13">
        <f>F20*G20*30</f>
        <v>1800</v>
      </c>
      <c r="I20" s="13">
        <f>H20*12</f>
        <v>21600</v>
      </c>
      <c r="J20" s="14">
        <v>2.65</v>
      </c>
      <c r="K20" s="15">
        <f>I20*J20</f>
        <v>57240</v>
      </c>
    </row>
    <row r="22" spans="2:16" x14ac:dyDescent="0.35">
      <c r="C22" t="s">
        <v>112</v>
      </c>
      <c r="D22" t="s">
        <v>113</v>
      </c>
    </row>
    <row r="23" spans="2:16" x14ac:dyDescent="0.35">
      <c r="C23">
        <v>275</v>
      </c>
      <c r="D23">
        <f>C23*0.5</f>
        <v>137.5</v>
      </c>
    </row>
    <row r="24" spans="2:16" x14ac:dyDescent="0.35">
      <c r="B24" t="s">
        <v>114</v>
      </c>
      <c r="C24">
        <v>7</v>
      </c>
      <c r="D24">
        <f>C24*350</f>
        <v>2450</v>
      </c>
    </row>
    <row r="25" spans="2:16" x14ac:dyDescent="0.35">
      <c r="B25" t="s">
        <v>114</v>
      </c>
      <c r="C25">
        <v>4</v>
      </c>
      <c r="D25">
        <f>C25*350</f>
        <v>1400</v>
      </c>
    </row>
    <row r="26" spans="2:16" x14ac:dyDescent="0.35">
      <c r="B26" t="s">
        <v>114</v>
      </c>
      <c r="C26">
        <v>3</v>
      </c>
      <c r="D26">
        <f>C26*350</f>
        <v>1050</v>
      </c>
    </row>
  </sheetData>
  <mergeCells count="1"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1EC2-1174-4B74-A815-95F64812A047}">
  <dimension ref="B1:N26"/>
  <sheetViews>
    <sheetView topLeftCell="A3" zoomScale="142" workbookViewId="0">
      <selection activeCell="I8" sqref="I8"/>
    </sheetView>
  </sheetViews>
  <sheetFormatPr defaultRowHeight="14.5" x14ac:dyDescent="0.35"/>
  <cols>
    <col min="2" max="2" width="6.08984375" customWidth="1"/>
    <col min="3" max="3" width="5.453125" customWidth="1"/>
    <col min="13" max="13" width="10.453125" bestFit="1" customWidth="1"/>
  </cols>
  <sheetData>
    <row r="1" spans="2:14" x14ac:dyDescent="0.35">
      <c r="B1" s="7" t="s">
        <v>102</v>
      </c>
    </row>
    <row r="2" spans="2:14" ht="36" x14ac:dyDescent="0.35">
      <c r="B2" s="97" t="s">
        <v>173</v>
      </c>
      <c r="C2" s="97" t="s">
        <v>171</v>
      </c>
      <c r="D2" s="97" t="s">
        <v>172</v>
      </c>
      <c r="E2" s="97" t="s">
        <v>174</v>
      </c>
      <c r="F2" s="97" t="s">
        <v>176</v>
      </c>
    </row>
    <row r="3" spans="2:14" x14ac:dyDescent="0.35">
      <c r="B3" s="95" t="s">
        <v>100</v>
      </c>
      <c r="C3" s="95">
        <v>1</v>
      </c>
      <c r="D3" s="95">
        <v>3</v>
      </c>
      <c r="E3" s="95" t="s">
        <v>101</v>
      </c>
      <c r="F3" s="96">
        <v>45161</v>
      </c>
    </row>
    <row r="5" spans="2:14" ht="21" x14ac:dyDescent="0.35">
      <c r="B5" s="5"/>
      <c r="C5" s="5"/>
      <c r="D5" s="5" t="s">
        <v>82</v>
      </c>
      <c r="E5" s="5" t="s">
        <v>83</v>
      </c>
      <c r="F5" s="5"/>
      <c r="G5" s="5"/>
      <c r="H5" s="5"/>
      <c r="I5" s="5"/>
      <c r="J5" s="5" t="s">
        <v>84</v>
      </c>
      <c r="K5" s="5"/>
      <c r="L5" s="5"/>
      <c r="M5" s="6" t="s">
        <v>85</v>
      </c>
    </row>
    <row r="6" spans="2:14" ht="24" x14ac:dyDescent="0.35">
      <c r="B6" s="81" t="s">
        <v>86</v>
      </c>
      <c r="C6" s="82" t="s">
        <v>175</v>
      </c>
      <c r="D6" s="82" t="s">
        <v>87</v>
      </c>
      <c r="E6" s="83" t="s">
        <v>88</v>
      </c>
      <c r="F6" s="82" t="s">
        <v>89</v>
      </c>
      <c r="G6" s="83" t="s">
        <v>90</v>
      </c>
      <c r="H6" s="82" t="s">
        <v>91</v>
      </c>
      <c r="I6" s="83" t="s">
        <v>92</v>
      </c>
      <c r="J6" s="82" t="s">
        <v>93</v>
      </c>
      <c r="K6" s="81" t="s">
        <v>94</v>
      </c>
      <c r="L6" s="82" t="s">
        <v>95</v>
      </c>
      <c r="M6" s="83" t="s">
        <v>96</v>
      </c>
    </row>
    <row r="7" spans="2:14" x14ac:dyDescent="0.35">
      <c r="B7" s="84">
        <v>29562</v>
      </c>
      <c r="C7" s="84" t="s">
        <v>97</v>
      </c>
      <c r="D7" s="84">
        <v>103.595</v>
      </c>
      <c r="E7" s="85">
        <v>83.043000000000006</v>
      </c>
      <c r="F7" s="84">
        <v>590</v>
      </c>
      <c r="G7" s="85">
        <v>529</v>
      </c>
      <c r="H7" s="86">
        <f>D7/F7</f>
        <v>0.17558474576271185</v>
      </c>
      <c r="I7" s="87">
        <f>E7/G7</f>
        <v>0.15698109640831759</v>
      </c>
      <c r="J7" s="84">
        <v>3010</v>
      </c>
      <c r="K7" s="88">
        <f>E7/J7</f>
        <v>2.7589036544850499E-2</v>
      </c>
      <c r="L7" s="89">
        <f>I7-H7</f>
        <v>-1.8603649354394264E-2</v>
      </c>
      <c r="M7" s="90">
        <f>L7*0.14</f>
        <v>-2.6045109096151974E-3</v>
      </c>
    </row>
    <row r="8" spans="2:14" x14ac:dyDescent="0.35">
      <c r="B8" s="84">
        <v>29574</v>
      </c>
      <c r="C8" s="84" t="s">
        <v>98</v>
      </c>
      <c r="D8" s="84">
        <v>105.18</v>
      </c>
      <c r="E8" s="85">
        <v>111.03</v>
      </c>
      <c r="F8" s="84">
        <v>548</v>
      </c>
      <c r="G8" s="85">
        <v>570</v>
      </c>
      <c r="H8" s="86">
        <f t="shared" ref="H8:I10" si="0">D8/F8</f>
        <v>0.19193430656934307</v>
      </c>
      <c r="I8" s="87">
        <f t="shared" si="0"/>
        <v>0.19478947368421054</v>
      </c>
      <c r="J8" s="84">
        <v>2806</v>
      </c>
      <c r="K8" s="88">
        <f>E8/J8</f>
        <v>3.95687811831789E-2</v>
      </c>
      <c r="L8" s="89">
        <f t="shared" ref="L8:L10" si="1">I8-H8</f>
        <v>2.8551671148674684E-3</v>
      </c>
      <c r="M8" s="90">
        <f t="shared" ref="M8:M10" si="2">L8*0.14</f>
        <v>3.9972339608144563E-4</v>
      </c>
    </row>
    <row r="9" spans="2:14" x14ac:dyDescent="0.35">
      <c r="B9" s="84">
        <v>29590</v>
      </c>
      <c r="C9" s="84" t="s">
        <v>99</v>
      </c>
      <c r="D9" s="84">
        <v>157.833</v>
      </c>
      <c r="E9" s="85">
        <v>127.303</v>
      </c>
      <c r="F9" s="84">
        <v>454</v>
      </c>
      <c r="G9" s="85">
        <v>524</v>
      </c>
      <c r="H9" s="86">
        <f t="shared" si="0"/>
        <v>0.34764977973568284</v>
      </c>
      <c r="I9" s="87">
        <f t="shared" si="0"/>
        <v>0.24294465648854963</v>
      </c>
      <c r="J9" s="84">
        <v>3306</v>
      </c>
      <c r="K9" s="88">
        <f>E9/J9</f>
        <v>3.8506654567453114E-2</v>
      </c>
      <c r="L9" s="89">
        <f t="shared" si="1"/>
        <v>-0.10470512324713321</v>
      </c>
      <c r="M9" s="90">
        <f t="shared" si="2"/>
        <v>-1.4658717254598651E-2</v>
      </c>
    </row>
    <row r="10" spans="2:14" x14ac:dyDescent="0.35">
      <c r="B10" s="133" t="s">
        <v>72</v>
      </c>
      <c r="C10" s="133"/>
      <c r="D10" s="84">
        <f>SUM(D7:D9)</f>
        <v>366.608</v>
      </c>
      <c r="E10" s="85">
        <f>SUM(E7:E9)</f>
        <v>321.37599999999998</v>
      </c>
      <c r="F10" s="84">
        <f>SUM(F7:F9)</f>
        <v>1592</v>
      </c>
      <c r="G10" s="85">
        <f>SUM(G7:G9)</f>
        <v>1623</v>
      </c>
      <c r="H10" s="86">
        <f t="shared" si="0"/>
        <v>0.23028140703517588</v>
      </c>
      <c r="I10" s="87">
        <f t="shared" si="0"/>
        <v>0.19801355514479357</v>
      </c>
      <c r="J10" s="84">
        <f>SUM(J7:J9)</f>
        <v>9122</v>
      </c>
      <c r="K10" s="88">
        <f>E10/J10</f>
        <v>3.5230870423152816E-2</v>
      </c>
      <c r="L10" s="89">
        <f t="shared" si="1"/>
        <v>-3.226785189038231E-2</v>
      </c>
      <c r="M10" s="90">
        <f t="shared" si="2"/>
        <v>-4.5174992646535234E-3</v>
      </c>
    </row>
    <row r="11" spans="2:14" ht="15" thickBot="1" x14ac:dyDescent="0.4"/>
    <row r="12" spans="2:14" ht="32" thickBot="1" x14ac:dyDescent="0.4">
      <c r="B12" s="91" t="s">
        <v>103</v>
      </c>
      <c r="C12" s="92" t="s">
        <v>104</v>
      </c>
      <c r="D12" s="92" t="s">
        <v>115</v>
      </c>
      <c r="E12" s="92" t="s">
        <v>105</v>
      </c>
      <c r="F12" s="92" t="s">
        <v>106</v>
      </c>
      <c r="G12" s="92" t="s">
        <v>107</v>
      </c>
      <c r="H12" s="93" t="s">
        <v>76</v>
      </c>
    </row>
    <row r="13" spans="2:14" ht="15" thickBot="1" x14ac:dyDescent="0.4">
      <c r="B13" s="8">
        <v>0.02</v>
      </c>
      <c r="C13" s="9">
        <v>4000</v>
      </c>
      <c r="D13" s="9">
        <f>C13*B13</f>
        <v>80</v>
      </c>
      <c r="E13" s="9">
        <f>D13*30</f>
        <v>2400</v>
      </c>
      <c r="F13" s="9">
        <f>E13*12</f>
        <v>28800</v>
      </c>
      <c r="G13" s="10">
        <v>2.65</v>
      </c>
      <c r="H13" s="11">
        <f>G13*F13</f>
        <v>76320</v>
      </c>
    </row>
    <row r="14" spans="2:14" ht="15" thickBot="1" x14ac:dyDescent="0.4">
      <c r="B14" s="65"/>
      <c r="M14" s="94">
        <f>(H13-H15)</f>
        <v>40449.599999999999</v>
      </c>
      <c r="N14">
        <f>M14/H13</f>
        <v>0.53</v>
      </c>
    </row>
    <row r="15" spans="2:14" ht="15" thickBot="1" x14ac:dyDescent="0.4">
      <c r="B15" s="8">
        <v>9.4000000000000004E-3</v>
      </c>
      <c r="C15" s="9">
        <v>4000</v>
      </c>
      <c r="D15" s="9">
        <f>C15*B15</f>
        <v>37.6</v>
      </c>
      <c r="E15" s="9">
        <f>D15*30</f>
        <v>1128</v>
      </c>
      <c r="F15" s="9">
        <f>E15*12</f>
        <v>13536</v>
      </c>
      <c r="G15" s="10">
        <v>2.65</v>
      </c>
      <c r="H15" s="11">
        <f>G15*F15</f>
        <v>35870.400000000001</v>
      </c>
      <c r="I15" t="s">
        <v>151</v>
      </c>
      <c r="L15" s="4"/>
    </row>
    <row r="16" spans="2:14" x14ac:dyDescent="0.35">
      <c r="B16" s="12" t="s">
        <v>108</v>
      </c>
    </row>
    <row r="19" spans="2:11" ht="43.5" x14ac:dyDescent="0.35">
      <c r="C19" t="s">
        <v>109</v>
      </c>
      <c r="D19" t="s">
        <v>110</v>
      </c>
      <c r="F19" s="13" t="s">
        <v>103</v>
      </c>
      <c r="G19" s="13" t="s">
        <v>104</v>
      </c>
      <c r="H19" s="13" t="s">
        <v>105</v>
      </c>
      <c r="I19" s="13" t="s">
        <v>106</v>
      </c>
      <c r="J19" s="13" t="s">
        <v>107</v>
      </c>
      <c r="K19" s="13" t="s">
        <v>76</v>
      </c>
    </row>
    <row r="20" spans="2:11" x14ac:dyDescent="0.35">
      <c r="C20" t="s">
        <v>111</v>
      </c>
      <c r="F20" s="13">
        <v>1.4999999999999999E-2</v>
      </c>
      <c r="G20" s="13">
        <v>4000</v>
      </c>
      <c r="H20" s="13">
        <f>F20*G20*30</f>
        <v>1800</v>
      </c>
      <c r="I20" s="13">
        <f>H20*12</f>
        <v>21600</v>
      </c>
      <c r="J20" s="14">
        <v>2.65</v>
      </c>
      <c r="K20" s="15">
        <f>I20*J20</f>
        <v>57240</v>
      </c>
    </row>
    <row r="22" spans="2:11" x14ac:dyDescent="0.35">
      <c r="C22" t="s">
        <v>112</v>
      </c>
      <c r="D22" t="s">
        <v>113</v>
      </c>
    </row>
    <row r="23" spans="2:11" x14ac:dyDescent="0.35">
      <c r="C23">
        <v>275</v>
      </c>
      <c r="D23">
        <f>C23*0.5</f>
        <v>137.5</v>
      </c>
    </row>
    <row r="24" spans="2:11" x14ac:dyDescent="0.35">
      <c r="B24" t="s">
        <v>114</v>
      </c>
      <c r="C24">
        <v>7</v>
      </c>
      <c r="D24">
        <f>C24*350</f>
        <v>2450</v>
      </c>
    </row>
    <row r="25" spans="2:11" x14ac:dyDescent="0.35">
      <c r="B25" t="s">
        <v>114</v>
      </c>
      <c r="C25">
        <v>4</v>
      </c>
      <c r="D25">
        <f>C25*350</f>
        <v>1400</v>
      </c>
    </row>
    <row r="26" spans="2:11" x14ac:dyDescent="0.35">
      <c r="B26" t="s">
        <v>114</v>
      </c>
      <c r="C26">
        <v>3</v>
      </c>
      <c r="D26">
        <f>C26*350</f>
        <v>1050</v>
      </c>
    </row>
  </sheetData>
  <mergeCells count="1">
    <mergeCell ref="B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3366-0706-4B55-A888-20866AEAF424}">
  <dimension ref="A1:D31"/>
  <sheetViews>
    <sheetView workbookViewId="0">
      <selection activeCell="D31" sqref="D31"/>
    </sheetView>
  </sheetViews>
  <sheetFormatPr defaultColWidth="30.7265625" defaultRowHeight="14.5" x14ac:dyDescent="0.35"/>
  <cols>
    <col min="1" max="1" width="27.7265625" bestFit="1" customWidth="1"/>
    <col min="2" max="2" width="9.81640625" bestFit="1" customWidth="1"/>
    <col min="3" max="3" width="80.90625" customWidth="1"/>
    <col min="4" max="4" width="25.54296875" customWidth="1"/>
  </cols>
  <sheetData>
    <row r="1" spans="1:4" x14ac:dyDescent="0.35">
      <c r="D1" s="1"/>
    </row>
    <row r="2" spans="1:4" x14ac:dyDescent="0.35">
      <c r="D2" s="2"/>
    </row>
    <row r="3" spans="1:4" x14ac:dyDescent="0.35">
      <c r="D3" s="2"/>
    </row>
    <row r="5" spans="1:4" x14ac:dyDescent="0.35">
      <c r="A5" s="134" t="s">
        <v>21</v>
      </c>
      <c r="B5" s="134"/>
      <c r="C5" s="17"/>
      <c r="D5" s="18"/>
    </row>
    <row r="6" spans="1:4" x14ac:dyDescent="0.35">
      <c r="A6" s="134" t="s">
        <v>123</v>
      </c>
      <c r="B6" s="134"/>
      <c r="C6" s="17"/>
      <c r="D6" s="18"/>
    </row>
    <row r="7" spans="1:4" x14ac:dyDescent="0.35">
      <c r="A7" s="19" t="s">
        <v>22</v>
      </c>
      <c r="B7" s="19" t="s">
        <v>23</v>
      </c>
      <c r="C7" s="19" t="s">
        <v>24</v>
      </c>
      <c r="D7" s="20" t="s">
        <v>74</v>
      </c>
    </row>
    <row r="8" spans="1:4" ht="26.5" x14ac:dyDescent="0.35">
      <c r="A8" s="17" t="s">
        <v>25</v>
      </c>
      <c r="B8" s="17" t="s">
        <v>26</v>
      </c>
      <c r="C8" s="17" t="s">
        <v>27</v>
      </c>
      <c r="D8" s="21">
        <f>221.08*3</f>
        <v>663.24</v>
      </c>
    </row>
    <row r="9" spans="1:4" x14ac:dyDescent="0.35">
      <c r="A9" s="17" t="s">
        <v>28</v>
      </c>
      <c r="B9" s="17" t="s">
        <v>26</v>
      </c>
      <c r="C9" s="17" t="s">
        <v>29</v>
      </c>
      <c r="D9" s="21">
        <v>787.51</v>
      </c>
    </row>
    <row r="10" spans="1:4" ht="26.5" x14ac:dyDescent="0.35">
      <c r="A10" s="17" t="s">
        <v>30</v>
      </c>
      <c r="B10" s="17" t="s">
        <v>26</v>
      </c>
      <c r="C10" s="17" t="s">
        <v>31</v>
      </c>
      <c r="D10" s="21">
        <f>50*3</f>
        <v>150</v>
      </c>
    </row>
    <row r="11" spans="1:4" ht="39.5" x14ac:dyDescent="0.35">
      <c r="A11" s="17" t="s">
        <v>73</v>
      </c>
      <c r="B11" s="17" t="s">
        <v>26</v>
      </c>
      <c r="C11" s="17" t="s">
        <v>32</v>
      </c>
      <c r="D11" s="21">
        <v>2400</v>
      </c>
    </row>
    <row r="12" spans="1:4" x14ac:dyDescent="0.35">
      <c r="A12" s="17" t="s">
        <v>33</v>
      </c>
      <c r="B12" s="17" t="s">
        <v>26</v>
      </c>
      <c r="C12" s="17" t="s">
        <v>34</v>
      </c>
      <c r="D12" s="21">
        <v>5590.34</v>
      </c>
    </row>
    <row r="13" spans="1:4" ht="26.5" x14ac:dyDescent="0.35">
      <c r="A13" s="17" t="s">
        <v>35</v>
      </c>
      <c r="B13" s="17" t="s">
        <v>26</v>
      </c>
      <c r="C13" s="17" t="s">
        <v>36</v>
      </c>
      <c r="D13" s="21">
        <v>838.03</v>
      </c>
    </row>
    <row r="14" spans="1:4" x14ac:dyDescent="0.35">
      <c r="A14" s="17" t="s">
        <v>37</v>
      </c>
      <c r="B14" s="17" t="s">
        <v>26</v>
      </c>
      <c r="C14" s="17" t="s">
        <v>38</v>
      </c>
      <c r="D14" s="21">
        <v>9.3000000000000007</v>
      </c>
    </row>
    <row r="15" spans="1:4" ht="26.5" x14ac:dyDescent="0.35">
      <c r="A15" s="17" t="s">
        <v>39</v>
      </c>
      <c r="B15" s="17" t="s">
        <v>26</v>
      </c>
      <c r="C15" s="17" t="s">
        <v>40</v>
      </c>
      <c r="D15" s="21">
        <v>40.15</v>
      </c>
    </row>
    <row r="16" spans="1:4" x14ac:dyDescent="0.35">
      <c r="A16" s="17" t="s">
        <v>41</v>
      </c>
      <c r="B16" s="17" t="s">
        <v>26</v>
      </c>
      <c r="C16" s="17" t="s">
        <v>42</v>
      </c>
      <c r="D16" s="21">
        <f>53*2</f>
        <v>106</v>
      </c>
    </row>
    <row r="17" spans="1:4" x14ac:dyDescent="0.35">
      <c r="A17" s="17" t="s">
        <v>43</v>
      </c>
      <c r="B17" s="17"/>
      <c r="C17" s="17" t="s">
        <v>44</v>
      </c>
      <c r="D17" s="21">
        <v>6</v>
      </c>
    </row>
    <row r="18" spans="1:4" ht="52.5" x14ac:dyDescent="0.35">
      <c r="A18" s="17" t="s">
        <v>45</v>
      </c>
      <c r="B18" s="17" t="s">
        <v>26</v>
      </c>
      <c r="C18" s="17" t="s">
        <v>46</v>
      </c>
      <c r="D18" s="21">
        <v>22.01</v>
      </c>
    </row>
    <row r="19" spans="1:4" ht="52.5" x14ac:dyDescent="0.35">
      <c r="A19" s="17" t="s">
        <v>47</v>
      </c>
      <c r="B19" s="17" t="s">
        <v>26</v>
      </c>
      <c r="C19" s="17" t="s">
        <v>48</v>
      </c>
      <c r="D19" s="21">
        <v>60.58</v>
      </c>
    </row>
    <row r="20" spans="1:4" x14ac:dyDescent="0.35">
      <c r="A20" s="17" t="s">
        <v>49</v>
      </c>
      <c r="B20" s="17" t="s">
        <v>26</v>
      </c>
      <c r="C20" s="17" t="s">
        <v>50</v>
      </c>
      <c r="D20" s="21">
        <v>23.25</v>
      </c>
    </row>
    <row r="21" spans="1:4" ht="26.5" x14ac:dyDescent="0.35">
      <c r="A21" s="17" t="s">
        <v>51</v>
      </c>
      <c r="B21" s="17"/>
      <c r="C21" s="17" t="s">
        <v>52</v>
      </c>
      <c r="D21" s="21">
        <v>40</v>
      </c>
    </row>
    <row r="22" spans="1:4" x14ac:dyDescent="0.35">
      <c r="A22" s="17" t="s">
        <v>53</v>
      </c>
      <c r="B22" s="17" t="s">
        <v>26</v>
      </c>
      <c r="C22" s="17" t="s">
        <v>54</v>
      </c>
      <c r="D22" s="21">
        <v>360.62</v>
      </c>
    </row>
    <row r="23" spans="1:4" x14ac:dyDescent="0.35">
      <c r="A23" s="17" t="s">
        <v>55</v>
      </c>
      <c r="B23" s="17" t="s">
        <v>26</v>
      </c>
      <c r="C23" s="17" t="s">
        <v>56</v>
      </c>
      <c r="D23" s="21">
        <v>50.26</v>
      </c>
    </row>
    <row r="24" spans="1:4" ht="26.5" x14ac:dyDescent="0.35">
      <c r="A24" s="17" t="s">
        <v>57</v>
      </c>
      <c r="B24" s="17" t="s">
        <v>26</v>
      </c>
      <c r="C24" s="17" t="s">
        <v>58</v>
      </c>
      <c r="D24" s="21">
        <v>478.15</v>
      </c>
    </row>
    <row r="25" spans="1:4" x14ac:dyDescent="0.35">
      <c r="A25" s="17" t="s">
        <v>59</v>
      </c>
      <c r="B25" s="17"/>
      <c r="C25" s="17" t="s">
        <v>60</v>
      </c>
      <c r="D25" s="21">
        <v>48</v>
      </c>
    </row>
    <row r="26" spans="1:4" x14ac:dyDescent="0.35">
      <c r="A26" s="17" t="s">
        <v>61</v>
      </c>
      <c r="B26" s="17" t="s">
        <v>26</v>
      </c>
      <c r="C26" s="17" t="s">
        <v>62</v>
      </c>
      <c r="D26" s="21">
        <v>25</v>
      </c>
    </row>
    <row r="27" spans="1:4" x14ac:dyDescent="0.35">
      <c r="A27" s="17" t="s">
        <v>63</v>
      </c>
      <c r="B27" s="17" t="s">
        <v>64</v>
      </c>
      <c r="C27" s="17" t="s">
        <v>65</v>
      </c>
      <c r="D27" s="21">
        <v>9</v>
      </c>
    </row>
    <row r="28" spans="1:4" ht="39.5" x14ac:dyDescent="0.35">
      <c r="A28" s="17" t="s">
        <v>66</v>
      </c>
      <c r="B28" s="17" t="s">
        <v>67</v>
      </c>
      <c r="C28" s="17" t="s">
        <v>68</v>
      </c>
      <c r="D28" s="21">
        <v>8</v>
      </c>
    </row>
    <row r="29" spans="1:4" x14ac:dyDescent="0.35">
      <c r="A29" s="17" t="s">
        <v>69</v>
      </c>
      <c r="B29" s="17"/>
      <c r="C29" s="22" t="s">
        <v>69</v>
      </c>
      <c r="D29" s="21">
        <v>0</v>
      </c>
    </row>
    <row r="30" spans="1:4" x14ac:dyDescent="0.35">
      <c r="A30" s="17"/>
      <c r="B30" s="17"/>
      <c r="C30" s="22" t="s">
        <v>70</v>
      </c>
      <c r="D30" s="16" t="s">
        <v>71</v>
      </c>
    </row>
    <row r="31" spans="1:4" x14ac:dyDescent="0.35">
      <c r="A31" s="17"/>
      <c r="B31" s="17"/>
      <c r="C31" s="23" t="s">
        <v>72</v>
      </c>
      <c r="D31" s="24">
        <f>SUM(D8:D29)</f>
        <v>11715.44</v>
      </c>
    </row>
  </sheetData>
  <mergeCells count="2"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Fleet_Telematry (2 Countries)</vt:lpstr>
      <vt:lpstr>Business Case (UAE_QTR_10)</vt:lpstr>
      <vt:lpstr>Business Case</vt:lpstr>
      <vt:lpstr>Fleet_Telematry (UAE_QTR) (10%)</vt:lpstr>
      <vt:lpstr>Fleet_Telematry (UAE_QTR)</vt:lpstr>
      <vt:lpstr>Fleet_Telematry</vt:lpstr>
      <vt:lpstr>Savings Calculation (Updated)</vt:lpstr>
      <vt:lpstr>Savings Calculation</vt:lpstr>
      <vt:lpstr>Azure Cloud</vt:lpstr>
      <vt:lpstr>Segregation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Tiwari</dc:creator>
  <cp:lastModifiedBy>Vinod Tiwari</cp:lastModifiedBy>
  <dcterms:created xsi:type="dcterms:W3CDTF">2023-10-12T14:38:39Z</dcterms:created>
  <dcterms:modified xsi:type="dcterms:W3CDTF">2023-10-17T12:32:16Z</dcterms:modified>
</cp:coreProperties>
</file>