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defaultThemeVersion="124226"/>
  <xr:revisionPtr revIDLastSave="0" documentId="13_ncr:1_{E1811054-93A8-4C5F-ACA7-494AF7BC967E}" xr6:coauthVersionLast="45" xr6:coauthVersionMax="45" xr10:uidLastSave="{00000000-0000-0000-0000-000000000000}"/>
  <bookViews>
    <workbookView xWindow="2340" yWindow="1035" windowWidth="18180" windowHeight="15165" xr2:uid="{00000000-000D-0000-FFFF-FFFF00000000}"/>
  </bookViews>
  <sheets>
    <sheet name="раб" sheetId="6" r:id="rId1"/>
    <sheet name="Спека" sheetId="5" r:id="rId2"/>
    <sheet name="Спека раб" sheetId="4" r:id="rId3"/>
    <sheet name="Лист1" sheetId="1" r:id="rId4"/>
    <sheet name="мат" sheetId="2" r:id="rId5"/>
    <sheet name="реализации янтарь" sheetId="3" r:id="rId6"/>
  </sheets>
  <definedNames>
    <definedName name="_xlnm._FilterDatabase" localSheetId="3" hidden="1">Лист1!$A$1:$N$45</definedName>
    <definedName name="_xlnm._FilterDatabase" localSheetId="0" hidden="1">раб!$A$1:$L$38</definedName>
    <definedName name="_xlnm._FilterDatabase" localSheetId="5" hidden="1">'реализации янтарь'!$A$2:$I$179</definedName>
    <definedName name="_xlnm._FilterDatabase" localSheetId="1" hidden="1">Спека!$A$1:$D$42</definedName>
    <definedName name="_xlnm._FilterDatabase" localSheetId="2" hidden="1">'Спека раб'!$A$1:$G$45</definedName>
  </definedNames>
  <calcPr calcId="181029"/>
</workbook>
</file>

<file path=xl/calcChain.xml><?xml version="1.0" encoding="utf-8"?>
<calcChain xmlns="http://schemas.openxmlformats.org/spreadsheetml/2006/main">
  <c r="J48" i="6" l="1"/>
  <c r="I48" i="6"/>
  <c r="G48" i="6"/>
  <c r="G44" i="6" l="1"/>
  <c r="G43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3" i="6"/>
  <c r="G4" i="6"/>
  <c r="G5" i="6"/>
  <c r="G6" i="6"/>
  <c r="G7" i="6"/>
  <c r="G8" i="6"/>
  <c r="G9" i="6"/>
  <c r="G2" i="6"/>
  <c r="H44" i="6" l="1"/>
  <c r="J44" i="6" s="1"/>
  <c r="I44" i="6"/>
  <c r="J43" i="6"/>
  <c r="I43" i="6"/>
  <c r="J42" i="6"/>
  <c r="J41" i="6"/>
  <c r="J40" i="6"/>
  <c r="J39" i="6"/>
  <c r="J38" i="6"/>
  <c r="J36" i="6"/>
  <c r="J37" i="6"/>
  <c r="J35" i="6"/>
  <c r="J33" i="6"/>
  <c r="J32" i="6"/>
  <c r="J28" i="6" l="1"/>
  <c r="J27" i="6"/>
  <c r="H25" i="6"/>
  <c r="J25" i="6" s="1"/>
  <c r="H22" i="6"/>
  <c r="J22" i="6" s="1"/>
  <c r="H18" i="6"/>
  <c r="J18" i="6" s="1"/>
  <c r="H19" i="6"/>
  <c r="J19" i="6" s="1"/>
  <c r="H20" i="6"/>
  <c r="J20" i="6" s="1"/>
  <c r="J10" i="6"/>
  <c r="J11" i="6"/>
  <c r="J12" i="6"/>
  <c r="J13" i="6"/>
  <c r="J14" i="6"/>
  <c r="J15" i="6"/>
  <c r="J16" i="6"/>
  <c r="J17" i="6"/>
  <c r="J21" i="6"/>
  <c r="J23" i="6"/>
  <c r="J24" i="6"/>
  <c r="J26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H9" i="6"/>
  <c r="J9" i="6" s="1"/>
  <c r="H8" i="6"/>
  <c r="J8" i="6" s="1"/>
  <c r="I9" i="6"/>
  <c r="I8" i="6"/>
  <c r="H7" i="6"/>
  <c r="J7" i="6" s="1"/>
  <c r="I7" i="6"/>
  <c r="H6" i="6"/>
  <c r="J6" i="6" s="1"/>
  <c r="I6" i="6"/>
  <c r="H3" i="6"/>
  <c r="H4" i="6"/>
  <c r="H5" i="6" l="1"/>
  <c r="J5" i="6" s="1"/>
  <c r="I5" i="6"/>
  <c r="J3" i="6"/>
  <c r="J4" i="6"/>
  <c r="I3" i="6"/>
  <c r="I4" i="6"/>
  <c r="I2" i="6"/>
  <c r="H2" i="6"/>
  <c r="J2" i="6" s="1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2" i="5"/>
  <c r="E9" i="5"/>
  <c r="D42" i="5"/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2" i="4"/>
  <c r="M33" i="4"/>
  <c r="M34" i="4"/>
  <c r="M35" i="4"/>
  <c r="M37" i="4"/>
  <c r="M38" i="4"/>
  <c r="M39" i="4"/>
  <c r="M40" i="4"/>
  <c r="M42" i="4"/>
  <c r="M43" i="4"/>
  <c r="M44" i="4"/>
  <c r="M2" i="4"/>
  <c r="Y3" i="4"/>
  <c r="E3" i="4" s="1"/>
  <c r="F3" i="4" s="1"/>
  <c r="I3" i="4" s="1"/>
  <c r="Y4" i="4"/>
  <c r="E4" i="4" s="1"/>
  <c r="F4" i="4" s="1"/>
  <c r="H4" i="4" s="1"/>
  <c r="Y5" i="4"/>
  <c r="E5" i="4" s="1"/>
  <c r="F5" i="4" s="1"/>
  <c r="I5" i="4" s="1"/>
  <c r="Y6" i="4"/>
  <c r="E6" i="4" s="1"/>
  <c r="F6" i="4" s="1"/>
  <c r="H6" i="4" s="1"/>
  <c r="Y7" i="4"/>
  <c r="E7" i="4" s="1"/>
  <c r="F7" i="4" s="1"/>
  <c r="I7" i="4" s="1"/>
  <c r="Y8" i="4"/>
  <c r="E8" i="4" s="1"/>
  <c r="F8" i="4" s="1"/>
  <c r="H8" i="4" s="1"/>
  <c r="Y9" i="4"/>
  <c r="E9" i="4" s="1"/>
  <c r="F9" i="4" s="1"/>
  <c r="I9" i="4" s="1"/>
  <c r="Y10" i="4"/>
  <c r="E10" i="4" s="1"/>
  <c r="F10" i="4" s="1"/>
  <c r="Y11" i="4"/>
  <c r="E11" i="4" s="1"/>
  <c r="F11" i="4" s="1"/>
  <c r="H11" i="4" s="1"/>
  <c r="Y12" i="4"/>
  <c r="E12" i="4" s="1"/>
  <c r="F12" i="4" s="1"/>
  <c r="Y13" i="4"/>
  <c r="E13" i="4" s="1"/>
  <c r="F13" i="4" s="1"/>
  <c r="H13" i="4" s="1"/>
  <c r="Y14" i="4"/>
  <c r="E14" i="4" s="1"/>
  <c r="F14" i="4" s="1"/>
  <c r="I14" i="4" s="1"/>
  <c r="Y15" i="4"/>
  <c r="E15" i="4" s="1"/>
  <c r="F15" i="4" s="1"/>
  <c r="H15" i="4" s="1"/>
  <c r="Y16" i="4"/>
  <c r="E16" i="4" s="1"/>
  <c r="F16" i="4" s="1"/>
  <c r="I16" i="4" s="1"/>
  <c r="Y17" i="4"/>
  <c r="E17" i="4" s="1"/>
  <c r="F17" i="4" s="1"/>
  <c r="Y18" i="4"/>
  <c r="E18" i="4" s="1"/>
  <c r="F18" i="4" s="1"/>
  <c r="H18" i="4" s="1"/>
  <c r="Y19" i="4"/>
  <c r="E19" i="4" s="1"/>
  <c r="F19" i="4" s="1"/>
  <c r="Y20" i="4"/>
  <c r="E20" i="4" s="1"/>
  <c r="F20" i="4" s="1"/>
  <c r="H20" i="4" s="1"/>
  <c r="Y21" i="4"/>
  <c r="E21" i="4" s="1"/>
  <c r="F21" i="4" s="1"/>
  <c r="Y22" i="4"/>
  <c r="E22" i="4" s="1"/>
  <c r="F22" i="4" s="1"/>
  <c r="Y23" i="4"/>
  <c r="E23" i="4" s="1"/>
  <c r="F23" i="4" s="1"/>
  <c r="I23" i="4" s="1"/>
  <c r="Y24" i="4"/>
  <c r="E24" i="4" s="1"/>
  <c r="F24" i="4" s="1"/>
  <c r="H24" i="4" s="1"/>
  <c r="Y25" i="4"/>
  <c r="E25" i="4" s="1"/>
  <c r="F25" i="4" s="1"/>
  <c r="G25" i="4" s="1"/>
  <c r="Y26" i="4"/>
  <c r="E26" i="4" s="1"/>
  <c r="F26" i="4" s="1"/>
  <c r="Y27" i="4"/>
  <c r="E27" i="4" s="1"/>
  <c r="F27" i="4" s="1"/>
  <c r="Y28" i="4"/>
  <c r="E28" i="4" s="1"/>
  <c r="F28" i="4" s="1"/>
  <c r="G28" i="4" s="1"/>
  <c r="Y29" i="4"/>
  <c r="E29" i="4" s="1"/>
  <c r="F29" i="4" s="1"/>
  <c r="I29" i="4" s="1"/>
  <c r="Y30" i="4"/>
  <c r="E30" i="4" s="1"/>
  <c r="F30" i="4" s="1"/>
  <c r="H30" i="4" s="1"/>
  <c r="Y32" i="4"/>
  <c r="E32" i="4" s="1"/>
  <c r="F32" i="4" s="1"/>
  <c r="Y33" i="4"/>
  <c r="E33" i="4" s="1"/>
  <c r="F33" i="4" s="1"/>
  <c r="H33" i="4" s="1"/>
  <c r="Y34" i="4"/>
  <c r="E34" i="4" s="1"/>
  <c r="F34" i="4" s="1"/>
  <c r="I34" i="4" s="1"/>
  <c r="Y35" i="4"/>
  <c r="E35" i="4" s="1"/>
  <c r="F35" i="4" s="1"/>
  <c r="Y37" i="4"/>
  <c r="E37" i="4" s="1"/>
  <c r="F37" i="4" s="1"/>
  <c r="Y38" i="4"/>
  <c r="E38" i="4" s="1"/>
  <c r="F38" i="4" s="1"/>
  <c r="Y39" i="4"/>
  <c r="E39" i="4" s="1"/>
  <c r="F39" i="4" s="1"/>
  <c r="Y40" i="4"/>
  <c r="E40" i="4" s="1"/>
  <c r="F40" i="4" s="1"/>
  <c r="Y42" i="4"/>
  <c r="E42" i="4" s="1"/>
  <c r="F42" i="4" s="1"/>
  <c r="H42" i="4" s="1"/>
  <c r="Y43" i="4"/>
  <c r="E43" i="4" s="1"/>
  <c r="F43" i="4" s="1"/>
  <c r="I43" i="4" s="1"/>
  <c r="Y44" i="4"/>
  <c r="E44" i="4" s="1"/>
  <c r="F44" i="4" s="1"/>
  <c r="Y2" i="4"/>
  <c r="E2" i="4" s="1"/>
  <c r="F2" i="4" s="1"/>
  <c r="D45" i="4"/>
  <c r="F39" i="5" l="1"/>
  <c r="G39" i="5" s="1"/>
  <c r="F32" i="5"/>
  <c r="G32" i="5" s="1"/>
  <c r="F31" i="5"/>
  <c r="G31" i="5" s="1"/>
  <c r="F29" i="5"/>
  <c r="G29" i="5" s="1"/>
  <c r="F28" i="5"/>
  <c r="G28" i="5" s="1"/>
  <c r="F27" i="5"/>
  <c r="G27" i="5" s="1"/>
  <c r="F26" i="5"/>
  <c r="G26" i="5" s="1"/>
  <c r="F25" i="5"/>
  <c r="G25" i="5" s="1"/>
  <c r="F10" i="5"/>
  <c r="G10" i="5" s="1"/>
  <c r="F24" i="5"/>
  <c r="G24" i="5" s="1"/>
  <c r="F22" i="5"/>
  <c r="G22" i="5" s="1"/>
  <c r="F20" i="5"/>
  <c r="G20" i="5" s="1"/>
  <c r="F18" i="5"/>
  <c r="G18" i="5" s="1"/>
  <c r="F16" i="5"/>
  <c r="G16" i="5" s="1"/>
  <c r="F14" i="5"/>
  <c r="G14" i="5" s="1"/>
  <c r="F5" i="5"/>
  <c r="G5" i="5" s="1"/>
  <c r="F13" i="5"/>
  <c r="G13" i="5" s="1"/>
  <c r="F8" i="5"/>
  <c r="G8" i="5" s="1"/>
  <c r="F4" i="5"/>
  <c r="G4" i="5" s="1"/>
  <c r="F40" i="5"/>
  <c r="G40" i="5" s="1"/>
  <c r="F36" i="5"/>
  <c r="G36" i="5" s="1"/>
  <c r="F35" i="5"/>
  <c r="G35" i="5" s="1"/>
  <c r="F34" i="5"/>
  <c r="G34" i="5" s="1"/>
  <c r="F30" i="5"/>
  <c r="G30" i="5" s="1"/>
  <c r="F38" i="5"/>
  <c r="G38" i="5" s="1"/>
  <c r="F41" i="5"/>
  <c r="G41" i="5" s="1"/>
  <c r="F37" i="5"/>
  <c r="G37" i="5" s="1"/>
  <c r="F33" i="5"/>
  <c r="G33" i="5" s="1"/>
  <c r="F23" i="5"/>
  <c r="G23" i="5" s="1"/>
  <c r="F21" i="5"/>
  <c r="G21" i="5" s="1"/>
  <c r="F19" i="5"/>
  <c r="G19" i="5" s="1"/>
  <c r="F17" i="5"/>
  <c r="G17" i="5" s="1"/>
  <c r="F12" i="5"/>
  <c r="G12" i="5" s="1"/>
  <c r="F7" i="5"/>
  <c r="G7" i="5" s="1"/>
  <c r="F3" i="5"/>
  <c r="G3" i="5" s="1"/>
  <c r="F15" i="5"/>
  <c r="G15" i="5" s="1"/>
  <c r="F11" i="5"/>
  <c r="G11" i="5" s="1"/>
  <c r="F9" i="5"/>
  <c r="G9" i="5" s="1"/>
  <c r="F6" i="5"/>
  <c r="G6" i="5" s="1"/>
  <c r="Y45" i="4"/>
  <c r="E45" i="4"/>
  <c r="G35" i="4"/>
  <c r="H35" i="4"/>
  <c r="G22" i="4"/>
  <c r="H22" i="4"/>
  <c r="H28" i="4"/>
  <c r="G16" i="4"/>
  <c r="G9" i="4"/>
  <c r="I2" i="4"/>
  <c r="G2" i="4"/>
  <c r="H21" i="4"/>
  <c r="G21" i="4"/>
  <c r="H12" i="4"/>
  <c r="G14" i="4"/>
  <c r="H19" i="4"/>
  <c r="I21" i="4"/>
  <c r="I26" i="4"/>
  <c r="H26" i="4"/>
  <c r="G26" i="4"/>
  <c r="I38" i="4"/>
  <c r="H38" i="4"/>
  <c r="G38" i="4"/>
  <c r="H3" i="4"/>
  <c r="G5" i="4"/>
  <c r="I10" i="4"/>
  <c r="G10" i="4"/>
  <c r="G12" i="4"/>
  <c r="G17" i="4"/>
  <c r="I17" i="4"/>
  <c r="G19" i="4"/>
  <c r="H23" i="4"/>
  <c r="I37" i="4"/>
  <c r="H37" i="4"/>
  <c r="G37" i="4"/>
  <c r="G3" i="4"/>
  <c r="P3" i="4" s="1"/>
  <c r="I8" i="4"/>
  <c r="G8" i="4"/>
  <c r="H10" i="4"/>
  <c r="I12" i="4"/>
  <c r="I15" i="4"/>
  <c r="G15" i="4"/>
  <c r="H17" i="4"/>
  <c r="I19" i="4"/>
  <c r="G23" i="4"/>
  <c r="I32" i="4"/>
  <c r="H32" i="4"/>
  <c r="G32" i="4"/>
  <c r="H7" i="4"/>
  <c r="H2" i="4"/>
  <c r="H5" i="4"/>
  <c r="G7" i="4"/>
  <c r="G6" i="4"/>
  <c r="I6" i="4"/>
  <c r="I13" i="4"/>
  <c r="G13" i="4"/>
  <c r="I20" i="4"/>
  <c r="G20" i="4"/>
  <c r="I24" i="4"/>
  <c r="G24" i="4"/>
  <c r="G44" i="4"/>
  <c r="I44" i="4"/>
  <c r="H44" i="4"/>
  <c r="I4" i="4"/>
  <c r="G4" i="4"/>
  <c r="H9" i="4"/>
  <c r="G11" i="4"/>
  <c r="I11" i="4"/>
  <c r="H16" i="4"/>
  <c r="I18" i="4"/>
  <c r="G18" i="4"/>
  <c r="I25" i="4"/>
  <c r="H25" i="4"/>
  <c r="I40" i="4"/>
  <c r="H40" i="4"/>
  <c r="G40" i="4"/>
  <c r="H14" i="4"/>
  <c r="H27" i="4"/>
  <c r="G27" i="4"/>
  <c r="I27" i="4"/>
  <c r="H29" i="4"/>
  <c r="G29" i="4"/>
  <c r="H39" i="4"/>
  <c r="G39" i="4"/>
  <c r="I39" i="4"/>
  <c r="I22" i="4"/>
  <c r="I28" i="4"/>
  <c r="G30" i="4"/>
  <c r="G33" i="4"/>
  <c r="I35" i="4"/>
  <c r="G42" i="4"/>
  <c r="I30" i="4"/>
  <c r="I33" i="4"/>
  <c r="G34" i="4"/>
  <c r="I42" i="4"/>
  <c r="G43" i="4"/>
  <c r="H43" i="4"/>
  <c r="H34" i="4"/>
  <c r="AD31" i="1"/>
  <c r="AD36" i="1"/>
  <c r="AD41" i="1"/>
  <c r="L44" i="1"/>
  <c r="L43" i="1"/>
  <c r="L42" i="1"/>
  <c r="L40" i="1"/>
  <c r="L39" i="1"/>
  <c r="L38" i="1"/>
  <c r="L37" i="1"/>
  <c r="L35" i="1"/>
  <c r="L34" i="1"/>
  <c r="L33" i="1"/>
  <c r="L32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Y44" i="6" l="1"/>
  <c r="P15" i="4"/>
  <c r="Q15" i="4" s="1"/>
  <c r="R15" i="4" s="1"/>
  <c r="S15" i="4" s="1"/>
  <c r="T15" i="4" s="1"/>
  <c r="P16" i="4"/>
  <c r="Q16" i="4" s="1"/>
  <c r="R16" i="4" s="1"/>
  <c r="S16" i="4" s="1"/>
  <c r="T16" i="4" s="1"/>
  <c r="P26" i="4"/>
  <c r="Q26" i="4" s="1"/>
  <c r="R26" i="4" s="1"/>
  <c r="S26" i="4" s="1"/>
  <c r="T26" i="4" s="1"/>
  <c r="P7" i="4"/>
  <c r="Q7" i="4" s="1"/>
  <c r="R7" i="4" s="1"/>
  <c r="S7" i="4" s="1"/>
  <c r="T7" i="4" s="1"/>
  <c r="P23" i="4"/>
  <c r="Q23" i="4" s="1"/>
  <c r="R23" i="4" s="1"/>
  <c r="S23" i="4" s="1"/>
  <c r="T23" i="4" s="1"/>
  <c r="P28" i="4"/>
  <c r="Q28" i="4" s="1"/>
  <c r="R28" i="4" s="1"/>
  <c r="S28" i="4" s="1"/>
  <c r="T28" i="4" s="1"/>
  <c r="P13" i="4"/>
  <c r="Q13" i="4" s="1"/>
  <c r="R13" i="4" s="1"/>
  <c r="S13" i="4" s="1"/>
  <c r="T13" i="4" s="1"/>
  <c r="P14" i="4"/>
  <c r="Q14" i="4" s="1"/>
  <c r="R14" i="4" s="1"/>
  <c r="S14" i="4" s="1"/>
  <c r="T14" i="4" s="1"/>
  <c r="P9" i="4"/>
  <c r="Q9" i="4" s="1"/>
  <c r="R9" i="4" s="1"/>
  <c r="S9" i="4" s="1"/>
  <c r="T9" i="4" s="1"/>
  <c r="P22" i="4"/>
  <c r="Q22" i="4" s="1"/>
  <c r="R22" i="4" s="1"/>
  <c r="S22" i="4" s="1"/>
  <c r="T22" i="4" s="1"/>
  <c r="P19" i="4"/>
  <c r="Q19" i="4" s="1"/>
  <c r="R19" i="4" s="1"/>
  <c r="S19" i="4" s="1"/>
  <c r="T19" i="4" s="1"/>
  <c r="P5" i="4"/>
  <c r="Q5" i="4" s="1"/>
  <c r="R5" i="4" s="1"/>
  <c r="S5" i="4" s="1"/>
  <c r="T5" i="4" s="1"/>
  <c r="P32" i="4"/>
  <c r="Q32" i="4" s="1"/>
  <c r="R32" i="4" s="1"/>
  <c r="S32" i="4" s="1"/>
  <c r="T32" i="4" s="1"/>
  <c r="P30" i="4"/>
  <c r="Q30" i="4" s="1"/>
  <c r="R30" i="4" s="1"/>
  <c r="S30" i="4" s="1"/>
  <c r="T30" i="4" s="1"/>
  <c r="P4" i="4"/>
  <c r="Q4" i="4" s="1"/>
  <c r="R4" i="4" s="1"/>
  <c r="S4" i="4" s="1"/>
  <c r="T4" i="4" s="1"/>
  <c r="P24" i="4"/>
  <c r="Q24" i="4" s="1"/>
  <c r="R24" i="4" s="1"/>
  <c r="S24" i="4" s="1"/>
  <c r="T24" i="4" s="1"/>
  <c r="P2" i="4"/>
  <c r="Q2" i="4" s="1"/>
  <c r="R2" i="4" s="1"/>
  <c r="S2" i="4" s="1"/>
  <c r="T2" i="4" s="1"/>
  <c r="P27" i="4"/>
  <c r="P25" i="4"/>
  <c r="Q25" i="4" s="1"/>
  <c r="P12" i="4"/>
  <c r="Q12" i="4" s="1"/>
  <c r="R12" i="4" s="1"/>
  <c r="S12" i="4" s="1"/>
  <c r="T12" i="4" s="1"/>
  <c r="P29" i="4"/>
  <c r="Q29" i="4" s="1"/>
  <c r="R29" i="4" s="1"/>
  <c r="S29" i="4" s="1"/>
  <c r="T29" i="4" s="1"/>
  <c r="P21" i="4"/>
  <c r="Q21" i="4" s="1"/>
  <c r="R21" i="4" s="1"/>
  <c r="S21" i="4" s="1"/>
  <c r="T21" i="4" s="1"/>
  <c r="P11" i="4"/>
  <c r="P6" i="4"/>
  <c r="Q3" i="4"/>
  <c r="R3" i="4" s="1"/>
  <c r="S3" i="4" s="1"/>
  <c r="T3" i="4" s="1"/>
  <c r="P18" i="4"/>
  <c r="P20" i="4"/>
  <c r="P8" i="4"/>
  <c r="P17" i="4"/>
  <c r="AA17" i="1"/>
  <c r="F2" i="5" l="1"/>
  <c r="G2" i="5" s="1"/>
  <c r="G42" i="5" s="1"/>
  <c r="R25" i="4"/>
  <c r="S25" i="4" s="1"/>
  <c r="T25" i="4" s="1"/>
  <c r="Q27" i="4"/>
  <c r="R27" i="4" s="1"/>
  <c r="S27" i="4" s="1"/>
  <c r="T27" i="4" s="1"/>
  <c r="Q11" i="4"/>
  <c r="R11" i="4" s="1"/>
  <c r="S11" i="4" s="1"/>
  <c r="T11" i="4" s="1"/>
  <c r="Q6" i="4"/>
  <c r="R6" i="4" s="1"/>
  <c r="S6" i="4" s="1"/>
  <c r="T6" i="4" s="1"/>
  <c r="Q17" i="4"/>
  <c r="R17" i="4" s="1"/>
  <c r="S17" i="4" s="1"/>
  <c r="T17" i="4" s="1"/>
  <c r="Q20" i="4"/>
  <c r="R20" i="4" s="1"/>
  <c r="S20" i="4" s="1"/>
  <c r="T20" i="4" s="1"/>
  <c r="Q18" i="4"/>
  <c r="R18" i="4" s="1"/>
  <c r="S18" i="4" s="1"/>
  <c r="T18" i="4" s="1"/>
  <c r="Q8" i="4"/>
  <c r="R8" i="4" s="1"/>
  <c r="S8" i="4" s="1"/>
  <c r="T8" i="4" s="1"/>
  <c r="C25" i="2"/>
  <c r="D25" i="2" s="1"/>
  <c r="F25" i="2" s="1"/>
  <c r="C24" i="2"/>
  <c r="D24" i="2" s="1"/>
  <c r="Q37" i="1" s="1"/>
  <c r="C21" i="2"/>
  <c r="D21" i="2" s="1"/>
  <c r="D20" i="2"/>
  <c r="Q41" i="1" s="1"/>
  <c r="C20" i="2"/>
  <c r="Q36" i="1" l="1"/>
  <c r="F21" i="2"/>
  <c r="J42" i="4"/>
  <c r="P42" i="4" s="1"/>
  <c r="Q42" i="4" s="1"/>
  <c r="R42" i="4" s="1"/>
  <c r="S42" i="4" s="1"/>
  <c r="T42" i="4" s="1"/>
  <c r="Q42" i="1"/>
  <c r="F20" i="2"/>
  <c r="F24" i="2"/>
  <c r="J37" i="4"/>
  <c r="P37" i="4" s="1"/>
  <c r="B28" i="2"/>
  <c r="B23" i="2"/>
  <c r="Q37" i="4" l="1"/>
  <c r="R37" i="4" s="1"/>
  <c r="S37" i="4" s="1"/>
  <c r="T37" i="4" s="1"/>
  <c r="B19" i="2"/>
  <c r="B12" i="2"/>
  <c r="B11" i="2"/>
  <c r="B10" i="2"/>
  <c r="C33" i="2"/>
  <c r="D33" i="2" s="1"/>
  <c r="F33" i="2" s="1"/>
  <c r="C31" i="2"/>
  <c r="D31" i="2" s="1"/>
  <c r="M2" i="1"/>
  <c r="F31" i="2" l="1"/>
  <c r="J38" i="4"/>
  <c r="P38" i="4" s="1"/>
  <c r="Q38" i="4" s="1"/>
  <c r="R38" i="4" s="1"/>
  <c r="S38" i="4" s="1"/>
  <c r="T38" i="4" s="1"/>
  <c r="Q38" i="1"/>
  <c r="G179" i="3"/>
  <c r="E179" i="3"/>
  <c r="G178" i="3"/>
  <c r="E178" i="3"/>
  <c r="G177" i="3"/>
  <c r="E177" i="3"/>
  <c r="G176" i="3"/>
  <c r="E176" i="3"/>
  <c r="G175" i="3"/>
  <c r="E175" i="3"/>
  <c r="G174" i="3"/>
  <c r="E174" i="3"/>
  <c r="G173" i="3"/>
  <c r="E173" i="3"/>
  <c r="G172" i="3"/>
  <c r="E172" i="3"/>
  <c r="G171" i="3"/>
  <c r="E171" i="3"/>
  <c r="G170" i="3"/>
  <c r="E170" i="3"/>
  <c r="G169" i="3"/>
  <c r="E169" i="3"/>
  <c r="G168" i="3"/>
  <c r="E168" i="3"/>
  <c r="G167" i="3"/>
  <c r="E167" i="3"/>
  <c r="G166" i="3"/>
  <c r="E166" i="3"/>
  <c r="G165" i="3"/>
  <c r="E165" i="3"/>
  <c r="G164" i="3"/>
  <c r="E164" i="3"/>
  <c r="G163" i="3"/>
  <c r="E163" i="3"/>
  <c r="G162" i="3"/>
  <c r="E162" i="3"/>
  <c r="G161" i="3"/>
  <c r="E161" i="3"/>
  <c r="G160" i="3"/>
  <c r="E160" i="3"/>
  <c r="G159" i="3"/>
  <c r="E159" i="3"/>
  <c r="G158" i="3"/>
  <c r="E158" i="3"/>
  <c r="G157" i="3"/>
  <c r="E157" i="3"/>
  <c r="G156" i="3"/>
  <c r="E156" i="3"/>
  <c r="G155" i="3"/>
  <c r="E155" i="3"/>
  <c r="G154" i="3"/>
  <c r="E154" i="3"/>
  <c r="G153" i="3"/>
  <c r="E153" i="3"/>
  <c r="G152" i="3"/>
  <c r="E152" i="3"/>
  <c r="G151" i="3"/>
  <c r="E151" i="3"/>
  <c r="G150" i="3"/>
  <c r="E150" i="3"/>
  <c r="G149" i="3"/>
  <c r="E149" i="3"/>
  <c r="G148" i="3"/>
  <c r="E148" i="3"/>
  <c r="G147" i="3"/>
  <c r="E147" i="3"/>
  <c r="G146" i="3"/>
  <c r="E146" i="3"/>
  <c r="G145" i="3"/>
  <c r="E145" i="3"/>
  <c r="G144" i="3"/>
  <c r="E144" i="3"/>
  <c r="G143" i="3"/>
  <c r="E143" i="3"/>
  <c r="G142" i="3"/>
  <c r="E142" i="3"/>
  <c r="G141" i="3"/>
  <c r="E141" i="3"/>
  <c r="G140" i="3"/>
  <c r="E140" i="3"/>
  <c r="G139" i="3"/>
  <c r="E139" i="3"/>
  <c r="G138" i="3"/>
  <c r="E138" i="3"/>
  <c r="G137" i="3"/>
  <c r="E137" i="3"/>
  <c r="G136" i="3"/>
  <c r="E136" i="3"/>
  <c r="G135" i="3"/>
  <c r="E135" i="3"/>
  <c r="G134" i="3"/>
  <c r="E134" i="3"/>
  <c r="G133" i="3"/>
  <c r="E133" i="3"/>
  <c r="G132" i="3"/>
  <c r="E132" i="3"/>
  <c r="G131" i="3"/>
  <c r="E131" i="3"/>
  <c r="G130" i="3"/>
  <c r="E130" i="3"/>
  <c r="G129" i="3"/>
  <c r="E129" i="3"/>
  <c r="G128" i="3"/>
  <c r="E128" i="3"/>
  <c r="G127" i="3"/>
  <c r="E127" i="3"/>
  <c r="G126" i="3"/>
  <c r="E126" i="3"/>
  <c r="G125" i="3"/>
  <c r="E125" i="3"/>
  <c r="G124" i="3"/>
  <c r="E124" i="3"/>
  <c r="G123" i="3"/>
  <c r="E123" i="3"/>
  <c r="G122" i="3"/>
  <c r="E122" i="3"/>
  <c r="G121" i="3"/>
  <c r="E121" i="3"/>
  <c r="G120" i="3"/>
  <c r="E120" i="3"/>
  <c r="G119" i="3"/>
  <c r="E119" i="3"/>
  <c r="G118" i="3"/>
  <c r="E118" i="3"/>
  <c r="G117" i="3"/>
  <c r="E117" i="3"/>
  <c r="G116" i="3"/>
  <c r="E116" i="3"/>
  <c r="G115" i="3"/>
  <c r="E115" i="3"/>
  <c r="G114" i="3"/>
  <c r="E114" i="3"/>
  <c r="G113" i="3"/>
  <c r="E113" i="3"/>
  <c r="G112" i="3"/>
  <c r="E112" i="3"/>
  <c r="G111" i="3"/>
  <c r="E111" i="3"/>
  <c r="G110" i="3"/>
  <c r="E110" i="3"/>
  <c r="G109" i="3"/>
  <c r="E109" i="3"/>
  <c r="G108" i="3"/>
  <c r="E108" i="3"/>
  <c r="G107" i="3"/>
  <c r="E107" i="3"/>
  <c r="G106" i="3"/>
  <c r="E106" i="3"/>
  <c r="G105" i="3"/>
  <c r="E105" i="3"/>
  <c r="G104" i="3"/>
  <c r="E104" i="3"/>
  <c r="G103" i="3"/>
  <c r="E103" i="3"/>
  <c r="G102" i="3"/>
  <c r="E102" i="3"/>
  <c r="G101" i="3"/>
  <c r="E101" i="3"/>
  <c r="G100" i="3"/>
  <c r="E100" i="3"/>
  <c r="G99" i="3"/>
  <c r="E99" i="3"/>
  <c r="G98" i="3"/>
  <c r="E98" i="3"/>
  <c r="G97" i="3"/>
  <c r="E97" i="3"/>
  <c r="G96" i="3"/>
  <c r="E96" i="3"/>
  <c r="G95" i="3"/>
  <c r="E95" i="3"/>
  <c r="G94" i="3"/>
  <c r="E94" i="3"/>
  <c r="G93" i="3"/>
  <c r="E93" i="3"/>
  <c r="G92" i="3"/>
  <c r="E92" i="3"/>
  <c r="G91" i="3"/>
  <c r="E91" i="3"/>
  <c r="G90" i="3"/>
  <c r="E90" i="3"/>
  <c r="G89" i="3"/>
  <c r="E89" i="3"/>
  <c r="G88" i="3"/>
  <c r="E88" i="3"/>
  <c r="G87" i="3"/>
  <c r="E87" i="3"/>
  <c r="G86" i="3"/>
  <c r="E86" i="3"/>
  <c r="G85" i="3"/>
  <c r="E85" i="3"/>
  <c r="G84" i="3"/>
  <c r="E84" i="3"/>
  <c r="G83" i="3"/>
  <c r="E83" i="3"/>
  <c r="G82" i="3"/>
  <c r="E82" i="3"/>
  <c r="G81" i="3"/>
  <c r="E81" i="3"/>
  <c r="G80" i="3"/>
  <c r="E80" i="3"/>
  <c r="G79" i="3"/>
  <c r="E79" i="3"/>
  <c r="G78" i="3"/>
  <c r="E78" i="3"/>
  <c r="G77" i="3"/>
  <c r="E77" i="3"/>
  <c r="G76" i="3"/>
  <c r="E76" i="3"/>
  <c r="G75" i="3"/>
  <c r="E75" i="3"/>
  <c r="G74" i="3"/>
  <c r="E74" i="3"/>
  <c r="G73" i="3"/>
  <c r="E73" i="3"/>
  <c r="G72" i="3"/>
  <c r="E72" i="3"/>
  <c r="G71" i="3"/>
  <c r="E71" i="3"/>
  <c r="G70" i="3"/>
  <c r="E70" i="3"/>
  <c r="G69" i="3"/>
  <c r="E69" i="3"/>
  <c r="G68" i="3"/>
  <c r="E68" i="3"/>
  <c r="G67" i="3"/>
  <c r="E67" i="3"/>
  <c r="G66" i="3"/>
  <c r="E66" i="3"/>
  <c r="G65" i="3"/>
  <c r="E65" i="3"/>
  <c r="G64" i="3"/>
  <c r="E64" i="3"/>
  <c r="G63" i="3"/>
  <c r="E63" i="3"/>
  <c r="G62" i="3"/>
  <c r="E62" i="3"/>
  <c r="G61" i="3"/>
  <c r="E61" i="3"/>
  <c r="G60" i="3"/>
  <c r="E60" i="3"/>
  <c r="G59" i="3"/>
  <c r="E59" i="3"/>
  <c r="G58" i="3"/>
  <c r="E58" i="3"/>
  <c r="G57" i="3"/>
  <c r="E57" i="3"/>
  <c r="G56" i="3"/>
  <c r="E56" i="3"/>
  <c r="G55" i="3"/>
  <c r="E55" i="3"/>
  <c r="G54" i="3"/>
  <c r="E54" i="3"/>
  <c r="G53" i="3"/>
  <c r="E53" i="3"/>
  <c r="G52" i="3"/>
  <c r="E52" i="3"/>
  <c r="G51" i="3"/>
  <c r="E51" i="3"/>
  <c r="G50" i="3"/>
  <c r="E50" i="3"/>
  <c r="G49" i="3"/>
  <c r="E49" i="3"/>
  <c r="G48" i="3"/>
  <c r="E48" i="3"/>
  <c r="G47" i="3"/>
  <c r="E47" i="3"/>
  <c r="G46" i="3"/>
  <c r="E46" i="3"/>
  <c r="G45" i="3"/>
  <c r="E45" i="3"/>
  <c r="G44" i="3"/>
  <c r="E44" i="3"/>
  <c r="G43" i="3"/>
  <c r="E43" i="3"/>
  <c r="G42" i="3"/>
  <c r="E42" i="3"/>
  <c r="G41" i="3"/>
  <c r="E41" i="3"/>
  <c r="G40" i="3"/>
  <c r="E40" i="3"/>
  <c r="G39" i="3"/>
  <c r="E39" i="3"/>
  <c r="G38" i="3"/>
  <c r="E38" i="3"/>
  <c r="G37" i="3"/>
  <c r="E37" i="3"/>
  <c r="G36" i="3"/>
  <c r="E36" i="3"/>
  <c r="G35" i="3"/>
  <c r="E35" i="3"/>
  <c r="G34" i="3"/>
  <c r="E34" i="3"/>
  <c r="G33" i="3"/>
  <c r="E33" i="3"/>
  <c r="G32" i="3"/>
  <c r="E32" i="3"/>
  <c r="G31" i="3"/>
  <c r="E31" i="3"/>
  <c r="G30" i="3"/>
  <c r="E30" i="3"/>
  <c r="G29" i="3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G4" i="3"/>
  <c r="E4" i="3"/>
  <c r="G3" i="3"/>
  <c r="E3" i="3"/>
  <c r="C12" i="2" l="1"/>
  <c r="D12" i="2" s="1"/>
  <c r="C11" i="2"/>
  <c r="D11" i="2" s="1"/>
  <c r="C23" i="2"/>
  <c r="D23" i="2" s="1"/>
  <c r="C28" i="2"/>
  <c r="D28" i="2" s="1"/>
  <c r="C10" i="2"/>
  <c r="C19" i="2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C9" i="2"/>
  <c r="D9" i="2" s="1"/>
  <c r="M9" i="1"/>
  <c r="N9" i="1" s="1"/>
  <c r="M10" i="1"/>
  <c r="M11" i="1"/>
  <c r="N11" i="1" s="1"/>
  <c r="M12" i="1"/>
  <c r="O12" i="1" s="1"/>
  <c r="M13" i="1"/>
  <c r="N13" i="1" s="1"/>
  <c r="M14" i="1"/>
  <c r="M15" i="1"/>
  <c r="N15" i="1" s="1"/>
  <c r="M16" i="1"/>
  <c r="O16" i="1" s="1"/>
  <c r="M17" i="1"/>
  <c r="N17" i="1" s="1"/>
  <c r="M18" i="1"/>
  <c r="M19" i="1"/>
  <c r="N19" i="1" s="1"/>
  <c r="M20" i="1"/>
  <c r="O20" i="1" s="1"/>
  <c r="M21" i="1"/>
  <c r="N21" i="1" s="1"/>
  <c r="M22" i="1"/>
  <c r="M23" i="1"/>
  <c r="N23" i="1" s="1"/>
  <c r="M24" i="1"/>
  <c r="O24" i="1" s="1"/>
  <c r="M25" i="1"/>
  <c r="N25" i="1" s="1"/>
  <c r="M26" i="1"/>
  <c r="M27" i="1"/>
  <c r="N27" i="1" s="1"/>
  <c r="M28" i="1"/>
  <c r="O28" i="1" s="1"/>
  <c r="M29" i="1"/>
  <c r="N29" i="1" s="1"/>
  <c r="M30" i="1"/>
  <c r="M32" i="1"/>
  <c r="O32" i="1" s="1"/>
  <c r="M33" i="1"/>
  <c r="N33" i="1" s="1"/>
  <c r="M34" i="1"/>
  <c r="M35" i="1"/>
  <c r="N35" i="1" s="1"/>
  <c r="M37" i="1"/>
  <c r="N37" i="1" s="1"/>
  <c r="M38" i="1"/>
  <c r="M39" i="1"/>
  <c r="N39" i="1" s="1"/>
  <c r="M40" i="1"/>
  <c r="O40" i="1" s="1"/>
  <c r="M42" i="1"/>
  <c r="M43" i="1"/>
  <c r="N43" i="1" s="1"/>
  <c r="M44" i="1"/>
  <c r="N44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P2" i="1"/>
  <c r="J40" i="4" l="1"/>
  <c r="P40" i="4" s="1"/>
  <c r="Q40" i="4" s="1"/>
  <c r="R40" i="4" s="1"/>
  <c r="S40" i="4" s="1"/>
  <c r="T40" i="4" s="1"/>
  <c r="J44" i="4"/>
  <c r="P44" i="4" s="1"/>
  <c r="Q44" i="4" s="1"/>
  <c r="R44" i="4" s="1"/>
  <c r="S44" i="4" s="1"/>
  <c r="T44" i="4" s="1"/>
  <c r="Q40" i="1"/>
  <c r="Q44" i="1"/>
  <c r="J10" i="4"/>
  <c r="P10" i="4" s="1"/>
  <c r="Q10" i="4" s="1"/>
  <c r="R10" i="4" s="1"/>
  <c r="S10" i="4" s="1"/>
  <c r="T10" i="4" s="1"/>
  <c r="Q10" i="1"/>
  <c r="F12" i="2"/>
  <c r="J35" i="4"/>
  <c r="P35" i="4" s="1"/>
  <c r="Q35" i="4" s="1"/>
  <c r="R35" i="4" s="1"/>
  <c r="S35" i="4" s="1"/>
  <c r="T35" i="4" s="1"/>
  <c r="Q35" i="1"/>
  <c r="F23" i="2"/>
  <c r="J43" i="4"/>
  <c r="P43" i="4" s="1"/>
  <c r="Q43" i="4" s="1"/>
  <c r="R43" i="4" s="1"/>
  <c r="S43" i="4" s="1"/>
  <c r="T43" i="4" s="1"/>
  <c r="Q43" i="1"/>
  <c r="F11" i="2"/>
  <c r="J34" i="4"/>
  <c r="P34" i="4" s="1"/>
  <c r="Q34" i="4" s="1"/>
  <c r="R34" i="4" s="1"/>
  <c r="S34" i="4" s="1"/>
  <c r="T34" i="4" s="1"/>
  <c r="Q34" i="1"/>
  <c r="F28" i="2"/>
  <c r="O29" i="1"/>
  <c r="O21" i="1"/>
  <c r="O4" i="1"/>
  <c r="P29" i="1"/>
  <c r="P27" i="1"/>
  <c r="O6" i="1"/>
  <c r="O44" i="1"/>
  <c r="O39" i="1"/>
  <c r="O27" i="1"/>
  <c r="W27" i="1" s="1"/>
  <c r="O17" i="1"/>
  <c r="O8" i="1"/>
  <c r="O35" i="1"/>
  <c r="O13" i="1"/>
  <c r="N2" i="1"/>
  <c r="O11" i="1"/>
  <c r="P8" i="1"/>
  <c r="O7" i="1"/>
  <c r="P6" i="1"/>
  <c r="O5" i="1"/>
  <c r="P4" i="1"/>
  <c r="O3" i="1"/>
  <c r="P44" i="1"/>
  <c r="O43" i="1"/>
  <c r="O37" i="1"/>
  <c r="O33" i="1"/>
  <c r="O23" i="1"/>
  <c r="O19" i="1"/>
  <c r="P13" i="1"/>
  <c r="P11" i="1"/>
  <c r="P37" i="1"/>
  <c r="P35" i="1"/>
  <c r="O25" i="1"/>
  <c r="P21" i="1"/>
  <c r="P19" i="1"/>
  <c r="O15" i="1"/>
  <c r="O9" i="1"/>
  <c r="O2" i="1"/>
  <c r="P39" i="1"/>
  <c r="P33" i="1"/>
  <c r="P25" i="1"/>
  <c r="P23" i="1"/>
  <c r="P17" i="1"/>
  <c r="P15" i="1"/>
  <c r="P9" i="1"/>
  <c r="D10" i="2"/>
  <c r="D19" i="2"/>
  <c r="F9" i="2"/>
  <c r="N42" i="1"/>
  <c r="P42" i="1"/>
  <c r="N38" i="1"/>
  <c r="P38" i="1"/>
  <c r="N34" i="1"/>
  <c r="P34" i="1"/>
  <c r="N30" i="1"/>
  <c r="P30" i="1"/>
  <c r="N26" i="1"/>
  <c r="P26" i="1"/>
  <c r="N22" i="1"/>
  <c r="P22" i="1"/>
  <c r="N18" i="1"/>
  <c r="P18" i="1"/>
  <c r="N14" i="1"/>
  <c r="P14" i="1"/>
  <c r="N10" i="1"/>
  <c r="P10" i="1"/>
  <c r="P43" i="1"/>
  <c r="O42" i="1"/>
  <c r="N40" i="1"/>
  <c r="P40" i="1"/>
  <c r="O38" i="1"/>
  <c r="O34" i="1"/>
  <c r="N32" i="1"/>
  <c r="P32" i="1"/>
  <c r="O30" i="1"/>
  <c r="N28" i="1"/>
  <c r="P28" i="1"/>
  <c r="O26" i="1"/>
  <c r="N24" i="1"/>
  <c r="P24" i="1"/>
  <c r="O22" i="1"/>
  <c r="N20" i="1"/>
  <c r="P20" i="1"/>
  <c r="O18" i="1"/>
  <c r="N16" i="1"/>
  <c r="P16" i="1"/>
  <c r="O14" i="1"/>
  <c r="N12" i="1"/>
  <c r="P12" i="1"/>
  <c r="O10" i="1"/>
  <c r="P7" i="1"/>
  <c r="P5" i="1"/>
  <c r="P3" i="1"/>
  <c r="W35" i="1" l="1"/>
  <c r="W11" i="1"/>
  <c r="J39" i="4"/>
  <c r="P39" i="4" s="1"/>
  <c r="Q39" i="4" s="1"/>
  <c r="R39" i="4" s="1"/>
  <c r="S39" i="4" s="1"/>
  <c r="T39" i="4" s="1"/>
  <c r="Q39" i="1"/>
  <c r="W39" i="1" s="1"/>
  <c r="X39" i="1" s="1"/>
  <c r="Y39" i="1" s="1"/>
  <c r="J33" i="4"/>
  <c r="P33" i="4" s="1"/>
  <c r="Q33" i="4" s="1"/>
  <c r="R33" i="4" s="1"/>
  <c r="S33" i="4" s="1"/>
  <c r="T33" i="4" s="1"/>
  <c r="Q33" i="1"/>
  <c r="W13" i="1"/>
  <c r="X13" i="1" s="1"/>
  <c r="Y13" i="1" s="1"/>
  <c r="W37" i="1"/>
  <c r="X37" i="1" s="1"/>
  <c r="Y37" i="1" s="1"/>
  <c r="W4" i="1"/>
  <c r="X4" i="1" s="1"/>
  <c r="Y4" i="1" s="1"/>
  <c r="W8" i="1"/>
  <c r="X8" i="1" s="1"/>
  <c r="Y8" i="1" s="1"/>
  <c r="W29" i="1"/>
  <c r="X29" i="1" s="1"/>
  <c r="Y29" i="1" s="1"/>
  <c r="F19" i="2"/>
  <c r="W25" i="1"/>
  <c r="X25" i="1" s="1"/>
  <c r="Y25" i="1" s="1"/>
  <c r="W6" i="1"/>
  <c r="X6" i="1" s="1"/>
  <c r="Y6" i="1" s="1"/>
  <c r="W2" i="1"/>
  <c r="X2" i="1" s="1"/>
  <c r="Y2" i="1" s="1"/>
  <c r="W23" i="1"/>
  <c r="X23" i="1" s="1"/>
  <c r="Y23" i="1" s="1"/>
  <c r="W9" i="1"/>
  <c r="X9" i="1" s="1"/>
  <c r="Y9" i="1" s="1"/>
  <c r="W17" i="1"/>
  <c r="X17" i="1" s="1"/>
  <c r="Y17" i="1" s="1"/>
  <c r="W21" i="1"/>
  <c r="X21" i="1" s="1"/>
  <c r="Y21" i="1" s="1"/>
  <c r="W44" i="1"/>
  <c r="X44" i="1" s="1"/>
  <c r="Y44" i="1" s="1"/>
  <c r="W5" i="1"/>
  <c r="X5" i="1" s="1"/>
  <c r="Y5" i="1" s="1"/>
  <c r="W15" i="1"/>
  <c r="X15" i="1" s="1"/>
  <c r="Y15" i="1" s="1"/>
  <c r="W3" i="1"/>
  <c r="X3" i="1" s="1"/>
  <c r="Y3" i="1" s="1"/>
  <c r="W7" i="1"/>
  <c r="X7" i="1" s="1"/>
  <c r="Y7" i="1" s="1"/>
  <c r="W43" i="1"/>
  <c r="X43" i="1" s="1"/>
  <c r="W19" i="1"/>
  <c r="X19" i="1" s="1"/>
  <c r="Y19" i="1" s="1"/>
  <c r="F10" i="2"/>
  <c r="W33" i="1"/>
  <c r="X33" i="1" s="1"/>
  <c r="Y33" i="1" s="1"/>
  <c r="W10" i="1"/>
  <c r="W18" i="1"/>
  <c r="W26" i="1"/>
  <c r="W34" i="1"/>
  <c r="W42" i="1"/>
  <c r="X11" i="1"/>
  <c r="Y11" i="1" s="1"/>
  <c r="W12" i="1"/>
  <c r="W16" i="1"/>
  <c r="W20" i="1"/>
  <c r="W24" i="1"/>
  <c r="X27" i="1"/>
  <c r="Y27" i="1" s="1"/>
  <c r="W28" i="1"/>
  <c r="W32" i="1"/>
  <c r="X35" i="1"/>
  <c r="Y35" i="1" s="1"/>
  <c r="W40" i="1"/>
  <c r="W14" i="1"/>
  <c r="W22" i="1"/>
  <c r="W30" i="1"/>
  <c r="W38" i="1"/>
  <c r="T45" i="4" l="1"/>
  <c r="AA1" i="4" s="1"/>
  <c r="Z27" i="1"/>
  <c r="AD27" i="1"/>
  <c r="Z13" i="1"/>
  <c r="AD13" i="1"/>
  <c r="Z35" i="1"/>
  <c r="AD35" i="1"/>
  <c r="Z11" i="1"/>
  <c r="AD11" i="1"/>
  <c r="Z33" i="1"/>
  <c r="AD33" i="1"/>
  <c r="Z19" i="1"/>
  <c r="AD19" i="1"/>
  <c r="Z7" i="1"/>
  <c r="AD7" i="1"/>
  <c r="Z15" i="1"/>
  <c r="AD15" i="1"/>
  <c r="Z44" i="1"/>
  <c r="AD44" i="1"/>
  <c r="Z17" i="1"/>
  <c r="AD17" i="1"/>
  <c r="Z23" i="1"/>
  <c r="AD23" i="1"/>
  <c r="Z39" i="1"/>
  <c r="AD39" i="1"/>
  <c r="Z25" i="1"/>
  <c r="AD25" i="1"/>
  <c r="Z4" i="1"/>
  <c r="AD4" i="1"/>
  <c r="Z29" i="1"/>
  <c r="AD29" i="1"/>
  <c r="Z3" i="1"/>
  <c r="AD3" i="1"/>
  <c r="Z5" i="1"/>
  <c r="AD5" i="1"/>
  <c r="Z21" i="1"/>
  <c r="AD21" i="1"/>
  <c r="Z9" i="1"/>
  <c r="AD9" i="1"/>
  <c r="Z2" i="1"/>
  <c r="AD2" i="1"/>
  <c r="Z6" i="1"/>
  <c r="AD6" i="1"/>
  <c r="Z8" i="1"/>
  <c r="AD8" i="1"/>
  <c r="Z37" i="1"/>
  <c r="AD37" i="1"/>
  <c r="T50" i="4"/>
  <c r="Y43" i="1"/>
  <c r="X30" i="1"/>
  <c r="Y30" i="1" s="1"/>
  <c r="X14" i="1"/>
  <c r="Y14" i="1" s="1"/>
  <c r="X28" i="1"/>
  <c r="Y28" i="1" s="1"/>
  <c r="X20" i="1"/>
  <c r="Y20" i="1" s="1"/>
  <c r="X12" i="1"/>
  <c r="Y12" i="1" s="1"/>
  <c r="X34" i="1"/>
  <c r="Y34" i="1" s="1"/>
  <c r="X18" i="1"/>
  <c r="Y18" i="1" s="1"/>
  <c r="X38" i="1"/>
  <c r="Y38" i="1" s="1"/>
  <c r="X22" i="1"/>
  <c r="Y22" i="1" s="1"/>
  <c r="X40" i="1"/>
  <c r="Y40" i="1" s="1"/>
  <c r="X32" i="1"/>
  <c r="Y32" i="1" s="1"/>
  <c r="X24" i="1"/>
  <c r="Y24" i="1" s="1"/>
  <c r="X16" i="1"/>
  <c r="Y16" i="1" s="1"/>
  <c r="X42" i="1"/>
  <c r="Y42" i="1" s="1"/>
  <c r="X26" i="1"/>
  <c r="Y26" i="1" s="1"/>
  <c r="X10" i="1"/>
  <c r="Y10" i="1" s="1"/>
  <c r="Z16" i="1" l="1"/>
  <c r="AD16" i="1"/>
  <c r="Z32" i="1"/>
  <c r="AD32" i="1"/>
  <c r="Z22" i="1"/>
  <c r="AD22" i="1"/>
  <c r="Z18" i="1"/>
  <c r="AD18" i="1"/>
  <c r="Z12" i="1"/>
  <c r="AD12" i="1"/>
  <c r="Z28" i="1"/>
  <c r="AD28" i="1"/>
  <c r="Z30" i="1"/>
  <c r="AD30" i="1"/>
  <c r="Z26" i="1"/>
  <c r="AD26" i="1"/>
  <c r="Z10" i="1"/>
  <c r="AD10" i="1"/>
  <c r="Z42" i="1"/>
  <c r="AD42" i="1"/>
  <c r="Z24" i="1"/>
  <c r="AD24" i="1"/>
  <c r="Z40" i="1"/>
  <c r="AD40" i="1"/>
  <c r="Z38" i="1"/>
  <c r="AD38" i="1"/>
  <c r="Z34" i="1"/>
  <c r="AD34" i="1"/>
  <c r="Z20" i="1"/>
  <c r="AD20" i="1"/>
  <c r="Z14" i="1"/>
  <c r="AD14" i="1"/>
  <c r="Z43" i="1"/>
  <c r="AD43" i="1"/>
  <c r="F2" i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Z45" i="1" l="1"/>
  <c r="Z47" i="1" s="1"/>
  <c r="Z48" i="1" s="1"/>
  <c r="D45" i="1"/>
  <c r="H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Z1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кэф на трудоемкость</t>
        </r>
      </text>
    </comment>
    <comment ref="O4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необходима оснастка для Балтийского завода</t>
        </r>
      </text>
    </comment>
    <comment ref="O9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необходима оснастка для Балтийского завода</t>
        </r>
      </text>
    </comment>
    <comment ref="O30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необходима оснастка для Балтийского завода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V4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необходима оснастка для Балтийского завода</t>
        </r>
      </text>
    </comment>
    <comment ref="J7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Тройник бронзовое литье ч.552-35.1200-04 - 126.000</t>
        </r>
      </text>
    </comment>
    <comment ref="V9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необходима оснастка для Балтийского завода</t>
        </r>
      </text>
    </comment>
    <comment ref="J11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Тройник бронзовое литье БрОЦ10-2 ч.552-35.1200-02 111,300</t>
        </r>
      </text>
    </comment>
    <comment ref="J28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Тройник бронзовое литье БрОЦ10-2 ч.552-35.1199-01 (ИТШЛ.752252.083-01) - 91.350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30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>необходима оснастка для Балтийского завода</t>
        </r>
      </text>
    </comment>
  </commentList>
</comments>
</file>

<file path=xl/sharedStrings.xml><?xml version="1.0" encoding="utf-8"?>
<sst xmlns="http://schemas.openxmlformats.org/spreadsheetml/2006/main" count="696" uniqueCount="416">
  <si>
    <t>№ п/п</t>
  </si>
  <si>
    <t xml:space="preserve">Наименование </t>
  </si>
  <si>
    <t>Чертеж</t>
  </si>
  <si>
    <t>Кол-во, шт</t>
  </si>
  <si>
    <t xml:space="preserve">Цена за шт. без НДС </t>
  </si>
  <si>
    <t>Цена с НДС</t>
  </si>
  <si>
    <t>Общая стоимость без НДС</t>
  </si>
  <si>
    <t>Общая стоимость с НДС</t>
  </si>
  <si>
    <t>552-35.1214</t>
  </si>
  <si>
    <t>552-ЗМ.143</t>
  </si>
  <si>
    <t>510-77.038</t>
  </si>
  <si>
    <t>552-ЗМ.142</t>
  </si>
  <si>
    <t>552-35.1197-08</t>
  </si>
  <si>
    <t>552-35.1200-05</t>
  </si>
  <si>
    <t>552-35.1199</t>
  </si>
  <si>
    <t xml:space="preserve">552-35.1344 </t>
  </si>
  <si>
    <t>552-03.368-10</t>
  </si>
  <si>
    <t>552-35.1200</t>
  </si>
  <si>
    <t>552-35.131</t>
  </si>
  <si>
    <t>552-35.1197-11</t>
  </si>
  <si>
    <t>552-ЗМ.147</t>
  </si>
  <si>
    <t xml:space="preserve">552-ЗМ.149 </t>
  </si>
  <si>
    <t>552-35.128</t>
  </si>
  <si>
    <t>552-35.1198</t>
  </si>
  <si>
    <t>552-35.1200-02</t>
  </si>
  <si>
    <t>552-35.127</t>
  </si>
  <si>
    <t xml:space="preserve">552-35.132 </t>
  </si>
  <si>
    <t xml:space="preserve">552-35.1214-03 </t>
  </si>
  <si>
    <t>552-ЗМ.135</t>
  </si>
  <si>
    <t>552-35.1206-02</t>
  </si>
  <si>
    <t xml:space="preserve">552-35.1197-04 </t>
  </si>
  <si>
    <t xml:space="preserve">552-35.1199-02 </t>
  </si>
  <si>
    <t xml:space="preserve">552-35.1214-06 </t>
  </si>
  <si>
    <t>552-35.1213-01</t>
  </si>
  <si>
    <t>552-03.402</t>
  </si>
  <si>
    <t>ИТШЛ.302615.086-02 (556-01.070-3)</t>
  </si>
  <si>
    <t>ИТШЛ.302615.102-06 (556-01.076-07)</t>
  </si>
  <si>
    <t>ИТШЛ.753081.015-02 (556-35.2544-02)</t>
  </si>
  <si>
    <t>ИТШЛ.753081.012-04 (556-35.2804-05)</t>
  </si>
  <si>
    <t xml:space="preserve"> ИТШЛ.753081.012-05 (556-35.2804-06)</t>
  </si>
  <si>
    <t xml:space="preserve"> ИТШЛ.753066.006-05 (556-01.099-6)</t>
  </si>
  <si>
    <t>ИТШЛ.753066.007-01 (556-01.100-2)</t>
  </si>
  <si>
    <t>ИТШЛ.753101.007-01 (556-35.2291-01)</t>
  </si>
  <si>
    <t>ИТШЛ.753101.007-02 (556-35.2291-02)</t>
  </si>
  <si>
    <t>ИТШЛ.753101.007-03 (556-35.2291-03)</t>
  </si>
  <si>
    <t>ИТШЛ.753101.007-05 (556-35.2291-05)</t>
  </si>
  <si>
    <t>ИТШЛ.753012.016-02 (556-01.092-03)</t>
  </si>
  <si>
    <t>ТЕ, ч/ч</t>
  </si>
  <si>
    <t>ОЗП, руб.</t>
  </si>
  <si>
    <t>Стр.взносы, руб.</t>
  </si>
  <si>
    <t>ОПР, руб.</t>
  </si>
  <si>
    <t>ОХР, руб.</t>
  </si>
  <si>
    <t>Мат-лы</t>
  </si>
  <si>
    <t>Полуфабрикаты</t>
  </si>
  <si>
    <t>ПКИ</t>
  </si>
  <si>
    <t>Сторонние</t>
  </si>
  <si>
    <t>Оснастка</t>
  </si>
  <si>
    <t>Себестоимость</t>
  </si>
  <si>
    <t>Прибыль, руб.</t>
  </si>
  <si>
    <t>Цена, руб.</t>
  </si>
  <si>
    <t>Возвратные</t>
  </si>
  <si>
    <t>Пруток 150х1000 лит БрАЖНМц 9-4-4-1 ТУ1733-116-0</t>
  </si>
  <si>
    <t>Кол-во</t>
  </si>
  <si>
    <t>Ед-ца</t>
  </si>
  <si>
    <t>Стоимость</t>
  </si>
  <si>
    <t>счет 21554 от 17.09.2020</t>
  </si>
  <si>
    <t>ООО "Альмет"</t>
  </si>
  <si>
    <t>Круг ст.08Х18Н10Т (ГОСТ 5949-2018, 2590-06) 25мм</t>
  </si>
  <si>
    <t>Соединение штуцерно-торцевое</t>
  </si>
  <si>
    <t>Соединение штуцерно-торцевое ИТШЛ.302615.086-02 (556-01.070-3)</t>
  </si>
  <si>
    <t>счет СПБ-53587/02 от 15.09.2020</t>
  </si>
  <si>
    <t>ООО "Континенталь"</t>
  </si>
  <si>
    <t>Тройник бр. ИТШЛ.752251.001-10</t>
  </si>
  <si>
    <t>Пруток 45х3000 ПКРНХ БрАЖМц 10-3-1,5 гт1628</t>
  </si>
  <si>
    <t>Штуцер ввертной ИТШЛ.753012.016-02 (556-01.092-03)</t>
  </si>
  <si>
    <t>Круг ст.08Х18Н10Т (ГОСТ 5949-2018, 2590-06) 30 мм Ижсталь 3 ГП, Т/О</t>
  </si>
  <si>
    <t>Штуцер</t>
  </si>
  <si>
    <t>Штуцер ввертной</t>
  </si>
  <si>
    <t>Штуцер ответвительный</t>
  </si>
  <si>
    <t>Штуцер промежуточный</t>
  </si>
  <si>
    <t>Соединение накидное</t>
  </si>
  <si>
    <t>Колено бронзовое литьеБрОЦ10-2 - 8 шт.</t>
  </si>
  <si>
    <t>Колено фланцевое  БрОЦ10-2 ИТШЛ.756041.012 - 1 шт.</t>
  </si>
  <si>
    <t>Патрубок  бронзовое литье БрОЦ10-2 - 7 шт.</t>
  </si>
  <si>
    <t>Патрубок бронзовое литье БрОЦ10-2 ИТШЛ.752252.098-06  -2 шт.</t>
  </si>
  <si>
    <t>Патрубок бронзовое литье БрОЦ10-2 ИТШЛ.752252.098-03</t>
  </si>
  <si>
    <t>Патрубок бронзовое литье Бр08Ц4</t>
  </si>
  <si>
    <t>Патрубок бронзовое литье БрОЦ10-2 ИТШЛ.752252.098</t>
  </si>
  <si>
    <t>Патрубок переходной Ду200/150 Бр08Ц4 ЛИТЬЕ</t>
  </si>
  <si>
    <t>Тройник бронзовое литье БрОЦ10-2</t>
  </si>
  <si>
    <t>Тройник бронзовое литье БрОЦ10-2 ИТШЛ.752252.081-08</t>
  </si>
  <si>
    <t>Тройник бронзовое литье Бр08Ц4</t>
  </si>
  <si>
    <t>Тройник бронзовое литье</t>
  </si>
  <si>
    <t>Тройник бронзовое литье БрОЦ10-2 ИТШЛ.752252.083</t>
  </si>
  <si>
    <t>Тройник бронзовое литье БрОЦ10-2 ИТШЛ.752252.081-11</t>
  </si>
  <si>
    <t>Тройник бронзовое литье БрОЦ8-4</t>
  </si>
  <si>
    <t>Тройник бронзовое литье БрОЦ10-2 ИТШЛ.752252.079-03</t>
  </si>
  <si>
    <t>Тройник бронзовое литье БрОЦ10-2 ИТШЛ.752252.081-07</t>
  </si>
  <si>
    <t>Тройник бронзовое литье БрОЦ10-2 ИТШЛ.752252.082</t>
  </si>
  <si>
    <t>Тройник бронзовое литье БрОЦ8-4 ИТШЛ.752252.071</t>
  </si>
  <si>
    <t>Тройник бронзовое литье БрОЦ10-2 ИТШЛ.752252.083-02</t>
  </si>
  <si>
    <t>Тройник бронзовое литье ЕБрОЦ10-2  ИТШЛ.752252.081-04</t>
  </si>
  <si>
    <t>Тройник бронзовое литье БрОЦ10-2  ИТШЛ.752252.007</t>
  </si>
  <si>
    <r>
      <t>Тройник бронзовое литье БрОЦ8-4 ИТШЛ.752252.059</t>
    </r>
    <r>
      <rPr>
        <sz val="10"/>
        <color rgb="FFFF0000"/>
        <rFont val="Times New Roman"/>
        <family val="1"/>
        <charset val="204"/>
      </rPr>
      <t xml:space="preserve"> - 8 шт.</t>
    </r>
  </si>
  <si>
    <t>Тройник бр.ИТШЛ.752251.001-10</t>
  </si>
  <si>
    <t>Круг ст.08Х18Н10Т (ГОСТ 5949-2018, 2590-06) 60мм Россия закалка</t>
  </si>
  <si>
    <t>Штуцер ИТШЛ.753101.007-05 (556-35.2291-05)</t>
  </si>
  <si>
    <t>Пруток 55х3000 ПКРНХ БрАЖМц 10-3-1,5 гт1628</t>
  </si>
  <si>
    <t>Соединение накидное ИТШЛ.302615.102-06 (556-01.076-07)</t>
  </si>
  <si>
    <t>Пруток 28х3000 ГКРН БрАЖМц 9-4-4-1 ТУ</t>
  </si>
  <si>
    <t>Цена по предыдущим договорам</t>
  </si>
  <si>
    <t>552-35.1197-07</t>
  </si>
  <si>
    <t>552-35.1196-03</t>
  </si>
  <si>
    <t>552-ЗМ.199</t>
  </si>
  <si>
    <t>Наименование товара</t>
  </si>
  <si>
    <t>Цена за ед-цу</t>
  </si>
  <si>
    <t>Дата</t>
  </si>
  <si>
    <t>Стоимость приведенная на 2020, руб. б/НДС</t>
  </si>
  <si>
    <t>Тройник прямой штуцерный разнопроходной с наружной резьбой бронзовый Dy10х6х10 РУ160 ч.552-03.360-04</t>
  </si>
  <si>
    <t>552-03.360-04</t>
  </si>
  <si>
    <t>Колено фланцевое бронзовое DN250, PN0,6; 1,0 МПа ч. 552-03.409</t>
  </si>
  <si>
    <t>552-03.409</t>
  </si>
  <si>
    <t>Наконечник АЛ28 литье ч.557-35.482-2</t>
  </si>
  <si>
    <t>557-35.482-2</t>
  </si>
  <si>
    <t>Гайка накидная АЛ28 литье ч.923-35.856-2</t>
  </si>
  <si>
    <t>923-35.856-2</t>
  </si>
  <si>
    <t>Тройник 552-ЗМ.199</t>
  </si>
  <si>
    <t>Тройник 1А-10-40/400 2Х13 552-03.292-1</t>
  </si>
  <si>
    <t>552-03.292-1</t>
  </si>
  <si>
    <t>Четверник ч.552-03.320-1 (ИТШЛ.752256.010)</t>
  </si>
  <si>
    <t>552-03.320-1</t>
  </si>
  <si>
    <t>Тройник штуцерный кор.ст. 552-03.293-1 (ИТШЛ.752251.022)</t>
  </si>
  <si>
    <t>552-03.293-1</t>
  </si>
  <si>
    <t>Тройник нерж. ИТШЛ.752251.004-05 (552-03.367)</t>
  </si>
  <si>
    <t>552-03.367</t>
  </si>
  <si>
    <t>Колено Бронзовое Литье БрОЦ10-2 Ду125 Ру 10 черт.552-3М.137(ЛПРЕ.756041.010)</t>
  </si>
  <si>
    <t>Тройник Бронзовое Литье БрОЦ10-2 Ду125х50 Ру 10 черт.552-35.1199(ЛПРЕ.752252.083)</t>
  </si>
  <si>
    <t>КОЛЕНО ЧЕРТ.552-ЗМ.136 (ИТШЛ.756041.009) БРОНЗОВОЕ ЛИТЬЕ    БрОЦ10-2</t>
  </si>
  <si>
    <t>Тройник ст.20х13 чертеж 552-03.311-1(ИТШЛ.752251.012)</t>
  </si>
  <si>
    <t>Четверник ч. 552-03.340-1 (ИТШЛ.752256.028)</t>
  </si>
  <si>
    <t>Колено 552-З8.084</t>
  </si>
  <si>
    <t>Колено 552-ЗМ.137</t>
  </si>
  <si>
    <t>Патрубок 552-35.1214-05 (ИТШЛ.752252.098-05)</t>
  </si>
  <si>
    <t>ПАТРУБОК ч.552-35.1214-02 (ИТШЛ.752252.098-02) БРОНЗОВОЕ ЛИТЬЕ БрОЦ10-2</t>
  </si>
  <si>
    <t>Тройник 552-ЗМ.145</t>
  </si>
  <si>
    <t>Патрубок 552-35.1214-04</t>
  </si>
  <si>
    <t>Тройник бр ч.552-03.368-10 (ИТШЛ.752251.001-10)</t>
  </si>
  <si>
    <t>Тройник 552-ЗМ.146</t>
  </si>
  <si>
    <t>Тройник 552-З5.1208-03</t>
  </si>
  <si>
    <t>Патрубок 552-35.1214-06</t>
  </si>
  <si>
    <t>Патрубок 552-35.1214-05</t>
  </si>
  <si>
    <t>Патрубок 552-35.1214-03</t>
  </si>
  <si>
    <t>Тройник прямой приварной DN65 PN6 ч. ИТШЛ.752253.010</t>
  </si>
  <si>
    <t>Тройник ч.552-03.291-1 (ИТШЛ.752251.020)</t>
  </si>
  <si>
    <t>Четверник ч. 552-03.319-1 (ИТШЛ.752256.009)</t>
  </si>
  <si>
    <t>Тройник штуцерный Ду20 Ру400 чертеж 552-03.294-1(ИТШЛ.752251.023)</t>
  </si>
  <si>
    <t>Тройник 1 А-10-40/400 ст.20х13 чертеж 552-03.292-1</t>
  </si>
  <si>
    <t>Тройник бр ч.552-03.368-05 (ИТШЛ.752251.001-05)</t>
  </si>
  <si>
    <t>Тройник бр ч.552-03.368-01 (ИТШЛ.752251.001-01)</t>
  </si>
  <si>
    <t>Тройник 552-З5.1199</t>
  </si>
  <si>
    <t>Тройник 552-З5.119</t>
  </si>
  <si>
    <t>Патрубок 552-35.1214-02</t>
  </si>
  <si>
    <t>Тройник 552-ЗМ.143</t>
  </si>
  <si>
    <t>Тройник штуцерный кор.ст. ч.552-03.293-1 (ИТШЛ.852251.022)</t>
  </si>
  <si>
    <t>Колено 552-З8.099</t>
  </si>
  <si>
    <t>Протектор межфланцевый 558-03.051-01</t>
  </si>
  <si>
    <t>Протектор межфланцевый 558-03.051-02</t>
  </si>
  <si>
    <t>Протектор межфланцевый 558-03.051-03</t>
  </si>
  <si>
    <t>Протектор межфланцевый 558-03.053</t>
  </si>
  <si>
    <t>Протектор межфланцевый 558-03.053-01</t>
  </si>
  <si>
    <t>Протектор межфланцевый 558-03.053-02</t>
  </si>
  <si>
    <t>Протектор межфланцевый 558-03.053-03</t>
  </si>
  <si>
    <t>Протектор межфланцевый 558-03.053-04</t>
  </si>
  <si>
    <t>Клапан концевой пожарный угловой Ду65 Ру1,0МПа ИТШЛ.491226.001 595-35.086</t>
  </si>
  <si>
    <t>Колено литое БрОЦ10-2 ч.552-3М.172 (ИТШЛ.856041.003)</t>
  </si>
  <si>
    <t>Тройник бронзовое литье БрОЦ10-2 ч.552-3М.144</t>
  </si>
  <si>
    <t>Тройник бронзовое литье БрОЦ10-2 ч.552-3М.149</t>
  </si>
  <si>
    <t>Патрубок бронзовое литье БрОЦ10-2 ч.552-35.1214-04 (ИТШЛ.752252.098-04)</t>
  </si>
  <si>
    <t>Тройник бронзовое литье Бр08Ц4 ч.552-3М.140</t>
  </si>
  <si>
    <t>Тройник равнопроходный ч.552-03.214 (ИТШЛ.752253.011)</t>
  </si>
  <si>
    <t>Колено бронзовое литье БрОЦ10-2 ч.552-3М.136</t>
  </si>
  <si>
    <t>Тройник бронзовое литье ч.552-35.1200-04</t>
  </si>
  <si>
    <t>ПАТРУБОК ЧЕРТ.552-35.1214-05 БРОНЗОВОЕ ЛИТЬЕ БрОЦ10-2  ИТШЛ.752252.098-05</t>
  </si>
  <si>
    <t>Тройник бронзовое литье ч.552-35.1208-01</t>
  </si>
  <si>
    <t>Колено бронзовое литье БрОЦ10-2 ч.552-3М.150</t>
  </si>
  <si>
    <t>Тройник бронзовое литье БрОЦ10-2 ч.552-35.1196-01 (ИТШЛ.752252.079-01)</t>
  </si>
  <si>
    <t>Тройник литой фланцевый Ру10, Бр.ОЦ 10-2 ч.552-35.1200-03</t>
  </si>
  <si>
    <t>Колено бронзовое литье БрОЦ10-2 ч.552-3М.135</t>
  </si>
  <si>
    <t>Тройник бр ч.552-03.368 (ИТШЛ.752251.001)</t>
  </si>
  <si>
    <t>Тройник бронзовое литье БрОЦ10-2 ч.552-35.1197-05 (ИТШЛ.752252.081-05)</t>
  </si>
  <si>
    <t>Тройник бронзовое литье БрОЦ10-2 ч.552-35.1199-01 (ИТШЛ.752252.083-01)</t>
  </si>
  <si>
    <t>Тройник бронзовое литье БрОЦ10-2 ч.552-3М.145</t>
  </si>
  <si>
    <t>Тройник бронзовое литье БрОЦ10-2 ч.552-35.1198 (ИТШЛ.752252.082)</t>
  </si>
  <si>
    <t>Тройник бронзовое литье БрОЦ10-2 ч.552-35.1196-02 (ИТШЛ.752252.079-02)</t>
  </si>
  <si>
    <t>Тройник бронзовое литье БрОЦ10-2 ч.552-35.1197-04 (ИТШЛ.752252.081-04)</t>
  </si>
  <si>
    <t>Тройник бронзовое литье БрОЦ8-4 ч.552-35.135 (ИТШЛ.752252.076)</t>
  </si>
  <si>
    <t>Тройник равнопроходный ч.552-35.1164-08 (ИТШЛ.752253.056-08)</t>
  </si>
  <si>
    <t>Тройник бронзовое литье БрОЦ10-2 ч.552-35.1200-02</t>
  </si>
  <si>
    <t>Тройник бронзовое литье ч.552-35.1200-03</t>
  </si>
  <si>
    <t>Тройник бронзовое литье БрОЦ8-4 ч.552-35.133</t>
  </si>
  <si>
    <t>Тройник БрОЦ8-4 ч.552-35.134 (ИТШЛ.752252.074)</t>
  </si>
  <si>
    <t>Шайба дроссельная литье БрОЦ8-4 ч. ИРЖЕ.711171.016-13</t>
  </si>
  <si>
    <t>Тройник бронзовое литье БрОЦ10-2 ч.552-35.128</t>
  </si>
  <si>
    <t>Тройник бронзовое литье БрОЦ10-2 ч.552-35.1197-03 (ИТШЛ.752252.081-03)</t>
  </si>
  <si>
    <t>Патрубок бронзовое литье БрОЦ10-2 ч.552-35.1214 (ИТШЛ.752252.098)</t>
  </si>
  <si>
    <t>Задвижка клинкетная Ду100 Ру0,6МПа ИТШЛ.491655.007 532-01.017</t>
  </si>
  <si>
    <t>Клапан запорный проходной фланцевый, латунь Ду100 Ру1,0МПа ИТШЛ.491125.020 521-35.3386</t>
  </si>
  <si>
    <t>Тройник 1-15-200 БР. 552-03.293-3</t>
  </si>
  <si>
    <t>Тройник штуцерный КОР.Ст. ч. 552-03.293-1 (ИТШЛ.852251.022)</t>
  </si>
  <si>
    <t>Штуцер ввертной с цапковым концом под трубную резьбу ИТШЛ.753012.015-02 (556-01.096-3)</t>
  </si>
  <si>
    <t>Тройник 552-3М.153 БРОНЗОВОЕ ЛИТЬЕ</t>
  </si>
  <si>
    <t>Тройник 552-03.368-11</t>
  </si>
  <si>
    <t>Тройник 552-35.128 БРОНЗОВОЕ ЛИТЬЕ БрОЦ8-4</t>
  </si>
  <si>
    <t>Клапан запорный проходной, латунь Ду32 Ру10МПа ИТШЛ.491111.017-06 521-01.470-06</t>
  </si>
  <si>
    <t>Клапан для манометра Ду6 Ру100 ИТШЛ.494544.002-06 521-02.009-06</t>
  </si>
  <si>
    <t>Клапан запорный штуцерный угловой, латунь 10-10.0(100.0) ИТШЛ.491211.010-03 521-01.463-03</t>
  </si>
  <si>
    <t>Клапан запорный штуцерный угловой латунный Ду25 Ру100 ИТШЛ.491211.011-05 521-01.464-05</t>
  </si>
  <si>
    <t>Клапан запорный угловой бронзовый Ду20 521-35.3068</t>
  </si>
  <si>
    <t>Клапан для манометра Ду6 Ру100 ИТШЛ.494544.007-05 521-35.3404-05</t>
  </si>
  <si>
    <t>Штуцер приварной 10-15 кор.ст. ИТШЛ.753066.007-03 (556-01.100-4)</t>
  </si>
  <si>
    <t>Штуцер промежуточный для соединения внахлестку 10-15 кор.ст. ИТШЛ.753081.003-03 (556-01.084-4)</t>
  </si>
  <si>
    <t>Штуцер промежуточный для соединения внахлестку тип 6 Ду10 Ру10 ИТШЛ.753081.003-02</t>
  </si>
  <si>
    <t>Штуцер приварной под трубную резьбу Ду15 кор.ст. ДВИЕ.753137.028</t>
  </si>
  <si>
    <t>Фланец переборочный на трубу Ду10 555-35.1738-02</t>
  </si>
  <si>
    <t>Фланец переборочный на трубу Ду20 555-35.1738-04</t>
  </si>
  <si>
    <t>Штуцер промежуточный внахлестку Ду10 ИТШЛ.753081.003-02 (556-01.084-3)</t>
  </si>
  <si>
    <t>Патрубок спец.БР Ду50 Ру10 ч. ДВИЕ.752292.001-01</t>
  </si>
  <si>
    <t>Патрубок спец.БР Ду80 Ру10 ч. ДВИЕ.752292.001-03</t>
  </si>
  <si>
    <t>Тройник БР.  552-03.311-3</t>
  </si>
  <si>
    <t>Тройник БР. 552-03.311-3</t>
  </si>
  <si>
    <t>Тройник штуцерный 552-03.294-1 (ИТШЛ.752251.023)</t>
  </si>
  <si>
    <t>Тройник БР.ЧЕРТ. 552-03.368 (ИТШЛ.752251.001) Ду6 Ру160</t>
  </si>
  <si>
    <t>Патрубок СПЕЦ. Ру10/Ду40 БрА9Ж4Н4Мц1 ЛИТЬЕ ДВИЕ.752292.001</t>
  </si>
  <si>
    <t>Патрубок СПЕЦ. Ру10/Ду50 БрА9Ж4Н4Мц1 ЛИТЬЕ ДВИЕ.752292.001-01</t>
  </si>
  <si>
    <t>Патрубок СПЕЦ. Ру10/Ду80 БрА9Ж4Н4Мц1 ЛИТЬЕ. ДВИЕ.752292.001-03</t>
  </si>
  <si>
    <t>Патрубок специальный БРОНЗА ЛИТЬЕ ДВИЕ.752292-001-05</t>
  </si>
  <si>
    <t>Патрубок спец.БР Ду40.ДВИЕ.753138.043</t>
  </si>
  <si>
    <t>Патрубок спец.БРОНЗ РУ10 ДВИЕ.753138.043-01</t>
  </si>
  <si>
    <t>Патрубок спец.БР Ду65 ДВИЕ.753138.043-02</t>
  </si>
  <si>
    <t>Патрубок спец.БР Ду80 ДВИЕ.753138.043-03</t>
  </si>
  <si>
    <t>Патрубок спец.БР ДВИЕ.753138.043-04</t>
  </si>
  <si>
    <t>Патрубок спец.БР Ду 125 ДВИЕ.753138.043-05</t>
  </si>
  <si>
    <t>Тройник 552-03.291-1 (ИТШЛ.752251.020)</t>
  </si>
  <si>
    <t>Четверник ч.552-03.362-05 (ИТШЛ.752256.004-05)</t>
  </si>
  <si>
    <t>Тройник БРОНЗОВОЕ ЛИТЬЕ БрЦ10-2 (552-3М.145)</t>
  </si>
  <si>
    <t>Тройник БРОНЗОВОЕ ЛИТЬЕ БрЦ10-2 (552-35.1208)</t>
  </si>
  <si>
    <t>Патрубок БРОНЗОВОЕ ЛИТЬЕ БрОЦ10-2 (ИТШЛ.752252.098-06 (552-35.1214-06))</t>
  </si>
  <si>
    <t>Патрубок БРОНЗОВОЕ ЛИТЬЕ БрОЦ10-2 (ИТШЛ.752252.098 (552-35.1214))</t>
  </si>
  <si>
    <t>Патрубок спец.БР Ду80 отливка ч. ДВИЕ.753138.043-03</t>
  </si>
  <si>
    <t>Тройник БР. черт.552-03.368-03 (ИТШЛ.752251.001-03)</t>
  </si>
  <si>
    <t>Патрубок спец.БР Ду40 отливка ч. ДВИЕ.753138.043</t>
  </si>
  <si>
    <t>Патрубок спец.БР отливка ч. ДВИЕ.753138.043-01</t>
  </si>
  <si>
    <t>Патрубок спец.БР Ду65 отливка ч. ДВИЕ.753138.043-02</t>
  </si>
  <si>
    <t>Патрубок спец.БР Ду125 отливка ч. ДВИЕ.753138.043-05</t>
  </si>
  <si>
    <t>Тройник 552-3М.144</t>
  </si>
  <si>
    <t>552-3М.144</t>
  </si>
  <si>
    <t>Колено Ду50 Ру25  552-3М.151</t>
  </si>
  <si>
    <t>552-3М.151</t>
  </si>
  <si>
    <t>Круг 50мм сталь 20 ГОСТ 1050-2013 4370мм (1 шт.)</t>
  </si>
  <si>
    <t>счет 25662 от 21.09.2020</t>
  </si>
  <si>
    <t>ООО "Гектор"</t>
  </si>
  <si>
    <t>Пруток брАЖНМц9-4-4-1 ф110х280</t>
  </si>
  <si>
    <t>счет 41811 от 23.09.2020</t>
  </si>
  <si>
    <t>ООО "Лист СПб"</t>
  </si>
  <si>
    <t>задвоилось, берем у Балт.Завода!!!!</t>
  </si>
  <si>
    <t>Круг ст.08Х18Н10Т Россия 3кл МКК 38мм</t>
  </si>
  <si>
    <t>Круг ст.08Х18Н10Т (ГОСТ 5949-2018, 2590-06) 45мм</t>
  </si>
  <si>
    <t>Виктор</t>
  </si>
  <si>
    <t>Доп</t>
  </si>
  <si>
    <t>ПКИ
(шильды)</t>
  </si>
  <si>
    <t>Всего</t>
  </si>
  <si>
    <t>Цена, руб. б/НДС</t>
  </si>
  <si>
    <t>Цена, руб. с НДС</t>
  </si>
  <si>
    <t>Итого, руб.</t>
  </si>
  <si>
    <t>Соединение штуцерно-торцевое ИТШЛ.302615.086-02</t>
  </si>
  <si>
    <t>556-01.070-3</t>
  </si>
  <si>
    <t>Соединение накидное ИТШЛ.302615.102-06</t>
  </si>
  <si>
    <t>556-01.076-07</t>
  </si>
  <si>
    <t>Штуцер промежуточный ИТШЛ.753081.015-02</t>
  </si>
  <si>
    <t>556-35.2544-02</t>
  </si>
  <si>
    <t>Штуцер ввертной ИТШЛ.753012.016-02</t>
  </si>
  <si>
    <t>556-01.092-03</t>
  </si>
  <si>
    <t>556-35.2291-05</t>
  </si>
  <si>
    <t>Штуцер ИТШЛ.753101.007-05</t>
  </si>
  <si>
    <t>Штуцер ИТШЛ.753101.007-03</t>
  </si>
  <si>
    <t>556-35.2291-03</t>
  </si>
  <si>
    <t>Штуцер  ИТШЛ.753081.012-05</t>
  </si>
  <si>
    <t>556-35.2804-06</t>
  </si>
  <si>
    <t>Штуцер ответвительный  ИТШЛ.753066.006-05</t>
  </si>
  <si>
    <t>556-01.099-6</t>
  </si>
  <si>
    <t>Штуцер ИТШЛ.753066.007-01</t>
  </si>
  <si>
    <t>556-01.100-2</t>
  </si>
  <si>
    <t>Штуцер ответвительный ИТШЛ.753101.007-01</t>
  </si>
  <si>
    <t>556-35.2291-01</t>
  </si>
  <si>
    <t>Колено фланцевое  БрОЦ10-2 ИТШЛ.756041.012</t>
  </si>
  <si>
    <t>Патрубок бронзовое литье БрОЦ10-2 ИТШЛ.752252.098-06</t>
  </si>
  <si>
    <t>Тройник бронзовое литье БрОЦ8-4 ИТШЛ.752252.059</t>
  </si>
  <si>
    <t>Колено бронзовое литье БрОЦ10-2</t>
  </si>
  <si>
    <t>Тройник бронзовое литье БрОЦ10-2  ИТШЛ.752252.081-04</t>
  </si>
  <si>
    <t>Коэффициент на трудоемкость</t>
  </si>
  <si>
    <t>Трудоемкость</t>
  </si>
  <si>
    <t>ТРОЙНИК ЧЕРТ. БРОНЗОВОЕ ЛИТЬЕ БроЦ8-4</t>
  </si>
  <si>
    <t>552-З5.128</t>
  </si>
  <si>
    <t xml:space="preserve">ТРОЙНИК ЧЕРТ. БРОНЗОВОЕ ЛИТЬЕ БрОЦ8-4 </t>
  </si>
  <si>
    <t>ИТШЛ. 752252.059  552-З5.1З1</t>
  </si>
  <si>
    <t>КОЛЕНО ЧЕРТ. БРОНЗОВОЕ ЛИТЬЕ БроЦ10-2</t>
  </si>
  <si>
    <t>552-ЗМ.136</t>
  </si>
  <si>
    <t>ТРОЙНИК ЧЕРТ. БРОНЗОВОЕ ЛИТЬЕ БроЦ10-2</t>
  </si>
  <si>
    <t xml:space="preserve">ТРОЙНИК ЧЕРТ. БРОНЗОВОЕ ЛИТЬЕ БрОЦI10-2 </t>
  </si>
  <si>
    <t>ИТШЛ .752252.081-10  552-35.1197-10</t>
  </si>
  <si>
    <t xml:space="preserve">ТРОЙНИК БРОНЗОВОЕ ЛИТЬЕ БрОЦ10-2 </t>
  </si>
  <si>
    <t>ИТШЛ.752252.002  552-ЗМ.144</t>
  </si>
  <si>
    <t xml:space="preserve">ТРОЙНИК БРОНЗОВОЕ ЛИТЬЕ БрОЦ8-4 </t>
  </si>
  <si>
    <t>ИТШЛ.752252.004  552-ЗМ.146</t>
  </si>
  <si>
    <t xml:space="preserve">КОЛЕНО БРОНЗОВОЕ ЛИТЬЕ БрОЦ10-2 </t>
  </si>
  <si>
    <t>ИТШЛ.756041.010  552-ЗМ.1З7</t>
  </si>
  <si>
    <t xml:space="preserve">ПАТРУБОК БРОНЗОВОЕ ЛИТЬЕ БрОЦ10-2 </t>
  </si>
  <si>
    <t>ИТШЛ.752252.098-04  552-З5.1214-О4</t>
  </si>
  <si>
    <t>ИТШЛ.752252.098-05  552-З5.1214-О5</t>
  </si>
  <si>
    <t>ИТШЛ.752252.098-03  552-З5.1214-03</t>
  </si>
  <si>
    <t>КОЛЕНО БРОНЗОВОЕ ЛИТЬЕ</t>
  </si>
  <si>
    <t>ТРОЙНИК БР.</t>
  </si>
  <si>
    <t xml:space="preserve"> ТРОЙНИК ПРЯМОЙ ШТУЦЕРНЫЙ</t>
  </si>
  <si>
    <t xml:space="preserve"> ИТШЛ. 752251.003-05  552-03.357-05</t>
  </si>
  <si>
    <t xml:space="preserve">ЧЕТВЕРНИК  </t>
  </si>
  <si>
    <t>ИТШЛ.752256.004-01  552-03.362-01</t>
  </si>
  <si>
    <t xml:space="preserve">ТРОЙНИК БР.  </t>
  </si>
  <si>
    <t>ИТШЛ.752251.001  552-03.368</t>
  </si>
  <si>
    <t xml:space="preserve">ТРОЙНИК БР. </t>
  </si>
  <si>
    <t>ИТШЛ.752251.001-01  552-03.368-01</t>
  </si>
  <si>
    <t xml:space="preserve"> ТРОЙНИК 1А-10-40/400 20Х13</t>
  </si>
  <si>
    <t xml:space="preserve"> ТРОЙНИК  08Х18Н10Т</t>
  </si>
  <si>
    <t>ИТШЛ.752251.004-01  552-03.367-01</t>
  </si>
  <si>
    <t xml:space="preserve"> ТРОЙНИК </t>
  </si>
  <si>
    <t>ИТШЛ.752251.012  552-03.311-1</t>
  </si>
  <si>
    <t xml:space="preserve"> ТРОЙНИК БР. </t>
  </si>
  <si>
    <t xml:space="preserve">ЧЕТВЕРНИК </t>
  </si>
  <si>
    <t>552-03 .355-01</t>
  </si>
  <si>
    <t>ИТШЛ.752252.098-01  552-35.1214-01</t>
  </si>
  <si>
    <t>масса  детали</t>
  </si>
  <si>
    <t>масса отливки</t>
  </si>
  <si>
    <t>стоимость обработки,1шт</t>
  </si>
  <si>
    <t>стоимость отливки,1шт</t>
  </si>
  <si>
    <t>ТЕ, ч/шт</t>
  </si>
  <si>
    <t>Ф155х250х130</t>
  </si>
  <si>
    <t>Ф170х310х155</t>
  </si>
  <si>
    <t>Ф190х175</t>
  </si>
  <si>
    <t>Ф135х240х120</t>
  </si>
  <si>
    <t>Ф245х400х200</t>
  </si>
  <si>
    <t>Ф125х200х100</t>
  </si>
  <si>
    <t>Ф155х290х145</t>
  </si>
  <si>
    <t>штамповка грIVБрАЖНМц 9-4-4-1</t>
  </si>
  <si>
    <t>штамповка БрАМц 9-2</t>
  </si>
  <si>
    <t>сталь 20Х13 поковка</t>
  </si>
  <si>
    <t>штамповка грII 08X18Н10T</t>
  </si>
  <si>
    <t>ИТШЛ.752256.028  552-03.340-1</t>
  </si>
  <si>
    <t>552-03.334-01</t>
  </si>
  <si>
    <t>сталь 20Х13 поковка IV гр.</t>
  </si>
  <si>
    <t>отливка БрОЦ 10-2</t>
  </si>
  <si>
    <t>ИТШЛ.302645.034-06</t>
  </si>
  <si>
    <t xml:space="preserve">Соединение рукавное штуц, тип 2, Ду25, Ру10МПа (100кгс/см2) кор/ сталь, L=1,0м  </t>
  </si>
  <si>
    <t>2-Cтакан переборочный штуцерный съемный Ду10, Ру10,0МПа(100кгс/см2)</t>
  </si>
  <si>
    <t xml:space="preserve"> ИТШЛ.363171.134-01 (554-03.905-02)</t>
  </si>
  <si>
    <t xml:space="preserve">3-Узел электроизолирующего путевого соединения Ду32; Ру0,6; и 1,0 МПа  </t>
  </si>
  <si>
    <t>555-35.2181-02</t>
  </si>
  <si>
    <t xml:space="preserve">4-Фланец труб.приварной перех.латун. Ду32/40,Ру0,63;1,0;1,6 и 2,5МПа </t>
  </si>
  <si>
    <t>ИТШЛ.712403.069-01(555-03.087-2)</t>
  </si>
  <si>
    <t xml:space="preserve">5-Фланец трубный лат.приварной Ду32; Ру6;10;16 и 25 МПа </t>
  </si>
  <si>
    <t>ИТШЛ.712403.131 (555-3М207)</t>
  </si>
  <si>
    <t xml:space="preserve">6-Фланец трубный стальной на приварном латунном кольце ДУ32 Ру6,10,16 и 25 </t>
  </si>
  <si>
    <t>ИТШЛ.302631.070(ГС 555-220)</t>
  </si>
  <si>
    <t xml:space="preserve">8-штуцер приварной стальной Ду3, Ру4,0МПа </t>
  </si>
  <si>
    <t>ИТШЛ.753066.006 (556-01.099-1)</t>
  </si>
  <si>
    <t>9-Штуцер ответвительный стальной Ду10, Ру4.0 МПа)</t>
  </si>
  <si>
    <t xml:space="preserve"> ИТШЛ.753066.006-02 (556-01.099-3</t>
  </si>
  <si>
    <t>552-3м138</t>
  </si>
  <si>
    <t>ИТШЛ.752252.098-11 (552-35.1214-11)</t>
  </si>
  <si>
    <t>ИТШЛ. 752251.006-01 552-03.358-01</t>
  </si>
  <si>
    <t>0,8                               0,6                                 0,6</t>
  </si>
  <si>
    <t>1600                    1200               1200</t>
  </si>
  <si>
    <t>пруток Ф130х50 Л90Л</t>
  </si>
  <si>
    <t>пруток Ф120х50 Л90</t>
  </si>
  <si>
    <t>7-Соединение штуцерно-торцовое накидное внахлестку бронзовое Ду10, Ру10.0 МПа ИТШЛ.302615.088-02</t>
  </si>
  <si>
    <t xml:space="preserve">       прокладка 938-35.1997 паронит</t>
  </si>
  <si>
    <t xml:space="preserve">ниппель 556-01.106-2 </t>
  </si>
  <si>
    <t xml:space="preserve"> гайка 923-01.146-2 </t>
  </si>
  <si>
    <t>размеры заготовки на 1шт</t>
  </si>
  <si>
    <t xml:space="preserve"> Ф20*20 БрАЖНМц 9-4-4-1</t>
  </si>
  <si>
    <t>Ф35*30 12Х18Н10Т</t>
  </si>
  <si>
    <t>паронит S=1,5</t>
  </si>
  <si>
    <t xml:space="preserve"> Ф20*50 Ст25</t>
  </si>
  <si>
    <t>Ф30*65 Ст25</t>
  </si>
  <si>
    <t>10-Соединение рукавное штуцерное стальное Ду32 Ру1,0МПа ГКРС302645.015-16 (557-03.138-05</t>
  </si>
  <si>
    <t>наконечник 557-35.452-05</t>
  </si>
  <si>
    <t>муфта  557-35.455-05</t>
  </si>
  <si>
    <t>2х2</t>
  </si>
  <si>
    <t>гайка накидная 923-01.144-7</t>
  </si>
  <si>
    <t>Ф53*100 Ст20 Ц 9-12</t>
  </si>
  <si>
    <t>Ф56*80 Ст20 Ц6</t>
  </si>
  <si>
    <t xml:space="preserve">Ф50х170 14Х17Н2 Хтв 12                         Ф70х200 БрАмц 9-2                       Ф80х100 БрАжМЦ 10-3-1,5 </t>
  </si>
  <si>
    <t>Ф75*60 Ст35</t>
  </si>
  <si>
    <t xml:space="preserve">наконечник 557-35.484-4                   муфта 557-35.499-6                               гайка 923-35.1267-05   </t>
  </si>
  <si>
    <t>ИТШЛ.752252.079-03   (552-35.1196-03)</t>
  </si>
  <si>
    <t xml:space="preserve"> ТРОЙНИК     08Н18Н10Т</t>
  </si>
  <si>
    <t>ИТШЛ.752251.004-02   (552-03.367-02)</t>
  </si>
  <si>
    <t>ИТШЛ.752251.004-03  552-03.367-03</t>
  </si>
  <si>
    <t xml:space="preserve">КОЛЕНО переходное с М36х2 БрОЦ8-4  </t>
  </si>
  <si>
    <t xml:space="preserve">  552-35.968</t>
  </si>
  <si>
    <t>Ф240*225 БрОЦ8-4</t>
  </si>
  <si>
    <t>колено бронзовое Ду150 БрОЦ 10-2</t>
  </si>
  <si>
    <t>ТРОЙНИК  БРОНЗОВОЕ ЛИТЬЕ      БрОЦ10-2</t>
  </si>
  <si>
    <t>ИТШЛ.752252.066  552-35.117</t>
  </si>
  <si>
    <t>Ф150х100 Ст20Х13</t>
  </si>
  <si>
    <t>552-35.966</t>
  </si>
  <si>
    <t>552-03.368-06</t>
  </si>
  <si>
    <t>552-03.368-07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</si>
</sst>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#,##0.00\ _₽"/>
    <numFmt numFmtId="166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0"/>
      <color rgb="FF000000"/>
      <name val="Courier New"/>
      <family val="3"/>
      <charset val="204"/>
    </font>
    <font>
      <b/>
      <sz val="10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sz val="10"/>
      <name val="Courier New"/>
      <family val="3"/>
      <charset val="204"/>
    </font>
    <font>
      <b/>
      <sz val="10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4" fillId="0" borderId="0"/>
    <xf numFmtId="9" fontId="16" fillId="0" borderId="0" applyFont="0" applyFill="0" applyBorder="0" applyAlignment="0" applyProtection="0"/>
  </cellStyleXfs>
  <cellXfs count="244">
    <xf numFmtId="0" fontId="0" fillId="0" borderId="0" xfId="0"/>
    <xf numFmtId="0" fontId="0" fillId="0" borderId="2" xfId="0" applyBorder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0" xfId="0" applyFo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4" fontId="9" fillId="0" borderId="2" xfId="1" applyNumberFormat="1" applyFont="1" applyFill="1" applyBorder="1" applyAlignment="1" applyProtection="1">
      <alignment horizontal="right" vertical="center" wrapText="1"/>
      <protection locked="0"/>
    </xf>
    <xf numFmtId="4" fontId="7" fillId="0" borderId="0" xfId="0" applyNumberFormat="1" applyFont="1"/>
    <xf numFmtId="0" fontId="7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/>
    </xf>
    <xf numFmtId="4" fontId="9" fillId="3" borderId="2" xfId="1" applyNumberFormat="1" applyFont="1" applyFill="1" applyBorder="1" applyAlignment="1" applyProtection="1">
      <alignment horizontal="right" vertical="center" wrapText="1"/>
      <protection locked="0"/>
    </xf>
    <xf numFmtId="165" fontId="11" fillId="0" borderId="0" xfId="0" applyNumberFormat="1" applyFont="1"/>
    <xf numFmtId="165" fontId="7" fillId="0" borderId="2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horizontal="center" vertical="center"/>
    </xf>
    <xf numFmtId="4" fontId="9" fillId="4" borderId="2" xfId="1" applyNumberFormat="1" applyFont="1" applyFill="1" applyBorder="1" applyAlignment="1" applyProtection="1">
      <alignment horizontal="right" vertical="center" wrapText="1"/>
      <protection locked="0"/>
    </xf>
    <xf numFmtId="0" fontId="9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vertical="center" wrapText="1"/>
    </xf>
    <xf numFmtId="0" fontId="10" fillId="4" borderId="2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4" fontId="9" fillId="0" borderId="0" xfId="1" applyNumberFormat="1" applyFont="1" applyFill="1" applyBorder="1" applyAlignment="1" applyProtection="1">
      <alignment horizontal="right" vertical="center" wrapText="1"/>
      <protection locked="0"/>
    </xf>
    <xf numFmtId="4" fontId="9" fillId="4" borderId="0" xfId="1" applyNumberFormat="1" applyFont="1" applyFill="1" applyBorder="1" applyAlignment="1" applyProtection="1">
      <alignment horizontal="right" vertical="center" wrapText="1"/>
      <protection locked="0"/>
    </xf>
    <xf numFmtId="4" fontId="9" fillId="3" borderId="0" xfId="1" applyNumberFormat="1" applyFont="1" applyFill="1" applyBorder="1" applyAlignment="1" applyProtection="1">
      <alignment horizontal="right" vertical="center" wrapText="1"/>
      <protection locked="0"/>
    </xf>
    <xf numFmtId="4" fontId="9" fillId="5" borderId="0" xfId="1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vertical="center"/>
    </xf>
    <xf numFmtId="14" fontId="0" fillId="0" borderId="2" xfId="0" applyNumberFormat="1" applyBorder="1" applyAlignment="1">
      <alignment vertical="center"/>
    </xf>
    <xf numFmtId="0" fontId="0" fillId="0" borderId="0" xfId="0" applyAlignment="1">
      <alignment horizontal="center"/>
    </xf>
    <xf numFmtId="0" fontId="0" fillId="6" borderId="2" xfId="0" applyFill="1" applyBorder="1" applyAlignment="1">
      <alignment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165" fontId="0" fillId="6" borderId="2" xfId="0" applyNumberFormat="1" applyFill="1" applyBorder="1" applyAlignment="1">
      <alignment vertical="center"/>
    </xf>
    <xf numFmtId="14" fontId="0" fillId="6" borderId="2" xfId="0" applyNumberFormat="1" applyFill="1" applyBorder="1" applyAlignment="1">
      <alignment vertical="center"/>
    </xf>
    <xf numFmtId="4" fontId="9" fillId="7" borderId="0" xfId="1" applyNumberFormat="1" applyFont="1" applyFill="1" applyBorder="1" applyAlignment="1" applyProtection="1">
      <alignment horizontal="right" vertical="center" wrapText="1"/>
      <protection locked="0"/>
    </xf>
    <xf numFmtId="165" fontId="7" fillId="8" borderId="2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165" fontId="11" fillId="0" borderId="3" xfId="0" applyNumberFormat="1" applyFont="1" applyBorder="1"/>
    <xf numFmtId="0" fontId="0" fillId="9" borderId="2" xfId="0" applyFill="1" applyBorder="1" applyAlignment="1">
      <alignment wrapText="1"/>
    </xf>
    <xf numFmtId="166" fontId="0" fillId="9" borderId="2" xfId="0" applyNumberFormat="1" applyFill="1" applyBorder="1" applyAlignment="1">
      <alignment horizontal="center" vertical="center"/>
    </xf>
    <xf numFmtId="164" fontId="0" fillId="9" borderId="2" xfId="0" applyNumberFormat="1" applyFill="1" applyBorder="1" applyAlignment="1">
      <alignment vertical="center"/>
    </xf>
    <xf numFmtId="0" fontId="0" fillId="9" borderId="0" xfId="0" applyFill="1"/>
    <xf numFmtId="165" fontId="7" fillId="10" borderId="2" xfId="0" applyNumberFormat="1" applyFont="1" applyFill="1" applyBorder="1" applyAlignment="1">
      <alignment horizontal="right" vertical="center"/>
    </xf>
    <xf numFmtId="0" fontId="0" fillId="10" borderId="2" xfId="0" applyFill="1" applyBorder="1" applyAlignment="1">
      <alignment wrapText="1"/>
    </xf>
    <xf numFmtId="166" fontId="0" fillId="10" borderId="2" xfId="0" applyNumberFormat="1" applyFill="1" applyBorder="1" applyAlignment="1">
      <alignment horizontal="center" vertical="center"/>
    </xf>
    <xf numFmtId="164" fontId="0" fillId="10" borderId="2" xfId="0" applyNumberFormat="1" applyFill="1" applyBorder="1" applyAlignment="1">
      <alignment vertical="center"/>
    </xf>
    <xf numFmtId="0" fontId="0" fillId="10" borderId="0" xfId="0" applyFill="1"/>
    <xf numFmtId="0" fontId="0" fillId="11" borderId="2" xfId="0" applyFill="1" applyBorder="1" applyAlignment="1">
      <alignment wrapText="1"/>
    </xf>
    <xf numFmtId="166" fontId="0" fillId="11" borderId="2" xfId="0" applyNumberFormat="1" applyFill="1" applyBorder="1" applyAlignment="1">
      <alignment horizontal="center" vertical="center"/>
    </xf>
    <xf numFmtId="164" fontId="0" fillId="11" borderId="2" xfId="0" applyNumberFormat="1" applyFill="1" applyBorder="1" applyAlignment="1">
      <alignment vertical="center"/>
    </xf>
    <xf numFmtId="0" fontId="0" fillId="11" borderId="0" xfId="0" applyFill="1"/>
    <xf numFmtId="165" fontId="13" fillId="11" borderId="2" xfId="0" applyNumberFormat="1" applyFont="1" applyFill="1" applyBorder="1" applyAlignment="1">
      <alignment horizontal="right" vertical="center"/>
    </xf>
    <xf numFmtId="0" fontId="0" fillId="12" borderId="2" xfId="0" applyFill="1" applyBorder="1" applyAlignment="1">
      <alignment wrapText="1"/>
    </xf>
    <xf numFmtId="166" fontId="0" fillId="12" borderId="2" xfId="0" applyNumberFormat="1" applyFill="1" applyBorder="1" applyAlignment="1">
      <alignment horizontal="center" vertical="center"/>
    </xf>
    <xf numFmtId="164" fontId="0" fillId="12" borderId="2" xfId="0" applyNumberFormat="1" applyFill="1" applyBorder="1" applyAlignment="1">
      <alignment vertical="center"/>
    </xf>
    <xf numFmtId="0" fontId="0" fillId="12" borderId="0" xfId="0" applyFill="1"/>
    <xf numFmtId="165" fontId="13" fillId="12" borderId="2" xfId="0" applyNumberFormat="1" applyFont="1" applyFill="1" applyBorder="1" applyAlignment="1">
      <alignment horizontal="right" vertical="center"/>
    </xf>
    <xf numFmtId="0" fontId="0" fillId="13" borderId="2" xfId="0" applyFill="1" applyBorder="1" applyAlignment="1">
      <alignment wrapText="1"/>
    </xf>
    <xf numFmtId="166" fontId="0" fillId="13" borderId="2" xfId="0" applyNumberFormat="1" applyFill="1" applyBorder="1" applyAlignment="1">
      <alignment horizontal="center" vertical="center"/>
    </xf>
    <xf numFmtId="164" fontId="0" fillId="13" borderId="2" xfId="0" applyNumberFormat="1" applyFill="1" applyBorder="1" applyAlignment="1">
      <alignment vertical="center"/>
    </xf>
    <xf numFmtId="0" fontId="0" fillId="13" borderId="0" xfId="0" applyFill="1"/>
    <xf numFmtId="165" fontId="7" fillId="13" borderId="2" xfId="0" applyNumberFormat="1" applyFont="1" applyFill="1" applyBorder="1" applyAlignment="1">
      <alignment horizontal="right" vertical="center"/>
    </xf>
    <xf numFmtId="0" fontId="0" fillId="14" borderId="2" xfId="0" applyFill="1" applyBorder="1" applyAlignment="1">
      <alignment wrapText="1"/>
    </xf>
    <xf numFmtId="166" fontId="0" fillId="14" borderId="2" xfId="0" applyNumberFormat="1" applyFill="1" applyBorder="1" applyAlignment="1">
      <alignment horizontal="center" vertical="center"/>
    </xf>
    <xf numFmtId="164" fontId="0" fillId="14" borderId="2" xfId="0" applyNumberFormat="1" applyFill="1" applyBorder="1" applyAlignment="1">
      <alignment vertical="center"/>
    </xf>
    <xf numFmtId="0" fontId="0" fillId="14" borderId="0" xfId="0" applyFill="1"/>
    <xf numFmtId="165" fontId="7" fillId="14" borderId="2" xfId="0" applyNumberFormat="1" applyFont="1" applyFill="1" applyBorder="1" applyAlignment="1">
      <alignment horizontal="right" vertical="center"/>
    </xf>
    <xf numFmtId="0" fontId="0" fillId="15" borderId="0" xfId="0" applyFill="1"/>
    <xf numFmtId="166" fontId="0" fillId="15" borderId="2" xfId="0" applyNumberFormat="1" applyFill="1" applyBorder="1" applyAlignment="1">
      <alignment horizontal="center" vertical="center"/>
    </xf>
    <xf numFmtId="164" fontId="0" fillId="15" borderId="2" xfId="0" applyNumberFormat="1" applyFill="1" applyBorder="1" applyAlignment="1">
      <alignment vertical="center"/>
    </xf>
    <xf numFmtId="0" fontId="0" fillId="15" borderId="0" xfId="0" applyFill="1" applyAlignment="1">
      <alignment vertical="center"/>
    </xf>
    <xf numFmtId="165" fontId="7" fillId="15" borderId="2" xfId="0" applyNumberFormat="1" applyFont="1" applyFill="1" applyBorder="1" applyAlignment="1">
      <alignment horizontal="right" vertical="center"/>
    </xf>
    <xf numFmtId="0" fontId="0" fillId="7" borderId="2" xfId="0" applyFill="1" applyBorder="1" applyAlignment="1">
      <alignment wrapText="1"/>
    </xf>
    <xf numFmtId="166" fontId="0" fillId="7" borderId="2" xfId="0" applyNumberFormat="1" applyFill="1" applyBorder="1" applyAlignment="1">
      <alignment horizontal="center" vertical="center"/>
    </xf>
    <xf numFmtId="164" fontId="0" fillId="7" borderId="2" xfId="0" applyNumberFormat="1" applyFill="1" applyBorder="1" applyAlignment="1">
      <alignment vertical="center"/>
    </xf>
    <xf numFmtId="0" fontId="0" fillId="7" borderId="0" xfId="0" applyFill="1"/>
    <xf numFmtId="165" fontId="7" fillId="7" borderId="2" xfId="0" applyNumberFormat="1" applyFont="1" applyFill="1" applyBorder="1" applyAlignment="1">
      <alignment horizontal="right" vertical="center"/>
    </xf>
    <xf numFmtId="0" fontId="0" fillId="16" borderId="2" xfId="0" applyFill="1" applyBorder="1" applyAlignment="1">
      <alignment wrapText="1"/>
    </xf>
    <xf numFmtId="166" fontId="0" fillId="16" borderId="2" xfId="0" applyNumberFormat="1" applyFill="1" applyBorder="1" applyAlignment="1">
      <alignment horizontal="center" vertical="center"/>
    </xf>
    <xf numFmtId="164" fontId="0" fillId="16" borderId="2" xfId="0" applyNumberFormat="1" applyFill="1" applyBorder="1" applyAlignment="1">
      <alignment vertical="center"/>
    </xf>
    <xf numFmtId="0" fontId="0" fillId="16" borderId="0" xfId="0" applyFill="1"/>
    <xf numFmtId="0" fontId="0" fillId="16" borderId="0" xfId="0" applyFill="1" applyAlignment="1">
      <alignment vertical="center"/>
    </xf>
    <xf numFmtId="165" fontId="7" fillId="16" borderId="2" xfId="0" applyNumberFormat="1" applyFont="1" applyFill="1" applyBorder="1" applyAlignment="1">
      <alignment horizontal="right" vertical="center"/>
    </xf>
    <xf numFmtId="0" fontId="0" fillId="17" borderId="2" xfId="0" applyFill="1" applyBorder="1" applyAlignment="1">
      <alignment wrapText="1"/>
    </xf>
    <xf numFmtId="166" fontId="0" fillId="17" borderId="2" xfId="0" applyNumberFormat="1" applyFill="1" applyBorder="1" applyAlignment="1">
      <alignment horizontal="center" vertical="center"/>
    </xf>
    <xf numFmtId="164" fontId="0" fillId="17" borderId="2" xfId="0" applyNumberFormat="1" applyFill="1" applyBorder="1" applyAlignment="1">
      <alignment vertical="center"/>
    </xf>
    <xf numFmtId="0" fontId="0" fillId="17" borderId="0" xfId="0" applyFill="1"/>
    <xf numFmtId="165" fontId="7" fillId="17" borderId="2" xfId="0" applyNumberFormat="1" applyFont="1" applyFill="1" applyBorder="1" applyAlignment="1">
      <alignment horizontal="right" vertical="center"/>
    </xf>
    <xf numFmtId="0" fontId="0" fillId="18" borderId="2" xfId="0" applyFill="1" applyBorder="1" applyAlignment="1">
      <alignment wrapText="1"/>
    </xf>
    <xf numFmtId="166" fontId="0" fillId="18" borderId="2" xfId="0" applyNumberFormat="1" applyFill="1" applyBorder="1" applyAlignment="1">
      <alignment horizontal="center" vertical="center"/>
    </xf>
    <xf numFmtId="164" fontId="0" fillId="18" borderId="2" xfId="0" applyNumberFormat="1" applyFill="1" applyBorder="1" applyAlignment="1">
      <alignment vertical="center"/>
    </xf>
    <xf numFmtId="0" fontId="0" fillId="18" borderId="0" xfId="0" applyFill="1"/>
    <xf numFmtId="165" fontId="7" fillId="18" borderId="2" xfId="0" applyNumberFormat="1" applyFont="1" applyFill="1" applyBorder="1" applyAlignment="1">
      <alignment horizontal="right" vertical="center"/>
    </xf>
    <xf numFmtId="0" fontId="0" fillId="19" borderId="2" xfId="0" applyFill="1" applyBorder="1" applyAlignment="1">
      <alignment wrapText="1"/>
    </xf>
    <xf numFmtId="166" fontId="0" fillId="19" borderId="2" xfId="0" applyNumberFormat="1" applyFill="1" applyBorder="1" applyAlignment="1">
      <alignment horizontal="center" vertical="center"/>
    </xf>
    <xf numFmtId="164" fontId="0" fillId="19" borderId="2" xfId="0" applyNumberFormat="1" applyFill="1" applyBorder="1" applyAlignment="1">
      <alignment vertical="center"/>
    </xf>
    <xf numFmtId="0" fontId="0" fillId="20" borderId="2" xfId="0" applyFill="1" applyBorder="1" applyAlignment="1">
      <alignment wrapText="1"/>
    </xf>
    <xf numFmtId="166" fontId="0" fillId="20" borderId="2" xfId="0" applyNumberFormat="1" applyFill="1" applyBorder="1" applyAlignment="1">
      <alignment horizontal="center" vertical="center"/>
    </xf>
    <xf numFmtId="164" fontId="0" fillId="20" borderId="2" xfId="0" applyNumberFormat="1" applyFill="1" applyBorder="1" applyAlignment="1">
      <alignment vertical="center"/>
    </xf>
    <xf numFmtId="165" fontId="7" fillId="20" borderId="2" xfId="0" applyNumberFormat="1" applyFont="1" applyFill="1" applyBorder="1" applyAlignment="1">
      <alignment horizontal="right" vertical="center"/>
    </xf>
    <xf numFmtId="0" fontId="6" fillId="21" borderId="2" xfId="0" applyFont="1" applyFill="1" applyBorder="1" applyAlignment="1">
      <alignment horizontal="center" vertical="center"/>
    </xf>
    <xf numFmtId="0" fontId="6" fillId="21" borderId="2" xfId="0" applyFont="1" applyFill="1" applyBorder="1" applyAlignment="1">
      <alignment horizontal="left" vertical="center" wrapText="1"/>
    </xf>
    <xf numFmtId="0" fontId="6" fillId="21" borderId="2" xfId="0" applyFont="1" applyFill="1" applyBorder="1" applyAlignment="1">
      <alignment vertical="center" wrapText="1"/>
    </xf>
    <xf numFmtId="0" fontId="7" fillId="21" borderId="2" xfId="0" applyFont="1" applyFill="1" applyBorder="1" applyAlignment="1">
      <alignment horizontal="center" vertical="center"/>
    </xf>
    <xf numFmtId="4" fontId="9" fillId="21" borderId="2" xfId="1" applyNumberFormat="1" applyFont="1" applyFill="1" applyBorder="1" applyAlignment="1" applyProtection="1">
      <alignment horizontal="right" vertical="center" wrapText="1"/>
      <protection locked="0"/>
    </xf>
    <xf numFmtId="4" fontId="7" fillId="0" borderId="2" xfId="0" applyNumberFormat="1" applyFont="1" applyBorder="1" applyAlignment="1">
      <alignment horizontal="center" vertical="center"/>
    </xf>
    <xf numFmtId="4" fontId="9" fillId="21" borderId="0" xfId="1" applyNumberFormat="1" applyFont="1" applyFill="1" applyBorder="1" applyAlignment="1" applyProtection="1">
      <alignment horizontal="right" vertical="center" wrapText="1"/>
      <protection locked="0"/>
    </xf>
    <xf numFmtId="0" fontId="7" fillId="21" borderId="0" xfId="0" applyFont="1" applyFill="1"/>
    <xf numFmtId="4" fontId="7" fillId="21" borderId="2" xfId="0" applyNumberFormat="1" applyFont="1" applyFill="1" applyBorder="1" applyAlignment="1">
      <alignment horizontal="center" vertical="center"/>
    </xf>
    <xf numFmtId="165" fontId="7" fillId="21" borderId="2" xfId="0" applyNumberFormat="1" applyFont="1" applyFill="1" applyBorder="1" applyAlignment="1">
      <alignment horizontal="right" vertical="center"/>
    </xf>
    <xf numFmtId="10" fontId="7" fillId="0" borderId="0" xfId="2" applyNumberFormat="1" applyFont="1"/>
    <xf numFmtId="4" fontId="7" fillId="3" borderId="2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165" fontId="7" fillId="0" borderId="0" xfId="0" applyNumberFormat="1" applyFont="1" applyBorder="1" applyAlignment="1">
      <alignment horizontal="right" vertical="center"/>
    </xf>
    <xf numFmtId="165" fontId="7" fillId="21" borderId="0" xfId="0" applyNumberFormat="1" applyFont="1" applyFill="1" applyBorder="1" applyAlignment="1">
      <alignment horizontal="right" vertical="center"/>
    </xf>
    <xf numFmtId="165" fontId="11" fillId="0" borderId="0" xfId="0" applyNumberFormat="1" applyFont="1" applyBorder="1"/>
    <xf numFmtId="165" fontId="7" fillId="0" borderId="0" xfId="0" applyNumberFormat="1" applyFont="1"/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7" fillId="0" borderId="0" xfId="0" applyFont="1" applyFill="1"/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165" fontId="7" fillId="0" borderId="2" xfId="0" applyNumberFormat="1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5" fontId="11" fillId="0" borderId="3" xfId="0" applyNumberFormat="1" applyFont="1" applyFill="1" applyBorder="1"/>
    <xf numFmtId="4" fontId="7" fillId="0" borderId="0" xfId="0" applyNumberFormat="1" applyFont="1" applyFill="1"/>
    <xf numFmtId="165" fontId="11" fillId="0" borderId="0" xfId="0" applyNumberFormat="1" applyFont="1" applyFill="1"/>
    <xf numFmtId="165" fontId="7" fillId="0" borderId="0" xfId="0" applyNumberFormat="1" applyFont="1" applyFill="1"/>
    <xf numFmtId="165" fontId="13" fillId="0" borderId="2" xfId="0" applyNumberFormat="1" applyFont="1" applyFill="1" applyBorder="1" applyAlignment="1">
      <alignment horizontal="right" vertical="center"/>
    </xf>
    <xf numFmtId="0" fontId="7" fillId="0" borderId="0" xfId="0" applyFont="1" applyFill="1" applyAlignment="1">
      <alignment vertical="center"/>
    </xf>
    <xf numFmtId="0" fontId="11" fillId="3" borderId="0" xfId="0" applyFont="1" applyFill="1"/>
    <xf numFmtId="165" fontId="11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 wrapText="1"/>
    </xf>
    <xf numFmtId="4" fontId="7" fillId="2" borderId="2" xfId="0" applyNumberFormat="1" applyFont="1" applyFill="1" applyBorder="1" applyAlignment="1">
      <alignment horizontal="center" vertical="center"/>
    </xf>
    <xf numFmtId="165" fontId="7" fillId="2" borderId="2" xfId="0" applyNumberFormat="1" applyFont="1" applyFill="1" applyBorder="1" applyAlignment="1">
      <alignment horizontal="right" vertical="center"/>
    </xf>
    <xf numFmtId="165" fontId="7" fillId="2" borderId="0" xfId="0" applyNumberFormat="1" applyFont="1" applyFill="1" applyBorder="1" applyAlignment="1">
      <alignment horizontal="right" vertical="center"/>
    </xf>
    <xf numFmtId="0" fontId="7" fillId="2" borderId="2" xfId="0" applyFont="1" applyFill="1" applyBorder="1"/>
    <xf numFmtId="0" fontId="7" fillId="2" borderId="0" xfId="0" applyFont="1" applyFill="1"/>
    <xf numFmtId="0" fontId="11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" fontId="7" fillId="2" borderId="4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17" fillId="3" borderId="2" xfId="0" applyFont="1" applyFill="1" applyBorder="1" applyAlignment="1">
      <alignment vertical="center" wrapText="1"/>
    </xf>
    <xf numFmtId="165" fontId="7" fillId="3" borderId="2" xfId="0" applyNumberFormat="1" applyFont="1" applyFill="1" applyBorder="1" applyAlignment="1">
      <alignment horizontal="right" vertical="center"/>
    </xf>
    <xf numFmtId="165" fontId="7" fillId="3" borderId="0" xfId="0" applyNumberFormat="1" applyFont="1" applyFill="1" applyBorder="1" applyAlignment="1">
      <alignment horizontal="right" vertical="center"/>
    </xf>
    <xf numFmtId="0" fontId="7" fillId="3" borderId="2" xfId="0" applyFont="1" applyFill="1" applyBorder="1"/>
    <xf numFmtId="0" fontId="7" fillId="3" borderId="0" xfId="0" applyFont="1" applyFill="1"/>
    <xf numFmtId="0" fontId="6" fillId="3" borderId="2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vertical="center" wrapText="1"/>
    </xf>
    <xf numFmtId="4" fontId="7" fillId="0" borderId="2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right" vertical="center"/>
    </xf>
    <xf numFmtId="0" fontId="7" fillId="0" borderId="2" xfId="0" applyFont="1" applyFill="1" applyBorder="1"/>
    <xf numFmtId="0" fontId="7" fillId="2" borderId="8" xfId="0" applyFont="1" applyFill="1" applyBorder="1" applyAlignment="1">
      <alignment horizontal="center" vertical="center"/>
    </xf>
    <xf numFmtId="4" fontId="7" fillId="2" borderId="8" xfId="0" applyNumberFormat="1" applyFont="1" applyFill="1" applyBorder="1" applyAlignment="1">
      <alignment horizontal="center" vertical="center"/>
    </xf>
    <xf numFmtId="165" fontId="7" fillId="2" borderId="8" xfId="0" applyNumberFormat="1" applyFont="1" applyFill="1" applyBorder="1" applyAlignment="1">
      <alignment horizontal="right" vertical="center"/>
    </xf>
    <xf numFmtId="0" fontId="19" fillId="0" borderId="2" xfId="0" applyFont="1" applyBorder="1" applyAlignment="1">
      <alignment vertical="center" wrapText="1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165" fontId="11" fillId="0" borderId="2" xfId="0" applyNumberFormat="1" applyFont="1" applyBorder="1"/>
    <xf numFmtId="4" fontId="7" fillId="0" borderId="2" xfId="0" applyNumberFormat="1" applyFont="1" applyBorder="1"/>
    <xf numFmtId="0" fontId="8" fillId="2" borderId="2" xfId="0" applyFont="1" applyFill="1" applyBorder="1" applyAlignment="1">
      <alignment horizontal="center" vertical="center"/>
    </xf>
    <xf numFmtId="0" fontId="20" fillId="0" borderId="2" xfId="0" applyFont="1" applyBorder="1"/>
    <xf numFmtId="0" fontId="6" fillId="2" borderId="9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vertical="center" wrapText="1"/>
    </xf>
    <xf numFmtId="0" fontId="7" fillId="0" borderId="9" xfId="0" applyFont="1" applyBorder="1"/>
    <xf numFmtId="0" fontId="7" fillId="2" borderId="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4" xfId="0" applyFont="1" applyBorder="1"/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4" fontId="7" fillId="2" borderId="2" xfId="0" applyNumberFormat="1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vertical="center" wrapText="1"/>
    </xf>
    <xf numFmtId="0" fontId="9" fillId="3" borderId="9" xfId="0" applyFont="1" applyFill="1" applyBorder="1" applyAlignment="1">
      <alignment vertical="center" wrapText="1"/>
    </xf>
    <xf numFmtId="0" fontId="23" fillId="3" borderId="1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4" fontId="10" fillId="3" borderId="2" xfId="0" applyNumberFormat="1" applyFont="1" applyFill="1" applyBorder="1" applyAlignment="1">
      <alignment horizontal="center" vertical="center"/>
    </xf>
    <xf numFmtId="165" fontId="10" fillId="3" borderId="2" xfId="0" applyNumberFormat="1" applyFont="1" applyFill="1" applyBorder="1" applyAlignment="1">
      <alignment horizontal="right" vertical="center"/>
    </xf>
    <xf numFmtId="165" fontId="10" fillId="3" borderId="0" xfId="0" applyNumberFormat="1" applyFont="1" applyFill="1" applyBorder="1" applyAlignment="1">
      <alignment horizontal="right" vertical="center"/>
    </xf>
    <xf numFmtId="0" fontId="10" fillId="3" borderId="2" xfId="0" applyFont="1" applyFill="1" applyBorder="1"/>
    <xf numFmtId="0" fontId="10" fillId="3" borderId="0" xfId="0" applyFont="1" applyFill="1"/>
    <xf numFmtId="0" fontId="8" fillId="3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65" fontId="13" fillId="3" borderId="2" xfId="0" applyNumberFormat="1" applyFont="1" applyFill="1" applyBorder="1" applyAlignment="1">
      <alignment horizontal="right" vertical="center"/>
    </xf>
    <xf numFmtId="0" fontId="2" fillId="0" borderId="16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 wrapText="1"/>
    </xf>
    <xf numFmtId="0" fontId="20" fillId="0" borderId="9" xfId="0" applyFont="1" applyBorder="1"/>
    <xf numFmtId="0" fontId="11" fillId="2" borderId="18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top" wrapText="1"/>
    </xf>
    <xf numFmtId="0" fontId="24" fillId="0" borderId="19" xfId="0" applyFont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</cellXfs>
  <cellStyles count="3">
    <cellStyle name="Обычный" xfId="0" builtinId="0"/>
    <cellStyle name="Обычный 3" xfId="1" xr:uid="{00000000-0005-0000-0000-000001000000}"/>
    <cellStyle name="Процентный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279"/>
  <sheetViews>
    <sheetView tabSelected="1" topLeftCell="A7" workbookViewId="0">
      <selection activeCell="C17" sqref="C17"/>
    </sheetView>
  </sheetViews>
  <sheetFormatPr defaultRowHeight="12.75" outlineLevelCol="1" x14ac:dyDescent="0.2"/>
  <cols>
    <col min="1" max="1" width="4.85546875" style="4" customWidth="1"/>
    <col min="2" max="2" width="32.140625" style="4" customWidth="1"/>
    <col min="3" max="3" width="33" style="4" customWidth="1"/>
    <col min="4" max="4" width="7.42578125" style="4" customWidth="1"/>
    <col min="5" max="5" width="33.140625" style="4" customWidth="1"/>
    <col min="6" max="6" width="7.42578125" style="4" customWidth="1"/>
    <col min="7" max="7" width="15.7109375" style="4" customWidth="1"/>
    <col min="8" max="9" width="9.7109375" style="4" customWidth="1"/>
    <col min="10" max="10" width="11.28515625" style="4" customWidth="1"/>
    <col min="11" max="11" width="15.140625" style="4" customWidth="1" outlineLevel="1"/>
    <col min="12" max="12" width="13.5703125" style="4" customWidth="1" outlineLevel="1"/>
    <col min="13" max="14" width="12.28515625" style="4" customWidth="1" outlineLevel="1"/>
    <col min="15" max="15" width="11.140625" style="53" customWidth="1" outlineLevel="1"/>
    <col min="16" max="16" width="9.140625" style="4" customWidth="1" outlineLevel="1"/>
    <col min="17" max="17" width="11.140625" style="4" customWidth="1" outlineLevel="1"/>
    <col min="18" max="18" width="9.140625" style="4" customWidth="1" outlineLevel="1"/>
    <col min="19" max="19" width="11" style="4" customWidth="1" outlineLevel="1"/>
    <col min="20" max="20" width="9.140625" style="4" customWidth="1" outlineLevel="1"/>
    <col min="21" max="21" width="10.28515625" style="4" customWidth="1"/>
    <col min="22" max="22" width="10" style="4" customWidth="1"/>
    <col min="23" max="23" width="10.5703125" style="4" customWidth="1"/>
    <col min="24" max="24" width="11.140625" style="4" customWidth="1"/>
    <col min="25" max="25" width="12.7109375" style="4" bestFit="1" customWidth="1"/>
    <col min="26" max="26" width="12.7109375" style="4" customWidth="1"/>
    <col min="27" max="28" width="9.140625" style="4"/>
    <col min="29" max="29" width="12.7109375" style="4" bestFit="1" customWidth="1"/>
    <col min="30" max="16384" width="9.140625" style="4"/>
  </cols>
  <sheetData>
    <row r="1" spans="1:29" ht="39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386</v>
      </c>
      <c r="F1" s="3" t="s">
        <v>339</v>
      </c>
      <c r="G1" s="3" t="s">
        <v>340</v>
      </c>
      <c r="H1" s="5" t="s">
        <v>343</v>
      </c>
      <c r="I1" s="5" t="s">
        <v>342</v>
      </c>
      <c r="J1" s="5" t="s">
        <v>341</v>
      </c>
      <c r="K1" s="5" t="s">
        <v>48</v>
      </c>
      <c r="L1" s="5" t="s">
        <v>49</v>
      </c>
      <c r="M1" s="5" t="s">
        <v>50</v>
      </c>
      <c r="N1" s="5" t="s">
        <v>51</v>
      </c>
      <c r="O1" s="5" t="s">
        <v>52</v>
      </c>
      <c r="P1" s="5" t="s">
        <v>60</v>
      </c>
      <c r="Q1" s="5" t="s">
        <v>53</v>
      </c>
      <c r="R1" s="5" t="s">
        <v>269</v>
      </c>
      <c r="S1" s="5" t="s">
        <v>55</v>
      </c>
      <c r="T1" s="5" t="s">
        <v>56</v>
      </c>
      <c r="U1" s="5" t="s">
        <v>57</v>
      </c>
      <c r="V1" s="5" t="s">
        <v>58</v>
      </c>
      <c r="W1" s="5" t="s">
        <v>271</v>
      </c>
      <c r="X1" s="5" t="s">
        <v>272</v>
      </c>
      <c r="Y1" s="5" t="s">
        <v>273</v>
      </c>
      <c r="Z1" s="129"/>
      <c r="AA1" s="12" t="s">
        <v>300</v>
      </c>
      <c r="AC1" s="153" t="s">
        <v>299</v>
      </c>
    </row>
    <row r="2" spans="1:29" s="160" customFormat="1" ht="30.75" thickBot="1" x14ac:dyDescent="0.25">
      <c r="A2" s="154"/>
      <c r="B2" s="165" t="s">
        <v>301</v>
      </c>
      <c r="C2" s="155" t="s">
        <v>302</v>
      </c>
      <c r="D2" s="232">
        <v>3</v>
      </c>
      <c r="E2" s="167" t="s">
        <v>344</v>
      </c>
      <c r="F2" s="229">
        <v>10.5</v>
      </c>
      <c r="G2" s="229">
        <f>F2*1.3</f>
        <v>13.65</v>
      </c>
      <c r="H2" s="156">
        <f>1.45+(5/60)*18</f>
        <v>2.95</v>
      </c>
      <c r="I2" s="156">
        <f t="shared" ref="I2:I9" si="0">G2*2300</f>
        <v>31395</v>
      </c>
      <c r="J2" s="156">
        <f>H2*2000</f>
        <v>5900</v>
      </c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8"/>
      <c r="AA2" s="159"/>
      <c r="AC2" s="161"/>
    </row>
    <row r="3" spans="1:29" s="160" customFormat="1" ht="30.75" thickBot="1" x14ac:dyDescent="0.25">
      <c r="A3" s="154"/>
      <c r="B3" s="166" t="s">
        <v>303</v>
      </c>
      <c r="C3" s="155" t="s">
        <v>304</v>
      </c>
      <c r="D3" s="233">
        <v>2</v>
      </c>
      <c r="E3" s="167" t="s">
        <v>347</v>
      </c>
      <c r="F3" s="229">
        <v>7</v>
      </c>
      <c r="G3" s="229">
        <f t="shared" ref="G3:G28" si="1">F3*1.3</f>
        <v>9.1</v>
      </c>
      <c r="H3" s="156">
        <f>1.7+(5/60)*18</f>
        <v>3.2</v>
      </c>
      <c r="I3" s="156">
        <f t="shared" si="0"/>
        <v>20930</v>
      </c>
      <c r="J3" s="156">
        <f t="shared" ref="J3:J4" si="2">H3*2000</f>
        <v>6400</v>
      </c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8"/>
      <c r="AA3" s="159"/>
    </row>
    <row r="4" spans="1:29" s="160" customFormat="1" ht="30.75" thickBot="1" x14ac:dyDescent="0.25">
      <c r="A4" s="154"/>
      <c r="B4" s="166" t="s">
        <v>305</v>
      </c>
      <c r="C4" s="155" t="s">
        <v>306</v>
      </c>
      <c r="D4" s="233">
        <v>7</v>
      </c>
      <c r="E4" s="167" t="s">
        <v>346</v>
      </c>
      <c r="F4" s="229">
        <v>11</v>
      </c>
      <c r="G4" s="229">
        <f t="shared" si="1"/>
        <v>14.3</v>
      </c>
      <c r="H4" s="156">
        <f>1.7+(5/60)*16</f>
        <v>3.0333333333333332</v>
      </c>
      <c r="I4" s="156">
        <f t="shared" si="0"/>
        <v>32890</v>
      </c>
      <c r="J4" s="156">
        <f t="shared" si="2"/>
        <v>6066.6666666666661</v>
      </c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8"/>
      <c r="AA4" s="159"/>
    </row>
    <row r="5" spans="1:29" s="160" customFormat="1" ht="30.75" thickBot="1" x14ac:dyDescent="0.25">
      <c r="A5" s="154"/>
      <c r="B5" s="166" t="s">
        <v>307</v>
      </c>
      <c r="C5" s="155" t="s">
        <v>20</v>
      </c>
      <c r="D5" s="233">
        <v>6</v>
      </c>
      <c r="E5" s="167" t="s">
        <v>345</v>
      </c>
      <c r="F5" s="229">
        <v>13</v>
      </c>
      <c r="G5" s="229">
        <f t="shared" si="1"/>
        <v>16.900000000000002</v>
      </c>
      <c r="H5" s="156">
        <f>1.45+(5/60)*24</f>
        <v>3.45</v>
      </c>
      <c r="I5" s="156">
        <f t="shared" si="0"/>
        <v>38870.000000000007</v>
      </c>
      <c r="J5" s="156">
        <f t="shared" ref="J5" si="3">H5*2000</f>
        <v>6900</v>
      </c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8"/>
      <c r="AA5" s="159"/>
    </row>
    <row r="6" spans="1:29" s="160" customFormat="1" ht="30.75" thickBot="1" x14ac:dyDescent="0.25">
      <c r="A6" s="154"/>
      <c r="B6" s="166" t="s">
        <v>308</v>
      </c>
      <c r="C6" s="155" t="s">
        <v>309</v>
      </c>
      <c r="D6" s="233">
        <v>2</v>
      </c>
      <c r="E6" s="167" t="s">
        <v>348</v>
      </c>
      <c r="F6" s="229">
        <v>21</v>
      </c>
      <c r="G6" s="229">
        <f t="shared" si="1"/>
        <v>27.3</v>
      </c>
      <c r="H6" s="156">
        <f>1.4+(5/60)*28</f>
        <v>3.7333333333333329</v>
      </c>
      <c r="I6" s="156">
        <f t="shared" si="0"/>
        <v>62790</v>
      </c>
      <c r="J6" s="156">
        <f t="shared" ref="J6:J9" si="4">H6*2000</f>
        <v>7466.6666666666661</v>
      </c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8"/>
      <c r="AA6" s="159"/>
    </row>
    <row r="7" spans="1:29" s="160" customFormat="1" ht="30.75" thickBot="1" x14ac:dyDescent="0.25">
      <c r="A7" s="154"/>
      <c r="B7" s="166" t="s">
        <v>310</v>
      </c>
      <c r="C7" s="155" t="s">
        <v>311</v>
      </c>
      <c r="D7" s="233">
        <v>4</v>
      </c>
      <c r="E7" s="167" t="s">
        <v>349</v>
      </c>
      <c r="F7" s="229">
        <v>5.0999999999999996</v>
      </c>
      <c r="G7" s="229">
        <f t="shared" si="1"/>
        <v>6.63</v>
      </c>
      <c r="H7" s="156">
        <f>1.4+(5/60)*18</f>
        <v>2.9</v>
      </c>
      <c r="I7" s="156">
        <f t="shared" si="0"/>
        <v>15249</v>
      </c>
      <c r="J7" s="156">
        <f t="shared" si="4"/>
        <v>5800</v>
      </c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8"/>
      <c r="AA7" s="159"/>
    </row>
    <row r="8" spans="1:29" s="160" customFormat="1" ht="30.75" thickBot="1" x14ac:dyDescent="0.25">
      <c r="A8" s="154"/>
      <c r="B8" s="166" t="s">
        <v>312</v>
      </c>
      <c r="C8" s="155" t="s">
        <v>313</v>
      </c>
      <c r="D8" s="233">
        <v>3</v>
      </c>
      <c r="E8" s="167" t="s">
        <v>350</v>
      </c>
      <c r="F8" s="229">
        <v>10</v>
      </c>
      <c r="G8" s="229">
        <f t="shared" si="1"/>
        <v>13</v>
      </c>
      <c r="H8" s="156">
        <f>1.8+(5/60)*16</f>
        <v>3.1333333333333333</v>
      </c>
      <c r="I8" s="156">
        <f t="shared" si="0"/>
        <v>29900</v>
      </c>
      <c r="J8" s="156">
        <f t="shared" si="4"/>
        <v>6266.666666666667</v>
      </c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8"/>
      <c r="AA8" s="159"/>
    </row>
    <row r="9" spans="1:29" s="160" customFormat="1" ht="30.75" thickBot="1" x14ac:dyDescent="0.25">
      <c r="A9" s="154"/>
      <c r="B9" s="166" t="s">
        <v>314</v>
      </c>
      <c r="C9" s="155" t="s">
        <v>315</v>
      </c>
      <c r="D9" s="233">
        <v>1</v>
      </c>
      <c r="E9" s="167"/>
      <c r="F9" s="229">
        <v>14.1</v>
      </c>
      <c r="G9" s="229">
        <f t="shared" si="1"/>
        <v>18.330000000000002</v>
      </c>
      <c r="H9" s="156">
        <f>1.6+(5/60)*18</f>
        <v>3.1</v>
      </c>
      <c r="I9" s="156">
        <f t="shared" si="0"/>
        <v>42159.000000000007</v>
      </c>
      <c r="J9" s="156">
        <f t="shared" si="4"/>
        <v>6200</v>
      </c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8"/>
      <c r="AA9" s="159"/>
    </row>
    <row r="10" spans="1:29" s="175" customFormat="1" ht="30.75" thickBot="1" x14ac:dyDescent="0.25">
      <c r="A10" s="168"/>
      <c r="B10" s="169" t="s">
        <v>312</v>
      </c>
      <c r="C10" s="170" t="s">
        <v>411</v>
      </c>
      <c r="D10" s="234">
        <v>1</v>
      </c>
      <c r="E10" s="171"/>
      <c r="F10" s="230"/>
      <c r="G10" s="229">
        <f t="shared" si="1"/>
        <v>0</v>
      </c>
      <c r="H10" s="128"/>
      <c r="I10" s="128">
        <f t="shared" ref="I10:I26" si="5">G10*2300</f>
        <v>0</v>
      </c>
      <c r="J10" s="128">
        <f t="shared" ref="J10:J26" si="6">H10*2000</f>
        <v>0</v>
      </c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3"/>
      <c r="AA10" s="174"/>
    </row>
    <row r="11" spans="1:29" s="160" customFormat="1" ht="30.75" thickBot="1" x14ac:dyDescent="0.25">
      <c r="A11" s="154"/>
      <c r="B11" s="166" t="s">
        <v>316</v>
      </c>
      <c r="C11" s="155" t="s">
        <v>317</v>
      </c>
      <c r="D11" s="233">
        <v>5</v>
      </c>
      <c r="E11" s="167" t="s">
        <v>358</v>
      </c>
      <c r="F11" s="229">
        <v>2.75</v>
      </c>
      <c r="G11" s="229">
        <f t="shared" si="1"/>
        <v>3.5750000000000002</v>
      </c>
      <c r="H11" s="156">
        <v>1.5</v>
      </c>
      <c r="I11" s="156">
        <f t="shared" si="5"/>
        <v>8222.5</v>
      </c>
      <c r="J11" s="156">
        <f t="shared" si="6"/>
        <v>3000</v>
      </c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8"/>
      <c r="AA11" s="159"/>
    </row>
    <row r="12" spans="1:29" s="160" customFormat="1" ht="30.75" thickBot="1" x14ac:dyDescent="0.25">
      <c r="A12" s="154"/>
      <c r="B12" s="166" t="s">
        <v>316</v>
      </c>
      <c r="C12" s="155" t="s">
        <v>318</v>
      </c>
      <c r="D12" s="233">
        <v>7</v>
      </c>
      <c r="E12" s="167" t="s">
        <v>358</v>
      </c>
      <c r="F12" s="229">
        <v>3.6</v>
      </c>
      <c r="G12" s="229">
        <f t="shared" si="1"/>
        <v>4.6800000000000006</v>
      </c>
      <c r="H12" s="156">
        <v>1.65</v>
      </c>
      <c r="I12" s="156">
        <f t="shared" si="5"/>
        <v>10764.000000000002</v>
      </c>
      <c r="J12" s="156">
        <f t="shared" si="6"/>
        <v>3300</v>
      </c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8"/>
      <c r="AA12" s="159"/>
    </row>
    <row r="13" spans="1:29" s="160" customFormat="1" ht="30.75" thickBot="1" x14ac:dyDescent="0.25">
      <c r="A13" s="154"/>
      <c r="B13" s="166" t="s">
        <v>316</v>
      </c>
      <c r="C13" s="155" t="s">
        <v>319</v>
      </c>
      <c r="D13" s="233">
        <v>2</v>
      </c>
      <c r="E13" s="167" t="s">
        <v>358</v>
      </c>
      <c r="F13" s="229">
        <v>2.75</v>
      </c>
      <c r="G13" s="229">
        <f t="shared" si="1"/>
        <v>3.5750000000000002</v>
      </c>
      <c r="H13" s="156">
        <v>1.5</v>
      </c>
      <c r="I13" s="156">
        <f t="shared" si="5"/>
        <v>8222.5</v>
      </c>
      <c r="J13" s="156">
        <f t="shared" si="6"/>
        <v>3000</v>
      </c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8"/>
      <c r="AA13" s="159"/>
    </row>
    <row r="14" spans="1:29" s="175" customFormat="1" ht="15.75" thickBot="1" x14ac:dyDescent="0.25">
      <c r="A14" s="176"/>
      <c r="B14" s="169" t="s">
        <v>320</v>
      </c>
      <c r="C14" s="14" t="s">
        <v>413</v>
      </c>
      <c r="D14" s="234">
        <v>4</v>
      </c>
      <c r="E14" s="171"/>
      <c r="F14" s="230"/>
      <c r="G14" s="229">
        <f t="shared" si="1"/>
        <v>0</v>
      </c>
      <c r="H14" s="128"/>
      <c r="I14" s="128">
        <f t="shared" si="5"/>
        <v>0</v>
      </c>
      <c r="J14" s="128">
        <f t="shared" si="6"/>
        <v>0</v>
      </c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3"/>
      <c r="AA14" s="174"/>
    </row>
    <row r="15" spans="1:29" s="160" customFormat="1" ht="30.75" thickBot="1" x14ac:dyDescent="0.25">
      <c r="A15" s="154"/>
      <c r="B15" s="166" t="s">
        <v>321</v>
      </c>
      <c r="C15" s="155" t="s">
        <v>414</v>
      </c>
      <c r="D15" s="233">
        <v>28</v>
      </c>
      <c r="E15" s="167" t="s">
        <v>351</v>
      </c>
      <c r="F15" s="229">
        <v>0.18</v>
      </c>
      <c r="G15" s="229">
        <f t="shared" si="1"/>
        <v>0.23399999999999999</v>
      </c>
      <c r="H15" s="156">
        <v>0.4</v>
      </c>
      <c r="I15" s="156">
        <f t="shared" si="5"/>
        <v>538.19999999999993</v>
      </c>
      <c r="J15" s="156">
        <f t="shared" si="6"/>
        <v>800</v>
      </c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8"/>
      <c r="AA15" s="159"/>
    </row>
    <row r="16" spans="1:29" s="160" customFormat="1" ht="30.75" thickBot="1" x14ac:dyDescent="0.25">
      <c r="A16" s="154"/>
      <c r="B16" s="166" t="s">
        <v>321</v>
      </c>
      <c r="C16" s="155" t="s">
        <v>415</v>
      </c>
      <c r="D16" s="233">
        <v>12</v>
      </c>
      <c r="E16" s="167" t="s">
        <v>351</v>
      </c>
      <c r="F16" s="229">
        <v>0.32</v>
      </c>
      <c r="G16" s="229">
        <f t="shared" si="1"/>
        <v>0.41600000000000004</v>
      </c>
      <c r="H16" s="156">
        <v>0.4</v>
      </c>
      <c r="I16" s="156">
        <f t="shared" si="5"/>
        <v>956.80000000000007</v>
      </c>
      <c r="J16" s="156">
        <f t="shared" si="6"/>
        <v>800</v>
      </c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8"/>
      <c r="AA16" s="159"/>
    </row>
    <row r="17" spans="1:28" s="137" customFormat="1" ht="15.75" thickBot="1" x14ac:dyDescent="0.25">
      <c r="A17" s="138"/>
      <c r="B17" s="238" t="s">
        <v>322</v>
      </c>
      <c r="C17" s="140" t="s">
        <v>323</v>
      </c>
      <c r="D17" s="235">
        <v>2</v>
      </c>
      <c r="E17" s="178"/>
      <c r="F17" s="231">
        <v>2.4</v>
      </c>
      <c r="G17" s="231">
        <f t="shared" si="1"/>
        <v>3.12</v>
      </c>
      <c r="H17" s="179">
        <v>0.6</v>
      </c>
      <c r="I17" s="179">
        <f t="shared" si="5"/>
        <v>7176</v>
      </c>
      <c r="J17" s="179">
        <f t="shared" si="6"/>
        <v>1200</v>
      </c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80"/>
      <c r="AA17" s="181"/>
    </row>
    <row r="18" spans="1:28" s="160" customFormat="1" ht="15.75" thickBot="1" x14ac:dyDescent="0.25">
      <c r="A18" s="154"/>
      <c r="B18" s="166" t="s">
        <v>324</v>
      </c>
      <c r="C18" s="155" t="s">
        <v>325</v>
      </c>
      <c r="D18" s="233">
        <v>38</v>
      </c>
      <c r="E18" s="167" t="s">
        <v>352</v>
      </c>
      <c r="F18" s="229">
        <v>0.4</v>
      </c>
      <c r="G18" s="229">
        <f t="shared" si="1"/>
        <v>0.52</v>
      </c>
      <c r="H18" s="156">
        <f>0.6+2/39</f>
        <v>0.6512820512820513</v>
      </c>
      <c r="I18" s="156">
        <f t="shared" si="5"/>
        <v>1196</v>
      </c>
      <c r="J18" s="156">
        <f t="shared" si="6"/>
        <v>1302.5641025641025</v>
      </c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8"/>
      <c r="AA18" s="159"/>
    </row>
    <row r="19" spans="1:28" s="160" customFormat="1" ht="15.75" thickBot="1" x14ac:dyDescent="0.25">
      <c r="A19" s="154"/>
      <c r="B19" s="166" t="s">
        <v>326</v>
      </c>
      <c r="C19" s="155" t="s">
        <v>327</v>
      </c>
      <c r="D19" s="233">
        <v>8</v>
      </c>
      <c r="E19" s="167" t="s">
        <v>352</v>
      </c>
      <c r="F19" s="229">
        <v>0.18</v>
      </c>
      <c r="G19" s="229">
        <f t="shared" si="1"/>
        <v>0.23399999999999999</v>
      </c>
      <c r="H19" s="156">
        <f>0.3+1/8</f>
        <v>0.42499999999999999</v>
      </c>
      <c r="I19" s="156">
        <f t="shared" si="5"/>
        <v>538.19999999999993</v>
      </c>
      <c r="J19" s="156">
        <f t="shared" si="6"/>
        <v>850</v>
      </c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8"/>
      <c r="AA19" s="159"/>
    </row>
    <row r="20" spans="1:28" s="160" customFormat="1" ht="15.75" thickBot="1" x14ac:dyDescent="0.25">
      <c r="A20" s="154"/>
      <c r="B20" s="166" t="s">
        <v>328</v>
      </c>
      <c r="C20" s="155" t="s">
        <v>329</v>
      </c>
      <c r="D20" s="233">
        <v>34</v>
      </c>
      <c r="E20" s="167" t="s">
        <v>352</v>
      </c>
      <c r="F20" s="229">
        <v>0.32</v>
      </c>
      <c r="G20" s="229">
        <f t="shared" si="1"/>
        <v>0.41600000000000004</v>
      </c>
      <c r="H20" s="156">
        <f>0.4+1.5/35</f>
        <v>0.44285714285714289</v>
      </c>
      <c r="I20" s="156">
        <f t="shared" si="5"/>
        <v>956.80000000000007</v>
      </c>
      <c r="J20" s="156">
        <f t="shared" si="6"/>
        <v>885.71428571428578</v>
      </c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8"/>
      <c r="AA20" s="159"/>
    </row>
    <row r="21" spans="1:28" s="137" customFormat="1" ht="15.75" thickBot="1" x14ac:dyDescent="0.25">
      <c r="A21" s="138"/>
      <c r="B21" s="238" t="s">
        <v>330</v>
      </c>
      <c r="C21" s="140" t="s">
        <v>128</v>
      </c>
      <c r="D21" s="235">
        <v>2</v>
      </c>
      <c r="E21" s="178" t="s">
        <v>412</v>
      </c>
      <c r="F21" s="231">
        <v>1</v>
      </c>
      <c r="G21" s="231">
        <f t="shared" si="1"/>
        <v>1.3</v>
      </c>
      <c r="H21" s="179">
        <v>2.5</v>
      </c>
      <c r="I21" s="179">
        <f t="shared" si="5"/>
        <v>2990</v>
      </c>
      <c r="J21" s="179">
        <f t="shared" si="6"/>
        <v>5000</v>
      </c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80"/>
      <c r="AA21" s="181"/>
    </row>
    <row r="22" spans="1:28" s="137" customFormat="1" ht="15.75" thickBot="1" x14ac:dyDescent="0.25">
      <c r="A22" s="138"/>
      <c r="B22" s="177" t="s">
        <v>331</v>
      </c>
      <c r="C22" s="140" t="s">
        <v>332</v>
      </c>
      <c r="D22" s="235">
        <v>2</v>
      </c>
      <c r="E22" s="178" t="s">
        <v>354</v>
      </c>
      <c r="F22" s="231">
        <v>0.35</v>
      </c>
      <c r="G22" s="229">
        <f t="shared" si="1"/>
        <v>0.45499999999999996</v>
      </c>
      <c r="H22" s="179">
        <f>0.4+1.5/2</f>
        <v>1.1499999999999999</v>
      </c>
      <c r="I22" s="179">
        <f t="shared" si="5"/>
        <v>1046.5</v>
      </c>
      <c r="J22" s="179">
        <f t="shared" si="6"/>
        <v>2300</v>
      </c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80"/>
      <c r="AA22" s="181"/>
    </row>
    <row r="23" spans="1:28" s="160" customFormat="1" ht="15.75" thickBot="1" x14ac:dyDescent="0.25">
      <c r="A23" s="154"/>
      <c r="B23" s="164" t="s">
        <v>333</v>
      </c>
      <c r="C23" s="155" t="s">
        <v>334</v>
      </c>
      <c r="D23" s="233">
        <v>22</v>
      </c>
      <c r="E23" s="167" t="s">
        <v>353</v>
      </c>
      <c r="F23" s="229">
        <v>0.45</v>
      </c>
      <c r="G23" s="229">
        <f t="shared" si="1"/>
        <v>0.58500000000000008</v>
      </c>
      <c r="H23" s="156">
        <v>0.5</v>
      </c>
      <c r="I23" s="156">
        <f t="shared" si="5"/>
        <v>1345.5000000000002</v>
      </c>
      <c r="J23" s="156">
        <f t="shared" si="6"/>
        <v>1000</v>
      </c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8"/>
      <c r="AA23" s="159"/>
    </row>
    <row r="24" spans="1:28" s="137" customFormat="1" ht="15.75" thickBot="1" x14ac:dyDescent="0.25">
      <c r="A24" s="138"/>
      <c r="B24" s="177" t="s">
        <v>335</v>
      </c>
      <c r="C24" s="140" t="s">
        <v>377</v>
      </c>
      <c r="D24" s="235">
        <v>12</v>
      </c>
      <c r="E24" s="178" t="s">
        <v>352</v>
      </c>
      <c r="F24" s="231">
        <v>0.37</v>
      </c>
      <c r="G24" s="229">
        <f t="shared" si="1"/>
        <v>0.48099999999999998</v>
      </c>
      <c r="H24" s="179">
        <v>0.4</v>
      </c>
      <c r="I24" s="179">
        <f t="shared" si="5"/>
        <v>1106.3</v>
      </c>
      <c r="J24" s="179">
        <f t="shared" si="6"/>
        <v>800</v>
      </c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80"/>
      <c r="AA24" s="181"/>
    </row>
    <row r="25" spans="1:28" s="160" customFormat="1" ht="15.75" thickBot="1" x14ac:dyDescent="0.25">
      <c r="A25" s="154"/>
      <c r="B25" s="164" t="s">
        <v>336</v>
      </c>
      <c r="C25" s="155" t="s">
        <v>337</v>
      </c>
      <c r="D25" s="233">
        <v>12</v>
      </c>
      <c r="E25" s="167" t="s">
        <v>352</v>
      </c>
      <c r="F25" s="229">
        <v>0.4</v>
      </c>
      <c r="G25" s="229">
        <f t="shared" si="1"/>
        <v>0.52</v>
      </c>
      <c r="H25" s="156">
        <f>0.6+2/39</f>
        <v>0.6512820512820513</v>
      </c>
      <c r="I25" s="156">
        <f t="shared" si="5"/>
        <v>1196</v>
      </c>
      <c r="J25" s="156">
        <f t="shared" si="6"/>
        <v>1302.5641025641025</v>
      </c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8"/>
      <c r="AA25" s="159"/>
    </row>
    <row r="26" spans="1:28" s="160" customFormat="1" ht="15.75" thickBot="1" x14ac:dyDescent="0.25">
      <c r="A26" s="154"/>
      <c r="B26" s="164" t="s">
        <v>324</v>
      </c>
      <c r="C26" s="155" t="s">
        <v>355</v>
      </c>
      <c r="D26" s="233">
        <v>4</v>
      </c>
      <c r="E26" s="167" t="s">
        <v>357</v>
      </c>
      <c r="F26" s="229">
        <v>1.6</v>
      </c>
      <c r="G26" s="229">
        <f t="shared" si="1"/>
        <v>2.08</v>
      </c>
      <c r="H26" s="156">
        <v>1.3</v>
      </c>
      <c r="I26" s="156">
        <f t="shared" si="5"/>
        <v>4784</v>
      </c>
      <c r="J26" s="156">
        <f t="shared" si="6"/>
        <v>2600</v>
      </c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8"/>
      <c r="AA26" s="159"/>
    </row>
    <row r="27" spans="1:28" s="160" customFormat="1" ht="15.75" thickBot="1" x14ac:dyDescent="0.25">
      <c r="A27" s="154"/>
      <c r="B27" s="164" t="s">
        <v>336</v>
      </c>
      <c r="C27" s="155" t="s">
        <v>356</v>
      </c>
      <c r="D27" s="233">
        <v>8</v>
      </c>
      <c r="E27" s="167" t="s">
        <v>357</v>
      </c>
      <c r="F27" s="229">
        <v>1.25</v>
      </c>
      <c r="G27" s="229">
        <f t="shared" si="1"/>
        <v>1.625</v>
      </c>
      <c r="H27" s="156">
        <v>0.9</v>
      </c>
      <c r="I27" s="156">
        <f t="shared" ref="I27:I28" si="7">G27*2300</f>
        <v>3737.5</v>
      </c>
      <c r="J27" s="156">
        <f t="shared" ref="J27:J28" si="8">H27*2000</f>
        <v>1800</v>
      </c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8"/>
      <c r="AA27" s="159"/>
    </row>
    <row r="28" spans="1:28" s="160" customFormat="1" ht="30.75" thickBot="1" x14ac:dyDescent="0.25">
      <c r="A28" s="154"/>
      <c r="B28" s="164" t="s">
        <v>316</v>
      </c>
      <c r="C28" s="155" t="s">
        <v>338</v>
      </c>
      <c r="D28" s="233">
        <v>2</v>
      </c>
      <c r="E28" s="167" t="s">
        <v>358</v>
      </c>
      <c r="F28" s="229">
        <v>1.65</v>
      </c>
      <c r="G28" s="229">
        <f t="shared" si="1"/>
        <v>2.145</v>
      </c>
      <c r="H28" s="156">
        <v>1.2</v>
      </c>
      <c r="I28" s="156">
        <f t="shared" si="7"/>
        <v>4933.5</v>
      </c>
      <c r="J28" s="156">
        <f t="shared" si="8"/>
        <v>2400</v>
      </c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8"/>
      <c r="AA28" s="159"/>
    </row>
    <row r="29" spans="1:28" s="160" customFormat="1" ht="54" customHeight="1" x14ac:dyDescent="0.2">
      <c r="A29" s="190"/>
      <c r="B29" s="185" t="s">
        <v>360</v>
      </c>
      <c r="C29" s="192" t="s">
        <v>359</v>
      </c>
      <c r="D29" s="198">
        <v>2</v>
      </c>
      <c r="E29" s="203" t="s">
        <v>401</v>
      </c>
      <c r="F29" s="239" t="s">
        <v>399</v>
      </c>
      <c r="G29" s="240"/>
      <c r="H29" s="204" t="s">
        <v>378</v>
      </c>
      <c r="I29" s="156"/>
      <c r="J29" s="204" t="s">
        <v>379</v>
      </c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8"/>
      <c r="AA29" s="159"/>
    </row>
    <row r="30" spans="1:28" s="215" customFormat="1" ht="40.5" x14ac:dyDescent="0.2">
      <c r="A30" s="205"/>
      <c r="B30" s="206" t="s">
        <v>361</v>
      </c>
      <c r="C30" s="207" t="s">
        <v>362</v>
      </c>
      <c r="D30" s="208">
        <v>1</v>
      </c>
      <c r="E30" s="209"/>
      <c r="F30" s="210"/>
      <c r="G30" s="210"/>
      <c r="H30" s="211"/>
      <c r="I30" s="211"/>
      <c r="J30" s="211"/>
      <c r="K30" s="212"/>
      <c r="L30" s="212"/>
      <c r="M30" s="212"/>
      <c r="N30" s="212"/>
      <c r="O30" s="212"/>
      <c r="P30" s="212"/>
      <c r="Q30" s="212"/>
      <c r="R30" s="212"/>
      <c r="S30" s="212"/>
      <c r="T30" s="212"/>
      <c r="U30" s="212"/>
      <c r="V30" s="212"/>
      <c r="W30" s="212"/>
      <c r="X30" s="212"/>
      <c r="Y30" s="212"/>
      <c r="Z30" s="213"/>
      <c r="AA30" s="214"/>
    </row>
    <row r="31" spans="1:28" s="175" customFormat="1" ht="40.5" x14ac:dyDescent="0.2">
      <c r="A31" s="216"/>
      <c r="B31" s="217" t="s">
        <v>363</v>
      </c>
      <c r="C31" s="218" t="s">
        <v>364</v>
      </c>
      <c r="D31" s="219">
        <v>2</v>
      </c>
      <c r="E31" s="220"/>
      <c r="F31" s="15"/>
      <c r="G31" s="15"/>
      <c r="H31" s="128"/>
      <c r="I31" s="128"/>
      <c r="J31" s="128"/>
      <c r="K31" s="172"/>
      <c r="L31" s="172"/>
      <c r="M31" s="172"/>
      <c r="N31" s="172"/>
      <c r="O31" s="221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3"/>
      <c r="AA31" s="174"/>
    </row>
    <row r="32" spans="1:28" s="160" customFormat="1" ht="54" x14ac:dyDescent="0.2">
      <c r="A32" s="190"/>
      <c r="B32" s="185" t="s">
        <v>365</v>
      </c>
      <c r="C32" s="192" t="s">
        <v>366</v>
      </c>
      <c r="D32" s="199">
        <v>2</v>
      </c>
      <c r="E32" s="195" t="s">
        <v>380</v>
      </c>
      <c r="F32" s="162">
        <v>1.2</v>
      </c>
      <c r="G32" s="162"/>
      <c r="H32" s="156">
        <v>0.90500000000000003</v>
      </c>
      <c r="I32" s="156"/>
      <c r="J32" s="156">
        <f>2000*H32</f>
        <v>1810</v>
      </c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8"/>
      <c r="AA32" s="159"/>
      <c r="AB32" s="163"/>
    </row>
    <row r="33" spans="1:27" s="160" customFormat="1" ht="40.5" x14ac:dyDescent="0.2">
      <c r="A33" s="190"/>
      <c r="B33" s="185" t="s">
        <v>367</v>
      </c>
      <c r="C33" s="192" t="s">
        <v>368</v>
      </c>
      <c r="D33" s="199">
        <v>2</v>
      </c>
      <c r="E33" s="195" t="s">
        <v>381</v>
      </c>
      <c r="F33" s="162">
        <v>1.2</v>
      </c>
      <c r="G33" s="162"/>
      <c r="H33" s="156">
        <v>0.75</v>
      </c>
      <c r="I33" s="156"/>
      <c r="J33" s="156">
        <f>2000*H33</f>
        <v>1500</v>
      </c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8"/>
      <c r="AA33" s="159"/>
    </row>
    <row r="34" spans="1:27" s="175" customFormat="1" ht="40.5" x14ac:dyDescent="0.2">
      <c r="A34" s="216"/>
      <c r="B34" s="217" t="s">
        <v>369</v>
      </c>
      <c r="C34" s="218" t="s">
        <v>370</v>
      </c>
      <c r="D34" s="219">
        <v>4</v>
      </c>
      <c r="E34" s="220"/>
      <c r="F34" s="15"/>
      <c r="G34" s="15"/>
      <c r="H34" s="128"/>
      <c r="I34" s="128"/>
      <c r="J34" s="128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3"/>
      <c r="AA34" s="174"/>
    </row>
    <row r="35" spans="1:27" s="160" customFormat="1" ht="30" customHeight="1" x14ac:dyDescent="0.2">
      <c r="A35" s="190"/>
      <c r="B35" s="241" t="s">
        <v>382</v>
      </c>
      <c r="C35" s="193" t="s">
        <v>384</v>
      </c>
      <c r="D35" s="225">
        <v>5</v>
      </c>
      <c r="E35" s="226" t="s">
        <v>387</v>
      </c>
      <c r="F35" s="196"/>
      <c r="G35" s="182"/>
      <c r="H35" s="183">
        <v>0.2</v>
      </c>
      <c r="I35" s="183"/>
      <c r="J35" s="156">
        <f>2000*H35</f>
        <v>400</v>
      </c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58"/>
      <c r="AA35" s="159"/>
    </row>
    <row r="36" spans="1:27" s="160" customFormat="1" ht="24" customHeight="1" x14ac:dyDescent="0.2">
      <c r="A36" s="190"/>
      <c r="B36" s="242"/>
      <c r="C36" s="193" t="s">
        <v>385</v>
      </c>
      <c r="D36" s="225">
        <v>5</v>
      </c>
      <c r="E36" s="226" t="s">
        <v>388</v>
      </c>
      <c r="F36" s="196"/>
      <c r="G36" s="182"/>
      <c r="H36" s="183">
        <v>0.65</v>
      </c>
      <c r="I36" s="183"/>
      <c r="J36" s="156">
        <f t="shared" ref="J36:J42" si="9">2000*H36</f>
        <v>1300</v>
      </c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58"/>
      <c r="AA36" s="159"/>
    </row>
    <row r="37" spans="1:27" s="160" customFormat="1" ht="15" x14ac:dyDescent="0.2">
      <c r="A37" s="190"/>
      <c r="B37" s="243"/>
      <c r="C37" s="223" t="s">
        <v>383</v>
      </c>
      <c r="D37" s="225">
        <v>5</v>
      </c>
      <c r="E37" s="226" t="s">
        <v>389</v>
      </c>
      <c r="F37" s="196"/>
      <c r="G37" s="182"/>
      <c r="H37" s="183">
        <v>0.1</v>
      </c>
      <c r="I37" s="183"/>
      <c r="J37" s="156">
        <f t="shared" si="9"/>
        <v>200</v>
      </c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58"/>
      <c r="AA37" s="159"/>
    </row>
    <row r="38" spans="1:27" s="160" customFormat="1" ht="27" x14ac:dyDescent="0.2">
      <c r="A38" s="190"/>
      <c r="B38" s="185" t="s">
        <v>371</v>
      </c>
      <c r="C38" s="192" t="s">
        <v>372</v>
      </c>
      <c r="D38" s="199">
        <v>1</v>
      </c>
      <c r="E38" s="222" t="s">
        <v>390</v>
      </c>
      <c r="F38" s="162"/>
      <c r="G38" s="162"/>
      <c r="H38" s="156">
        <v>0.6</v>
      </c>
      <c r="I38" s="156"/>
      <c r="J38" s="156">
        <f t="shared" si="9"/>
        <v>1200</v>
      </c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8"/>
      <c r="AA38" s="159"/>
    </row>
    <row r="39" spans="1:27" ht="27" x14ac:dyDescent="0.2">
      <c r="A39" s="191"/>
      <c r="B39" s="185" t="s">
        <v>373</v>
      </c>
      <c r="C39" s="194" t="s">
        <v>374</v>
      </c>
      <c r="D39" s="200">
        <v>3</v>
      </c>
      <c r="E39" s="197" t="s">
        <v>391</v>
      </c>
      <c r="F39" s="12"/>
      <c r="G39" s="12"/>
      <c r="H39" s="186">
        <v>0.65</v>
      </c>
      <c r="I39" s="186"/>
      <c r="J39" s="186">
        <f t="shared" si="9"/>
        <v>1300</v>
      </c>
      <c r="K39" s="186"/>
      <c r="L39" s="186"/>
      <c r="M39" s="186"/>
      <c r="N39" s="186"/>
      <c r="O39" s="187"/>
      <c r="P39" s="186"/>
      <c r="Q39" s="186"/>
      <c r="R39" s="186"/>
      <c r="S39" s="186"/>
      <c r="T39" s="186"/>
      <c r="U39" s="186"/>
      <c r="V39" s="186"/>
      <c r="W39" s="186"/>
      <c r="X39" s="186"/>
      <c r="Y39" s="186"/>
    </row>
    <row r="40" spans="1:27" ht="19.5" customHeight="1" thickBot="1" x14ac:dyDescent="0.25">
      <c r="A40" s="191"/>
      <c r="B40" s="241" t="s">
        <v>392</v>
      </c>
      <c r="C40" s="194" t="s">
        <v>393</v>
      </c>
      <c r="D40" s="201" t="s">
        <v>395</v>
      </c>
      <c r="E40" s="197" t="s">
        <v>397</v>
      </c>
      <c r="F40" s="12"/>
      <c r="G40" s="12"/>
      <c r="H40" s="186">
        <v>0.3</v>
      </c>
      <c r="I40" s="186"/>
      <c r="J40" s="186">
        <f t="shared" si="9"/>
        <v>600</v>
      </c>
      <c r="K40" s="186"/>
      <c r="L40" s="186"/>
      <c r="M40" s="186"/>
      <c r="N40" s="186"/>
      <c r="O40" s="187"/>
      <c r="P40" s="186"/>
      <c r="Q40" s="186"/>
      <c r="R40" s="186"/>
      <c r="S40" s="186"/>
      <c r="T40" s="186"/>
      <c r="U40" s="186"/>
      <c r="V40" s="186"/>
      <c r="W40" s="186"/>
      <c r="X40" s="186"/>
      <c r="Y40" s="188">
        <v>7989000</v>
      </c>
    </row>
    <row r="41" spans="1:27" ht="19.5" customHeight="1" thickBot="1" x14ac:dyDescent="0.25">
      <c r="A41" s="224"/>
      <c r="B41" s="242"/>
      <c r="C41" s="194" t="s">
        <v>394</v>
      </c>
      <c r="D41" s="201" t="s">
        <v>395</v>
      </c>
      <c r="E41" s="197" t="s">
        <v>398</v>
      </c>
      <c r="F41" s="12"/>
      <c r="G41" s="12"/>
      <c r="H41" s="186">
        <v>0.45</v>
      </c>
      <c r="I41" s="186"/>
      <c r="J41" s="186">
        <f t="shared" si="9"/>
        <v>900</v>
      </c>
      <c r="K41" s="186"/>
      <c r="L41" s="186"/>
      <c r="M41" s="186"/>
      <c r="N41" s="186"/>
      <c r="O41" s="187"/>
      <c r="P41" s="186"/>
      <c r="Q41" s="186"/>
      <c r="R41" s="186"/>
      <c r="S41" s="186"/>
      <c r="T41" s="186"/>
      <c r="U41" s="186"/>
      <c r="V41" s="186"/>
      <c r="W41" s="186"/>
      <c r="X41" s="186"/>
      <c r="Y41" s="188"/>
    </row>
    <row r="42" spans="1:27" ht="21.75" customHeight="1" thickBot="1" x14ac:dyDescent="0.25">
      <c r="A42" s="224"/>
      <c r="B42" s="243"/>
      <c r="C42" s="194" t="s">
        <v>396</v>
      </c>
      <c r="D42" s="201" t="s">
        <v>395</v>
      </c>
      <c r="E42" s="197" t="s">
        <v>400</v>
      </c>
      <c r="F42" s="12"/>
      <c r="G42" s="12"/>
      <c r="H42" s="186">
        <v>0.65</v>
      </c>
      <c r="I42" s="186"/>
      <c r="J42" s="186">
        <f t="shared" si="9"/>
        <v>1300</v>
      </c>
      <c r="K42" s="186"/>
      <c r="L42" s="186"/>
      <c r="M42" s="186"/>
      <c r="N42" s="186"/>
      <c r="O42" s="187"/>
      <c r="P42" s="186"/>
      <c r="Q42" s="186"/>
      <c r="R42" s="186"/>
      <c r="S42" s="186"/>
      <c r="T42" s="186"/>
      <c r="U42" s="186"/>
      <c r="V42" s="186"/>
      <c r="W42" s="186"/>
      <c r="X42" s="186"/>
      <c r="Y42" s="188"/>
    </row>
    <row r="43" spans="1:27" ht="30" x14ac:dyDescent="0.2">
      <c r="A43" s="194"/>
      <c r="B43" s="167" t="s">
        <v>316</v>
      </c>
      <c r="C43" s="155" t="s">
        <v>376</v>
      </c>
      <c r="D43" s="202">
        <v>2</v>
      </c>
      <c r="E43" s="167" t="s">
        <v>358</v>
      </c>
      <c r="F43" s="229">
        <v>8.8000000000000007</v>
      </c>
      <c r="G43" s="229">
        <f>F43*1.3</f>
        <v>11.440000000000001</v>
      </c>
      <c r="H43" s="156">
        <v>1.75</v>
      </c>
      <c r="I43" s="156">
        <f t="shared" ref="I43:I44" si="10">G43*2300</f>
        <v>26312.000000000004</v>
      </c>
      <c r="J43" s="156">
        <f t="shared" ref="J43" si="11">H43*2000</f>
        <v>3500</v>
      </c>
      <c r="K43" s="186"/>
      <c r="L43" s="186"/>
      <c r="M43" s="186"/>
      <c r="N43" s="186"/>
      <c r="O43" s="187"/>
      <c r="P43" s="186"/>
      <c r="Q43" s="186"/>
      <c r="R43" s="186"/>
      <c r="S43" s="186"/>
      <c r="T43" s="186"/>
      <c r="U43" s="186"/>
      <c r="V43" s="186"/>
      <c r="W43" s="186"/>
      <c r="X43" s="186"/>
      <c r="Y43" s="186"/>
    </row>
    <row r="44" spans="1:27" ht="30" x14ac:dyDescent="0.25">
      <c r="A44" s="194"/>
      <c r="B44" s="237" t="s">
        <v>409</v>
      </c>
      <c r="C44" s="186" t="s">
        <v>375</v>
      </c>
      <c r="D44" s="12">
        <v>1</v>
      </c>
      <c r="E44" s="186" t="s">
        <v>408</v>
      </c>
      <c r="F44" s="229">
        <v>18</v>
      </c>
      <c r="G44" s="229">
        <f>F44*1.3</f>
        <v>23.400000000000002</v>
      </c>
      <c r="H44" s="156">
        <f>1.4+(5/60)*24</f>
        <v>3.4</v>
      </c>
      <c r="I44" s="156">
        <f t="shared" si="10"/>
        <v>53820.000000000007</v>
      </c>
      <c r="J44" s="156">
        <f>H44*2000</f>
        <v>6800</v>
      </c>
      <c r="K44" s="186"/>
      <c r="L44" s="186"/>
      <c r="M44" s="186"/>
      <c r="N44" s="186"/>
      <c r="O44" s="187"/>
      <c r="P44" s="186"/>
      <c r="Q44" s="186"/>
      <c r="R44" s="186"/>
      <c r="S44" s="186"/>
      <c r="T44" s="186"/>
      <c r="U44" s="186"/>
      <c r="V44" s="186"/>
      <c r="W44" s="186"/>
      <c r="X44" s="186"/>
      <c r="Y44" s="189" t="e">
        <f>Y40-#REF!</f>
        <v>#REF!</v>
      </c>
    </row>
    <row r="45" spans="1:27" ht="24.75" thickBot="1" x14ac:dyDescent="0.25">
      <c r="A45" s="186"/>
      <c r="B45" s="227" t="s">
        <v>410</v>
      </c>
      <c r="C45" s="186" t="s">
        <v>402</v>
      </c>
      <c r="D45" s="228">
        <v>6</v>
      </c>
      <c r="E45" s="186"/>
      <c r="F45" s="12"/>
      <c r="G45" s="12"/>
      <c r="H45" s="186"/>
      <c r="I45" s="186"/>
      <c r="J45" s="186"/>
      <c r="K45" s="186"/>
      <c r="L45" s="186"/>
      <c r="M45" s="186"/>
      <c r="N45" s="186"/>
      <c r="O45" s="187"/>
      <c r="P45" s="186"/>
      <c r="Q45" s="186"/>
      <c r="R45" s="186"/>
      <c r="S45" s="186"/>
      <c r="T45" s="186"/>
      <c r="U45" s="186"/>
      <c r="V45" s="186"/>
      <c r="W45" s="186"/>
      <c r="X45" s="186"/>
      <c r="Y45" s="186"/>
    </row>
    <row r="46" spans="1:27" ht="13.5" thickBot="1" x14ac:dyDescent="0.25">
      <c r="A46" s="186"/>
      <c r="B46" s="227" t="s">
        <v>403</v>
      </c>
      <c r="C46" s="186" t="s">
        <v>404</v>
      </c>
      <c r="D46" s="228">
        <v>3</v>
      </c>
      <c r="E46" s="186"/>
      <c r="F46" s="12"/>
      <c r="G46" s="12"/>
      <c r="H46" s="186"/>
      <c r="I46" s="186"/>
      <c r="J46" s="186"/>
      <c r="K46" s="186"/>
      <c r="L46" s="186"/>
      <c r="M46" s="186"/>
      <c r="N46" s="186"/>
      <c r="O46" s="187"/>
      <c r="P46" s="186"/>
      <c r="Q46" s="186"/>
      <c r="R46" s="186"/>
      <c r="S46" s="186"/>
      <c r="T46" s="186"/>
      <c r="U46" s="186"/>
      <c r="V46" s="186"/>
      <c r="W46" s="186"/>
      <c r="X46" s="186"/>
      <c r="Y46" s="186"/>
    </row>
    <row r="47" spans="1:27" ht="13.5" thickBot="1" x14ac:dyDescent="0.25">
      <c r="A47" s="186"/>
      <c r="B47" s="227" t="s">
        <v>403</v>
      </c>
      <c r="C47" s="186" t="s">
        <v>405</v>
      </c>
      <c r="D47" s="228">
        <v>9</v>
      </c>
      <c r="E47" s="186"/>
      <c r="F47" s="12"/>
      <c r="G47" s="12"/>
      <c r="H47" s="186"/>
      <c r="I47" s="186"/>
      <c r="J47" s="186"/>
      <c r="K47" s="186"/>
      <c r="L47" s="186"/>
      <c r="M47" s="186"/>
      <c r="N47" s="186"/>
      <c r="O47" s="187"/>
      <c r="P47" s="186"/>
      <c r="Q47" s="186"/>
      <c r="R47" s="186"/>
      <c r="S47" s="186"/>
      <c r="T47" s="186"/>
      <c r="U47" s="186"/>
      <c r="V47" s="186"/>
      <c r="W47" s="186"/>
      <c r="X47" s="186"/>
      <c r="Y47" s="186"/>
    </row>
    <row r="48" spans="1:27" ht="30.75" thickBot="1" x14ac:dyDescent="0.25">
      <c r="A48" s="186"/>
      <c r="B48" s="236" t="s">
        <v>406</v>
      </c>
      <c r="C48" s="155" t="s">
        <v>407</v>
      </c>
      <c r="D48" s="233">
        <v>1</v>
      </c>
      <c r="E48" s="167"/>
      <c r="F48" s="229">
        <v>0.68</v>
      </c>
      <c r="G48" s="229">
        <f t="shared" ref="G48" si="12">F48*1.3</f>
        <v>0.88400000000000012</v>
      </c>
      <c r="H48" s="156">
        <v>0.7</v>
      </c>
      <c r="I48" s="156">
        <f t="shared" ref="I48" si="13">G48*2300</f>
        <v>2033.2000000000003</v>
      </c>
      <c r="J48" s="156">
        <f t="shared" ref="J48" si="14">H48*2000</f>
        <v>1400</v>
      </c>
      <c r="K48" s="186"/>
      <c r="L48" s="186"/>
      <c r="M48" s="186"/>
      <c r="N48" s="186"/>
      <c r="O48" s="187"/>
      <c r="P48" s="186"/>
      <c r="Q48" s="186"/>
      <c r="R48" s="186"/>
      <c r="S48" s="186"/>
      <c r="T48" s="186"/>
      <c r="U48" s="186"/>
      <c r="V48" s="186"/>
      <c r="W48" s="186"/>
      <c r="X48" s="186"/>
      <c r="Y48" s="186"/>
    </row>
    <row r="49" spans="1:25" ht="15.75" thickBot="1" x14ac:dyDescent="0.25">
      <c r="A49" s="186"/>
      <c r="B49" s="236"/>
      <c r="C49" s="155"/>
      <c r="D49" s="233"/>
      <c r="E49" s="167"/>
      <c r="F49" s="229"/>
      <c r="G49" s="229"/>
      <c r="H49" s="156"/>
      <c r="I49" s="156"/>
      <c r="J49" s="156"/>
      <c r="K49" s="186"/>
      <c r="L49" s="186"/>
      <c r="M49" s="186"/>
      <c r="N49" s="186"/>
      <c r="O49" s="187"/>
      <c r="P49" s="186"/>
      <c r="Q49" s="186"/>
      <c r="R49" s="186"/>
      <c r="S49" s="186"/>
      <c r="T49" s="186"/>
      <c r="U49" s="186"/>
      <c r="V49" s="186"/>
      <c r="W49" s="186"/>
      <c r="X49" s="186"/>
      <c r="Y49" s="186"/>
    </row>
    <row r="50" spans="1:25" x14ac:dyDescent="0.2">
      <c r="A50" s="186"/>
      <c r="B50" s="186"/>
      <c r="C50" s="186"/>
      <c r="D50" s="228"/>
      <c r="E50" s="186"/>
      <c r="F50" s="12"/>
      <c r="G50" s="12"/>
      <c r="H50" s="186"/>
      <c r="I50" s="186"/>
      <c r="J50" s="186"/>
      <c r="K50" s="186"/>
      <c r="L50" s="186"/>
      <c r="M50" s="186"/>
      <c r="N50" s="186"/>
      <c r="O50" s="187"/>
      <c r="P50" s="186"/>
      <c r="Q50" s="186"/>
      <c r="R50" s="186"/>
      <c r="S50" s="186"/>
      <c r="T50" s="186"/>
      <c r="U50" s="186"/>
      <c r="V50" s="186"/>
      <c r="W50" s="186"/>
      <c r="X50" s="186"/>
      <c r="Y50" s="186"/>
    </row>
    <row r="51" spans="1:25" x14ac:dyDescent="0.2">
      <c r="A51" s="186"/>
      <c r="B51" s="186"/>
      <c r="C51" s="186"/>
      <c r="D51" s="228"/>
      <c r="E51" s="186"/>
      <c r="F51" s="12"/>
      <c r="G51" s="12"/>
      <c r="H51" s="186"/>
      <c r="I51" s="186"/>
      <c r="J51" s="186"/>
      <c r="K51" s="186"/>
      <c r="L51" s="186"/>
      <c r="M51" s="186"/>
      <c r="N51" s="186"/>
      <c r="O51" s="187"/>
      <c r="P51" s="186"/>
      <c r="Q51" s="186"/>
      <c r="R51" s="186"/>
      <c r="S51" s="186"/>
      <c r="T51" s="186"/>
      <c r="U51" s="186"/>
      <c r="V51" s="186"/>
      <c r="W51" s="186"/>
      <c r="X51" s="186"/>
      <c r="Y51" s="186"/>
    </row>
    <row r="52" spans="1:25" x14ac:dyDescent="0.2">
      <c r="A52" s="186"/>
      <c r="B52" s="186"/>
      <c r="C52" s="186"/>
      <c r="D52" s="228"/>
      <c r="E52" s="186"/>
      <c r="F52" s="12"/>
      <c r="G52" s="12"/>
      <c r="H52" s="186"/>
      <c r="I52" s="186"/>
      <c r="J52" s="186"/>
      <c r="K52" s="186"/>
      <c r="L52" s="186"/>
      <c r="M52" s="186"/>
      <c r="N52" s="186"/>
      <c r="O52" s="187"/>
      <c r="P52" s="186"/>
      <c r="Q52" s="186"/>
      <c r="R52" s="186"/>
      <c r="S52" s="186"/>
      <c r="T52" s="186"/>
      <c r="U52" s="186"/>
      <c r="V52" s="186"/>
      <c r="W52" s="186"/>
      <c r="X52" s="186"/>
      <c r="Y52" s="186"/>
    </row>
    <row r="53" spans="1:25" x14ac:dyDescent="0.2">
      <c r="A53" s="186"/>
      <c r="B53" s="186"/>
      <c r="C53" s="186"/>
      <c r="D53" s="228"/>
      <c r="E53" s="186"/>
      <c r="F53" s="12"/>
      <c r="G53" s="12"/>
      <c r="H53" s="186"/>
      <c r="I53" s="186"/>
      <c r="J53" s="186"/>
      <c r="K53" s="186"/>
      <c r="L53" s="186"/>
      <c r="M53" s="186"/>
      <c r="N53" s="186"/>
      <c r="O53" s="187"/>
      <c r="P53" s="186"/>
      <c r="Q53" s="186"/>
      <c r="R53" s="186"/>
      <c r="S53" s="186"/>
      <c r="T53" s="186"/>
      <c r="U53" s="186"/>
      <c r="V53" s="186"/>
      <c r="W53" s="186"/>
      <c r="X53" s="186"/>
      <c r="Y53" s="186"/>
    </row>
    <row r="54" spans="1:25" x14ac:dyDescent="0.2">
      <c r="A54" s="186"/>
      <c r="B54" s="186"/>
      <c r="C54" s="186"/>
      <c r="D54" s="228"/>
      <c r="E54" s="186"/>
      <c r="F54" s="12"/>
      <c r="G54" s="12"/>
      <c r="H54" s="186"/>
      <c r="I54" s="186"/>
      <c r="J54" s="186"/>
      <c r="K54" s="186"/>
      <c r="L54" s="186"/>
      <c r="M54" s="186"/>
      <c r="N54" s="186"/>
      <c r="O54" s="187"/>
      <c r="P54" s="186"/>
      <c r="Q54" s="186"/>
      <c r="R54" s="186"/>
      <c r="S54" s="186"/>
      <c r="T54" s="186"/>
      <c r="U54" s="186"/>
      <c r="V54" s="186"/>
      <c r="W54" s="186"/>
      <c r="X54" s="186"/>
      <c r="Y54" s="186"/>
    </row>
    <row r="55" spans="1:25" x14ac:dyDescent="0.2">
      <c r="A55" s="186"/>
      <c r="B55" s="186"/>
      <c r="C55" s="186"/>
      <c r="D55" s="228"/>
      <c r="E55" s="186"/>
      <c r="F55" s="12"/>
      <c r="G55" s="12"/>
      <c r="H55" s="186"/>
      <c r="I55" s="186"/>
      <c r="J55" s="186"/>
      <c r="K55" s="186"/>
      <c r="L55" s="186"/>
      <c r="M55" s="186"/>
      <c r="N55" s="186"/>
      <c r="O55" s="187"/>
      <c r="P55" s="186"/>
      <c r="Q55" s="186"/>
      <c r="R55" s="186"/>
      <c r="S55" s="186"/>
      <c r="T55" s="186"/>
      <c r="U55" s="186"/>
      <c r="V55" s="186"/>
      <c r="W55" s="186"/>
      <c r="X55" s="186"/>
      <c r="Y55" s="186"/>
    </row>
    <row r="56" spans="1:25" x14ac:dyDescent="0.2">
      <c r="A56" s="186"/>
      <c r="B56" s="186"/>
      <c r="C56" s="186"/>
      <c r="D56" s="228"/>
      <c r="E56" s="186"/>
      <c r="F56" s="12"/>
      <c r="G56" s="12"/>
      <c r="H56" s="186"/>
      <c r="I56" s="186"/>
      <c r="J56" s="186"/>
      <c r="K56" s="186"/>
      <c r="L56" s="186"/>
      <c r="M56" s="186"/>
      <c r="N56" s="186"/>
      <c r="O56" s="187"/>
      <c r="P56" s="186"/>
      <c r="Q56" s="186"/>
      <c r="R56" s="186"/>
      <c r="S56" s="186"/>
      <c r="T56" s="186"/>
      <c r="U56" s="186"/>
      <c r="V56" s="186"/>
      <c r="W56" s="186"/>
      <c r="X56" s="186"/>
      <c r="Y56" s="186"/>
    </row>
    <row r="57" spans="1:25" x14ac:dyDescent="0.2">
      <c r="A57" s="186"/>
      <c r="B57" s="186"/>
      <c r="C57" s="186"/>
      <c r="D57" s="228"/>
      <c r="E57" s="186"/>
      <c r="F57" s="12"/>
      <c r="G57" s="12"/>
      <c r="H57" s="186"/>
      <c r="I57" s="186"/>
      <c r="J57" s="186"/>
      <c r="K57" s="186"/>
      <c r="L57" s="186"/>
      <c r="M57" s="186"/>
      <c r="N57" s="186"/>
      <c r="O57" s="187"/>
      <c r="P57" s="186"/>
      <c r="Q57" s="186"/>
      <c r="R57" s="186"/>
      <c r="S57" s="186"/>
      <c r="T57" s="186"/>
      <c r="U57" s="186"/>
      <c r="V57" s="186"/>
      <c r="W57" s="186"/>
      <c r="X57" s="186"/>
      <c r="Y57" s="186"/>
    </row>
    <row r="58" spans="1:25" x14ac:dyDescent="0.2">
      <c r="A58" s="186"/>
      <c r="B58" s="186"/>
      <c r="C58" s="186"/>
      <c r="D58" s="228"/>
      <c r="E58" s="186"/>
      <c r="F58" s="12"/>
      <c r="G58" s="12"/>
      <c r="H58" s="186"/>
      <c r="I58" s="186"/>
      <c r="J58" s="186"/>
      <c r="K58" s="186"/>
      <c r="L58" s="186"/>
      <c r="M58" s="186"/>
      <c r="N58" s="186"/>
      <c r="O58" s="187"/>
      <c r="P58" s="186"/>
      <c r="Q58" s="186"/>
      <c r="R58" s="186"/>
      <c r="S58" s="186"/>
      <c r="T58" s="186"/>
      <c r="U58" s="186"/>
      <c r="V58" s="186"/>
      <c r="W58" s="186"/>
      <c r="X58" s="186"/>
      <c r="Y58" s="186"/>
    </row>
    <row r="59" spans="1:25" x14ac:dyDescent="0.2">
      <c r="A59" s="186"/>
      <c r="B59" s="186"/>
      <c r="C59" s="186"/>
      <c r="D59" s="228"/>
      <c r="E59" s="186"/>
      <c r="F59" s="12"/>
      <c r="G59" s="12"/>
      <c r="H59" s="186"/>
      <c r="I59" s="186"/>
      <c r="J59" s="186"/>
      <c r="K59" s="186"/>
      <c r="L59" s="186"/>
      <c r="M59" s="186"/>
      <c r="N59" s="186"/>
      <c r="O59" s="187"/>
      <c r="P59" s="186"/>
      <c r="Q59" s="186"/>
      <c r="R59" s="186"/>
      <c r="S59" s="186"/>
      <c r="T59" s="186"/>
      <c r="U59" s="186"/>
      <c r="V59" s="186"/>
      <c r="W59" s="186"/>
      <c r="X59" s="186"/>
      <c r="Y59" s="186"/>
    </row>
    <row r="60" spans="1:25" x14ac:dyDescent="0.2">
      <c r="A60" s="186"/>
      <c r="B60" s="186"/>
      <c r="C60" s="186"/>
      <c r="D60" s="228"/>
      <c r="E60" s="186"/>
      <c r="F60" s="12"/>
      <c r="G60" s="12"/>
      <c r="H60" s="186"/>
      <c r="I60" s="186"/>
      <c r="J60" s="186"/>
      <c r="K60" s="186"/>
      <c r="L60" s="186"/>
      <c r="M60" s="186"/>
      <c r="N60" s="186"/>
      <c r="O60" s="187"/>
      <c r="P60" s="186"/>
      <c r="Q60" s="186"/>
      <c r="R60" s="186"/>
      <c r="S60" s="186"/>
      <c r="T60" s="186"/>
      <c r="U60" s="186"/>
      <c r="V60" s="186"/>
      <c r="W60" s="186"/>
      <c r="X60" s="186"/>
      <c r="Y60" s="186"/>
    </row>
    <row r="61" spans="1:25" x14ac:dyDescent="0.2">
      <c r="A61" s="186"/>
      <c r="B61" s="186"/>
      <c r="C61" s="186"/>
      <c r="D61" s="228"/>
      <c r="E61" s="186"/>
      <c r="F61" s="12"/>
      <c r="G61" s="12"/>
      <c r="H61" s="186"/>
      <c r="I61" s="186"/>
      <c r="J61" s="186"/>
      <c r="K61" s="186"/>
      <c r="L61" s="186"/>
      <c r="M61" s="186"/>
      <c r="N61" s="186"/>
      <c r="O61" s="187"/>
      <c r="P61" s="186"/>
      <c r="Q61" s="186"/>
      <c r="R61" s="186"/>
      <c r="S61" s="186"/>
      <c r="T61" s="186"/>
      <c r="U61" s="186"/>
      <c r="V61" s="186"/>
      <c r="W61" s="186"/>
      <c r="X61" s="186"/>
      <c r="Y61" s="186"/>
    </row>
    <row r="62" spans="1:25" x14ac:dyDescent="0.2">
      <c r="A62" s="186"/>
      <c r="B62" s="186"/>
      <c r="C62" s="186"/>
      <c r="D62" s="228"/>
      <c r="E62" s="186"/>
      <c r="F62" s="12"/>
      <c r="G62" s="12"/>
      <c r="H62" s="186"/>
      <c r="I62" s="186"/>
      <c r="J62" s="186"/>
      <c r="K62" s="186"/>
      <c r="L62" s="186"/>
      <c r="M62" s="186"/>
      <c r="N62" s="186"/>
      <c r="O62" s="187"/>
      <c r="P62" s="186"/>
      <c r="Q62" s="186"/>
      <c r="R62" s="186"/>
      <c r="S62" s="186"/>
      <c r="T62" s="186"/>
      <c r="U62" s="186"/>
      <c r="V62" s="186"/>
      <c r="W62" s="186"/>
      <c r="X62" s="186"/>
      <c r="Y62" s="186"/>
    </row>
    <row r="63" spans="1:25" x14ac:dyDescent="0.2">
      <c r="A63" s="186"/>
      <c r="B63" s="186"/>
      <c r="C63" s="186"/>
      <c r="D63" s="228"/>
      <c r="E63" s="186"/>
      <c r="F63" s="12"/>
      <c r="G63" s="12"/>
      <c r="H63" s="186"/>
      <c r="I63" s="186"/>
      <c r="J63" s="186"/>
      <c r="K63" s="186"/>
      <c r="L63" s="186"/>
      <c r="M63" s="186"/>
      <c r="N63" s="186"/>
      <c r="O63" s="187"/>
      <c r="P63" s="186"/>
      <c r="Q63" s="186"/>
      <c r="R63" s="186"/>
      <c r="S63" s="186"/>
      <c r="T63" s="186"/>
      <c r="U63" s="186"/>
      <c r="V63" s="186"/>
      <c r="W63" s="186"/>
      <c r="X63" s="186"/>
      <c r="Y63" s="186"/>
    </row>
    <row r="64" spans="1:25" x14ac:dyDescent="0.2">
      <c r="A64" s="186"/>
      <c r="B64" s="186"/>
      <c r="C64" s="186"/>
      <c r="D64" s="228"/>
      <c r="E64" s="186"/>
      <c r="F64" s="12"/>
      <c r="G64" s="12"/>
      <c r="H64" s="186"/>
      <c r="I64" s="186"/>
      <c r="J64" s="186"/>
      <c r="K64" s="186"/>
      <c r="L64" s="186"/>
      <c r="M64" s="186"/>
      <c r="N64" s="186"/>
      <c r="O64" s="187"/>
      <c r="P64" s="186"/>
      <c r="Q64" s="186"/>
      <c r="R64" s="186"/>
      <c r="S64" s="186"/>
      <c r="T64" s="186"/>
      <c r="U64" s="186"/>
      <c r="V64" s="186"/>
      <c r="W64" s="186"/>
      <c r="X64" s="186"/>
      <c r="Y64" s="186"/>
    </row>
    <row r="65" spans="1:25" x14ac:dyDescent="0.2">
      <c r="A65" s="186"/>
      <c r="B65" s="186"/>
      <c r="C65" s="186"/>
      <c r="D65" s="228"/>
      <c r="E65" s="186"/>
      <c r="F65" s="12"/>
      <c r="G65" s="12"/>
      <c r="H65" s="186"/>
      <c r="I65" s="186"/>
      <c r="J65" s="186"/>
      <c r="K65" s="186"/>
      <c r="L65" s="186"/>
      <c r="M65" s="186"/>
      <c r="N65" s="186"/>
      <c r="O65" s="187"/>
      <c r="P65" s="186"/>
      <c r="Q65" s="186"/>
      <c r="R65" s="186"/>
      <c r="S65" s="186"/>
      <c r="T65" s="186"/>
      <c r="U65" s="186"/>
      <c r="V65" s="186"/>
      <c r="W65" s="186"/>
      <c r="X65" s="186"/>
      <c r="Y65" s="186"/>
    </row>
    <row r="66" spans="1:25" x14ac:dyDescent="0.2">
      <c r="A66" s="186"/>
      <c r="B66" s="186"/>
      <c r="C66" s="186"/>
      <c r="D66" s="228"/>
      <c r="E66" s="186"/>
      <c r="F66" s="12"/>
      <c r="G66" s="12"/>
      <c r="H66" s="186"/>
      <c r="I66" s="186"/>
      <c r="J66" s="186"/>
      <c r="K66" s="186"/>
      <c r="L66" s="186"/>
      <c r="M66" s="186"/>
      <c r="N66" s="186"/>
      <c r="O66" s="187"/>
      <c r="P66" s="186"/>
      <c r="Q66" s="186"/>
      <c r="R66" s="186"/>
      <c r="S66" s="186"/>
      <c r="T66" s="186"/>
      <c r="U66" s="186"/>
      <c r="V66" s="186"/>
      <c r="W66" s="186"/>
      <c r="X66" s="186"/>
      <c r="Y66" s="186"/>
    </row>
    <row r="67" spans="1:25" x14ac:dyDescent="0.2">
      <c r="A67" s="186"/>
      <c r="B67" s="186"/>
      <c r="C67" s="186"/>
      <c r="D67" s="228"/>
      <c r="E67" s="186"/>
      <c r="F67" s="12"/>
      <c r="G67" s="12"/>
      <c r="H67" s="186"/>
      <c r="I67" s="186"/>
      <c r="J67" s="186"/>
      <c r="K67" s="186"/>
      <c r="L67" s="186"/>
      <c r="M67" s="186"/>
      <c r="N67" s="186"/>
      <c r="O67" s="187"/>
      <c r="P67" s="186"/>
      <c r="Q67" s="186"/>
      <c r="R67" s="186"/>
      <c r="S67" s="186"/>
      <c r="T67" s="186"/>
      <c r="U67" s="186"/>
      <c r="V67" s="186"/>
      <c r="W67" s="186"/>
      <c r="X67" s="186"/>
      <c r="Y67" s="186"/>
    </row>
    <row r="68" spans="1:25" x14ac:dyDescent="0.2">
      <c r="A68" s="186"/>
      <c r="B68" s="186"/>
      <c r="C68" s="186"/>
      <c r="D68" s="228"/>
      <c r="E68" s="186"/>
      <c r="F68" s="12"/>
      <c r="G68" s="12"/>
      <c r="H68" s="186"/>
      <c r="I68" s="186"/>
      <c r="J68" s="186"/>
      <c r="K68" s="186"/>
      <c r="L68" s="186"/>
      <c r="M68" s="186"/>
      <c r="N68" s="186"/>
      <c r="O68" s="187"/>
      <c r="P68" s="186"/>
      <c r="Q68" s="186"/>
      <c r="R68" s="186"/>
      <c r="S68" s="186"/>
      <c r="T68" s="186"/>
      <c r="U68" s="186"/>
      <c r="V68" s="186"/>
      <c r="W68" s="186"/>
      <c r="X68" s="186"/>
      <c r="Y68" s="186"/>
    </row>
    <row r="69" spans="1:25" x14ac:dyDescent="0.2">
      <c r="A69" s="186"/>
      <c r="B69" s="186"/>
      <c r="C69" s="186"/>
      <c r="D69" s="228"/>
      <c r="E69" s="186"/>
      <c r="F69" s="12"/>
      <c r="G69" s="12"/>
      <c r="H69" s="186"/>
      <c r="I69" s="186"/>
      <c r="J69" s="186"/>
      <c r="K69" s="186"/>
      <c r="L69" s="186"/>
      <c r="M69" s="186"/>
      <c r="N69" s="186"/>
      <c r="O69" s="187"/>
      <c r="P69" s="186"/>
      <c r="Q69" s="186"/>
      <c r="R69" s="186"/>
      <c r="S69" s="186"/>
      <c r="T69" s="186"/>
      <c r="U69" s="186"/>
      <c r="V69" s="186"/>
      <c r="W69" s="186"/>
      <c r="X69" s="186"/>
      <c r="Y69" s="186"/>
    </row>
    <row r="70" spans="1:25" x14ac:dyDescent="0.2">
      <c r="A70" s="186"/>
      <c r="B70" s="186"/>
      <c r="C70" s="186"/>
      <c r="D70" s="228"/>
      <c r="E70" s="186"/>
      <c r="F70" s="12"/>
      <c r="G70" s="12"/>
      <c r="H70" s="186"/>
      <c r="I70" s="186"/>
      <c r="J70" s="186"/>
      <c r="K70" s="186"/>
      <c r="L70" s="186"/>
      <c r="M70" s="186"/>
      <c r="N70" s="186"/>
      <c r="O70" s="187"/>
      <c r="P70" s="186"/>
      <c r="Q70" s="186"/>
      <c r="R70" s="186"/>
      <c r="S70" s="186"/>
      <c r="T70" s="186"/>
      <c r="U70" s="186"/>
      <c r="V70" s="186"/>
      <c r="W70" s="186"/>
      <c r="X70" s="186"/>
      <c r="Y70" s="186"/>
    </row>
    <row r="71" spans="1:25" x14ac:dyDescent="0.2">
      <c r="A71" s="186"/>
      <c r="B71" s="186"/>
      <c r="C71" s="186"/>
      <c r="D71" s="228"/>
      <c r="E71" s="186"/>
      <c r="F71" s="12"/>
      <c r="G71" s="12"/>
      <c r="H71" s="186"/>
      <c r="I71" s="186"/>
      <c r="J71" s="186"/>
      <c r="K71" s="186"/>
      <c r="L71" s="186"/>
      <c r="M71" s="186"/>
      <c r="N71" s="186"/>
      <c r="O71" s="187"/>
      <c r="P71" s="186"/>
      <c r="Q71" s="186"/>
      <c r="R71" s="186"/>
      <c r="S71" s="186"/>
      <c r="T71" s="186"/>
      <c r="U71" s="186"/>
      <c r="V71" s="186"/>
      <c r="W71" s="186"/>
      <c r="X71" s="186"/>
      <c r="Y71" s="186"/>
    </row>
    <row r="72" spans="1:25" x14ac:dyDescent="0.2">
      <c r="A72" s="186"/>
      <c r="B72" s="186"/>
      <c r="C72" s="186"/>
      <c r="D72" s="228"/>
      <c r="E72" s="186"/>
      <c r="F72" s="12"/>
      <c r="G72" s="12"/>
      <c r="H72" s="186"/>
      <c r="I72" s="186"/>
      <c r="J72" s="186"/>
      <c r="K72" s="186"/>
      <c r="L72" s="186"/>
      <c r="M72" s="186"/>
      <c r="N72" s="186"/>
      <c r="O72" s="187"/>
      <c r="P72" s="186"/>
      <c r="Q72" s="186"/>
      <c r="R72" s="186"/>
      <c r="S72" s="186"/>
      <c r="T72" s="186"/>
      <c r="U72" s="186"/>
      <c r="V72" s="186"/>
      <c r="W72" s="186"/>
      <c r="X72" s="186"/>
      <c r="Y72" s="186"/>
    </row>
    <row r="73" spans="1:25" x14ac:dyDescent="0.2">
      <c r="A73" s="186"/>
      <c r="B73" s="186"/>
      <c r="C73" s="186"/>
      <c r="D73" s="228"/>
      <c r="E73" s="186"/>
      <c r="F73" s="12"/>
      <c r="G73" s="12"/>
      <c r="H73" s="186"/>
      <c r="I73" s="186"/>
      <c r="J73" s="186"/>
      <c r="K73" s="186"/>
      <c r="L73" s="186"/>
      <c r="M73" s="186"/>
      <c r="N73" s="186"/>
      <c r="O73" s="187"/>
      <c r="P73" s="186"/>
      <c r="Q73" s="186"/>
      <c r="R73" s="186"/>
      <c r="S73" s="186"/>
      <c r="T73" s="186"/>
      <c r="U73" s="186"/>
      <c r="V73" s="186"/>
      <c r="W73" s="186"/>
      <c r="X73" s="186"/>
      <c r="Y73" s="186"/>
    </row>
    <row r="74" spans="1:25" x14ac:dyDescent="0.2">
      <c r="A74" s="186"/>
      <c r="B74" s="186"/>
      <c r="C74" s="186"/>
      <c r="D74" s="228"/>
      <c r="E74" s="186"/>
      <c r="F74" s="12"/>
      <c r="G74" s="12"/>
      <c r="H74" s="186"/>
      <c r="I74" s="186"/>
      <c r="J74" s="186"/>
      <c r="K74" s="186"/>
      <c r="L74" s="186"/>
      <c r="M74" s="186"/>
      <c r="N74" s="186"/>
      <c r="O74" s="187"/>
      <c r="P74" s="186"/>
      <c r="Q74" s="186"/>
      <c r="R74" s="186"/>
      <c r="S74" s="186"/>
      <c r="T74" s="186"/>
      <c r="U74" s="186"/>
      <c r="V74" s="186"/>
      <c r="W74" s="186"/>
      <c r="X74" s="186"/>
      <c r="Y74" s="186"/>
    </row>
    <row r="75" spans="1:25" x14ac:dyDescent="0.2">
      <c r="A75" s="186"/>
      <c r="B75" s="186"/>
      <c r="C75" s="186"/>
      <c r="D75" s="228"/>
      <c r="E75" s="186"/>
      <c r="F75" s="12"/>
      <c r="G75" s="12"/>
      <c r="H75" s="186"/>
      <c r="I75" s="186"/>
      <c r="J75" s="186"/>
      <c r="K75" s="186"/>
      <c r="L75" s="186"/>
      <c r="M75" s="186"/>
      <c r="N75" s="186"/>
      <c r="O75" s="187"/>
      <c r="P75" s="186"/>
      <c r="Q75" s="186"/>
      <c r="R75" s="186"/>
      <c r="S75" s="186"/>
      <c r="T75" s="186"/>
      <c r="U75" s="186"/>
      <c r="V75" s="186"/>
      <c r="W75" s="186"/>
      <c r="X75" s="186"/>
      <c r="Y75" s="186"/>
    </row>
    <row r="76" spans="1:25" x14ac:dyDescent="0.2">
      <c r="A76" s="186"/>
      <c r="B76" s="186"/>
      <c r="C76" s="186"/>
      <c r="D76" s="228"/>
      <c r="E76" s="186"/>
      <c r="F76" s="12"/>
      <c r="G76" s="12"/>
      <c r="H76" s="186"/>
      <c r="I76" s="186"/>
      <c r="J76" s="186"/>
      <c r="K76" s="186"/>
      <c r="L76" s="186"/>
      <c r="M76" s="186"/>
      <c r="N76" s="186"/>
      <c r="O76" s="187"/>
      <c r="P76" s="186"/>
      <c r="Q76" s="186"/>
      <c r="R76" s="186"/>
      <c r="S76" s="186"/>
      <c r="T76" s="186"/>
      <c r="U76" s="186"/>
      <c r="V76" s="186"/>
      <c r="W76" s="186"/>
      <c r="X76" s="186"/>
      <c r="Y76" s="186"/>
    </row>
    <row r="77" spans="1:25" x14ac:dyDescent="0.2">
      <c r="A77" s="186"/>
      <c r="B77" s="186"/>
      <c r="C77" s="186"/>
      <c r="D77" s="228"/>
      <c r="E77" s="186"/>
      <c r="F77" s="12"/>
      <c r="G77" s="12"/>
      <c r="H77" s="186"/>
      <c r="I77" s="186"/>
      <c r="J77" s="186"/>
      <c r="K77" s="186"/>
      <c r="L77" s="186"/>
      <c r="M77" s="186"/>
      <c r="N77" s="186"/>
      <c r="O77" s="187"/>
      <c r="P77" s="186"/>
      <c r="Q77" s="186"/>
      <c r="R77" s="186"/>
      <c r="S77" s="186"/>
      <c r="T77" s="186"/>
      <c r="U77" s="186"/>
      <c r="V77" s="186"/>
      <c r="W77" s="186"/>
      <c r="X77" s="186"/>
      <c r="Y77" s="186"/>
    </row>
    <row r="78" spans="1:25" x14ac:dyDescent="0.2">
      <c r="A78" s="186"/>
      <c r="B78" s="186"/>
      <c r="C78" s="186"/>
      <c r="D78" s="228"/>
      <c r="E78" s="186"/>
      <c r="F78" s="12"/>
      <c r="G78" s="12"/>
      <c r="H78" s="186"/>
      <c r="I78" s="186"/>
      <c r="J78" s="186"/>
      <c r="K78" s="186"/>
      <c r="L78" s="186"/>
      <c r="M78" s="186"/>
      <c r="N78" s="186"/>
      <c r="O78" s="187"/>
      <c r="P78" s="186"/>
      <c r="Q78" s="186"/>
      <c r="R78" s="186"/>
      <c r="S78" s="186"/>
      <c r="T78" s="186"/>
      <c r="U78" s="186"/>
      <c r="V78" s="186"/>
      <c r="W78" s="186"/>
      <c r="X78" s="186"/>
      <c r="Y78" s="186"/>
    </row>
    <row r="79" spans="1:25" x14ac:dyDescent="0.2">
      <c r="A79" s="186"/>
      <c r="B79" s="186"/>
      <c r="C79" s="186"/>
      <c r="D79" s="228"/>
      <c r="E79" s="186"/>
      <c r="F79" s="12"/>
      <c r="G79" s="12"/>
      <c r="H79" s="186"/>
      <c r="I79" s="186"/>
      <c r="J79" s="186"/>
      <c r="K79" s="186"/>
      <c r="L79" s="186"/>
      <c r="M79" s="186"/>
      <c r="N79" s="186"/>
      <c r="O79" s="187"/>
      <c r="P79" s="186"/>
      <c r="Q79" s="186"/>
      <c r="R79" s="186"/>
      <c r="S79" s="186"/>
      <c r="T79" s="186"/>
      <c r="U79" s="186"/>
      <c r="V79" s="186"/>
      <c r="W79" s="186"/>
      <c r="X79" s="186"/>
      <c r="Y79" s="186"/>
    </row>
    <row r="80" spans="1:25" x14ac:dyDescent="0.2">
      <c r="A80" s="186"/>
      <c r="B80" s="186"/>
      <c r="C80" s="186"/>
      <c r="D80" s="228"/>
      <c r="E80" s="186"/>
      <c r="F80" s="12"/>
      <c r="G80" s="12"/>
      <c r="H80" s="186"/>
      <c r="I80" s="186"/>
      <c r="J80" s="186"/>
      <c r="K80" s="186"/>
      <c r="L80" s="186"/>
      <c r="M80" s="186"/>
      <c r="N80" s="186"/>
      <c r="O80" s="187"/>
      <c r="P80" s="186"/>
      <c r="Q80" s="186"/>
      <c r="R80" s="186"/>
      <c r="S80" s="186"/>
      <c r="T80" s="186"/>
      <c r="U80" s="186"/>
      <c r="V80" s="186"/>
      <c r="W80" s="186"/>
      <c r="X80" s="186"/>
      <c r="Y80" s="186"/>
    </row>
    <row r="81" spans="1:25" x14ac:dyDescent="0.2">
      <c r="A81" s="186"/>
      <c r="B81" s="186"/>
      <c r="C81" s="186"/>
      <c r="D81" s="228"/>
      <c r="E81" s="186"/>
      <c r="F81" s="12"/>
      <c r="G81" s="12"/>
      <c r="H81" s="186"/>
      <c r="I81" s="186"/>
      <c r="J81" s="186"/>
      <c r="K81" s="186"/>
      <c r="L81" s="186"/>
      <c r="M81" s="186"/>
      <c r="N81" s="186"/>
      <c r="O81" s="187"/>
      <c r="P81" s="186"/>
      <c r="Q81" s="186"/>
      <c r="R81" s="186"/>
      <c r="S81" s="186"/>
      <c r="T81" s="186"/>
      <c r="U81" s="186"/>
      <c r="V81" s="186"/>
      <c r="W81" s="186"/>
      <c r="X81" s="186"/>
      <c r="Y81" s="186"/>
    </row>
    <row r="82" spans="1:25" x14ac:dyDescent="0.2">
      <c r="A82" s="186"/>
      <c r="B82" s="186"/>
      <c r="C82" s="186"/>
      <c r="D82" s="228"/>
      <c r="E82" s="186"/>
      <c r="F82" s="12"/>
      <c r="G82" s="12"/>
      <c r="H82" s="186"/>
      <c r="I82" s="186"/>
      <c r="J82" s="186"/>
      <c r="K82" s="186"/>
      <c r="L82" s="186"/>
      <c r="M82" s="186"/>
      <c r="N82" s="186"/>
      <c r="O82" s="187"/>
      <c r="P82" s="186"/>
      <c r="Q82" s="186"/>
      <c r="R82" s="186"/>
      <c r="S82" s="186"/>
      <c r="T82" s="186"/>
      <c r="U82" s="186"/>
      <c r="V82" s="186"/>
      <c r="W82" s="186"/>
      <c r="X82" s="186"/>
      <c r="Y82" s="186"/>
    </row>
    <row r="83" spans="1:25" x14ac:dyDescent="0.2">
      <c r="A83" s="186"/>
      <c r="B83" s="186"/>
      <c r="C83" s="186"/>
      <c r="D83" s="228"/>
      <c r="E83" s="186"/>
      <c r="F83" s="12"/>
      <c r="G83" s="12"/>
      <c r="H83" s="186"/>
      <c r="I83" s="186"/>
      <c r="J83" s="186"/>
      <c r="K83" s="186"/>
      <c r="L83" s="186"/>
      <c r="M83" s="186"/>
      <c r="N83" s="186"/>
      <c r="O83" s="187"/>
      <c r="P83" s="186"/>
      <c r="Q83" s="186"/>
      <c r="R83" s="186"/>
      <c r="S83" s="186"/>
      <c r="T83" s="186"/>
      <c r="U83" s="186"/>
      <c r="V83" s="186"/>
      <c r="W83" s="186"/>
      <c r="X83" s="186"/>
      <c r="Y83" s="186"/>
    </row>
    <row r="84" spans="1:25" x14ac:dyDescent="0.2">
      <c r="A84" s="186"/>
      <c r="B84" s="186"/>
      <c r="C84" s="186"/>
      <c r="D84" s="228"/>
      <c r="E84" s="186"/>
      <c r="F84" s="12"/>
      <c r="G84" s="12"/>
      <c r="H84" s="186"/>
      <c r="I84" s="186"/>
      <c r="J84" s="186"/>
      <c r="K84" s="186"/>
      <c r="L84" s="186"/>
      <c r="M84" s="186"/>
      <c r="N84" s="186"/>
      <c r="O84" s="187"/>
      <c r="P84" s="186"/>
      <c r="Q84" s="186"/>
      <c r="R84" s="186"/>
      <c r="S84" s="186"/>
      <c r="T84" s="186"/>
      <c r="U84" s="186"/>
      <c r="V84" s="186"/>
      <c r="W84" s="186"/>
      <c r="X84" s="186"/>
      <c r="Y84" s="186"/>
    </row>
    <row r="85" spans="1:25" x14ac:dyDescent="0.2">
      <c r="A85" s="186"/>
      <c r="B85" s="186"/>
      <c r="C85" s="186"/>
      <c r="D85" s="228"/>
      <c r="E85" s="186"/>
      <c r="F85" s="12"/>
      <c r="G85" s="12"/>
      <c r="H85" s="186"/>
      <c r="I85" s="186"/>
      <c r="J85" s="186"/>
      <c r="K85" s="186"/>
      <c r="L85" s="186"/>
      <c r="M85" s="186"/>
      <c r="N85" s="186"/>
      <c r="O85" s="187"/>
      <c r="P85" s="186"/>
      <c r="Q85" s="186"/>
      <c r="R85" s="186"/>
      <c r="S85" s="186"/>
      <c r="T85" s="186"/>
      <c r="U85" s="186"/>
      <c r="V85" s="186"/>
      <c r="W85" s="186"/>
      <c r="X85" s="186"/>
      <c r="Y85" s="186"/>
    </row>
    <row r="86" spans="1:25" x14ac:dyDescent="0.2">
      <c r="A86" s="186"/>
      <c r="B86" s="186"/>
      <c r="C86" s="186"/>
      <c r="D86" s="228"/>
      <c r="E86" s="186"/>
      <c r="F86" s="12"/>
      <c r="G86" s="12"/>
      <c r="H86" s="186"/>
      <c r="I86" s="186"/>
      <c r="J86" s="186"/>
      <c r="K86" s="186"/>
      <c r="L86" s="186"/>
      <c r="M86" s="186"/>
      <c r="N86" s="186"/>
      <c r="O86" s="187"/>
      <c r="P86" s="186"/>
      <c r="Q86" s="186"/>
      <c r="R86" s="186"/>
      <c r="S86" s="186"/>
      <c r="T86" s="186"/>
      <c r="U86" s="186"/>
      <c r="V86" s="186"/>
      <c r="W86" s="186"/>
      <c r="X86" s="186"/>
      <c r="Y86" s="186"/>
    </row>
    <row r="87" spans="1:25" x14ac:dyDescent="0.2">
      <c r="A87" s="186"/>
      <c r="B87" s="186"/>
      <c r="C87" s="186"/>
      <c r="D87" s="228"/>
      <c r="E87" s="186"/>
      <c r="F87" s="12"/>
      <c r="G87" s="12"/>
      <c r="H87" s="186"/>
      <c r="I87" s="186"/>
      <c r="J87" s="186"/>
      <c r="K87" s="186"/>
      <c r="L87" s="186"/>
      <c r="M87" s="186"/>
      <c r="N87" s="186"/>
      <c r="O87" s="187"/>
      <c r="P87" s="186"/>
      <c r="Q87" s="186"/>
      <c r="R87" s="186"/>
      <c r="S87" s="186"/>
      <c r="T87" s="186"/>
      <c r="U87" s="186"/>
      <c r="V87" s="186"/>
      <c r="W87" s="186"/>
      <c r="X87" s="186"/>
      <c r="Y87" s="186"/>
    </row>
    <row r="88" spans="1:25" x14ac:dyDescent="0.2">
      <c r="A88" s="186"/>
      <c r="B88" s="186"/>
      <c r="C88" s="186"/>
      <c r="D88" s="228"/>
      <c r="E88" s="186"/>
      <c r="F88" s="12"/>
      <c r="G88" s="12"/>
      <c r="H88" s="186"/>
      <c r="I88" s="186"/>
      <c r="J88" s="186"/>
      <c r="K88" s="186"/>
      <c r="L88" s="186"/>
      <c r="M88" s="186"/>
      <c r="N88" s="186"/>
      <c r="O88" s="187"/>
      <c r="P88" s="186"/>
      <c r="Q88" s="186"/>
      <c r="R88" s="186"/>
      <c r="S88" s="186"/>
      <c r="T88" s="186"/>
      <c r="U88" s="186"/>
      <c r="V88" s="186"/>
      <c r="W88" s="186"/>
      <c r="X88" s="186"/>
      <c r="Y88" s="186"/>
    </row>
    <row r="89" spans="1:25" x14ac:dyDescent="0.2">
      <c r="A89" s="186"/>
      <c r="B89" s="186"/>
      <c r="C89" s="186"/>
      <c r="D89" s="228"/>
      <c r="E89" s="186"/>
      <c r="F89" s="12"/>
      <c r="G89" s="12"/>
      <c r="H89" s="186"/>
      <c r="I89" s="186"/>
      <c r="J89" s="186"/>
      <c r="K89" s="186"/>
      <c r="L89" s="186"/>
      <c r="M89" s="186"/>
      <c r="N89" s="186"/>
      <c r="O89" s="187"/>
      <c r="P89" s="186"/>
      <c r="Q89" s="186"/>
      <c r="R89" s="186"/>
      <c r="S89" s="186"/>
      <c r="T89" s="186"/>
      <c r="U89" s="186"/>
      <c r="V89" s="186"/>
      <c r="W89" s="186"/>
      <c r="X89" s="186"/>
      <c r="Y89" s="186"/>
    </row>
    <row r="90" spans="1:25" x14ac:dyDescent="0.2">
      <c r="A90" s="186"/>
      <c r="B90" s="186"/>
      <c r="C90" s="186"/>
      <c r="D90" s="228"/>
      <c r="E90" s="186"/>
      <c r="F90" s="12"/>
      <c r="G90" s="12"/>
      <c r="H90" s="186"/>
      <c r="I90" s="186"/>
      <c r="J90" s="186"/>
      <c r="K90" s="186"/>
      <c r="L90" s="186"/>
      <c r="M90" s="186"/>
      <c r="N90" s="186"/>
      <c r="O90" s="187"/>
      <c r="P90" s="186"/>
      <c r="Q90" s="186"/>
      <c r="R90" s="186"/>
      <c r="S90" s="186"/>
      <c r="T90" s="186"/>
      <c r="U90" s="186"/>
      <c r="V90" s="186"/>
      <c r="W90" s="186"/>
      <c r="X90" s="186"/>
      <c r="Y90" s="186"/>
    </row>
    <row r="91" spans="1:25" x14ac:dyDescent="0.2">
      <c r="A91" s="186"/>
      <c r="B91" s="186"/>
      <c r="C91" s="186"/>
      <c r="D91" s="228"/>
      <c r="E91" s="186"/>
      <c r="F91" s="12"/>
      <c r="G91" s="12"/>
      <c r="H91" s="186"/>
      <c r="I91" s="186"/>
      <c r="J91" s="186"/>
      <c r="K91" s="186"/>
      <c r="L91" s="186"/>
      <c r="M91" s="186"/>
      <c r="N91" s="186"/>
      <c r="O91" s="187"/>
      <c r="P91" s="186"/>
      <c r="Q91" s="186"/>
      <c r="R91" s="186"/>
      <c r="S91" s="186"/>
      <c r="T91" s="186"/>
      <c r="U91" s="186"/>
      <c r="V91" s="186"/>
      <c r="W91" s="186"/>
      <c r="X91" s="186"/>
      <c r="Y91" s="186"/>
    </row>
    <row r="92" spans="1:25" x14ac:dyDescent="0.2">
      <c r="A92" s="186"/>
      <c r="B92" s="186"/>
      <c r="C92" s="186"/>
      <c r="D92" s="228"/>
      <c r="E92" s="186"/>
      <c r="F92" s="12"/>
      <c r="G92" s="12"/>
      <c r="H92" s="186"/>
      <c r="I92" s="186"/>
      <c r="J92" s="186"/>
      <c r="K92" s="186"/>
      <c r="L92" s="186"/>
      <c r="M92" s="186"/>
      <c r="N92" s="186"/>
      <c r="O92" s="187"/>
      <c r="P92" s="186"/>
      <c r="Q92" s="186"/>
      <c r="R92" s="186"/>
      <c r="S92" s="186"/>
      <c r="T92" s="186"/>
      <c r="U92" s="186"/>
      <c r="V92" s="186"/>
      <c r="W92" s="186"/>
      <c r="X92" s="186"/>
      <c r="Y92" s="186"/>
    </row>
    <row r="93" spans="1:25" x14ac:dyDescent="0.2">
      <c r="A93" s="186"/>
      <c r="B93" s="186"/>
      <c r="C93" s="186"/>
      <c r="D93" s="228"/>
      <c r="E93" s="186"/>
      <c r="F93" s="12"/>
      <c r="G93" s="12"/>
      <c r="H93" s="186"/>
      <c r="I93" s="186"/>
      <c r="J93" s="186"/>
      <c r="K93" s="186"/>
      <c r="L93" s="186"/>
      <c r="M93" s="186"/>
      <c r="N93" s="186"/>
      <c r="O93" s="187"/>
      <c r="P93" s="186"/>
      <c r="Q93" s="186"/>
      <c r="R93" s="186"/>
      <c r="S93" s="186"/>
      <c r="T93" s="186"/>
      <c r="U93" s="186"/>
      <c r="V93" s="186"/>
      <c r="W93" s="186"/>
      <c r="X93" s="186"/>
      <c r="Y93" s="186"/>
    </row>
    <row r="94" spans="1:25" x14ac:dyDescent="0.2">
      <c r="A94" s="186"/>
      <c r="B94" s="186"/>
      <c r="C94" s="186"/>
      <c r="D94" s="228"/>
      <c r="E94" s="186"/>
      <c r="F94" s="12"/>
      <c r="G94" s="12"/>
      <c r="H94" s="186"/>
      <c r="I94" s="186"/>
      <c r="J94" s="186"/>
      <c r="K94" s="186"/>
      <c r="L94" s="186"/>
      <c r="M94" s="186"/>
      <c r="N94" s="186"/>
      <c r="O94" s="187"/>
      <c r="P94" s="186"/>
      <c r="Q94" s="186"/>
      <c r="R94" s="186"/>
      <c r="S94" s="186"/>
      <c r="T94" s="186"/>
      <c r="U94" s="186"/>
      <c r="V94" s="186"/>
      <c r="W94" s="186"/>
      <c r="X94" s="186"/>
      <c r="Y94" s="186"/>
    </row>
    <row r="95" spans="1:25" x14ac:dyDescent="0.2">
      <c r="A95" s="186"/>
      <c r="B95" s="186"/>
      <c r="C95" s="186"/>
      <c r="D95" s="228"/>
      <c r="E95" s="186"/>
      <c r="F95" s="12"/>
      <c r="G95" s="12"/>
      <c r="H95" s="186"/>
      <c r="I95" s="186"/>
      <c r="J95" s="186"/>
      <c r="K95" s="186"/>
      <c r="L95" s="186"/>
      <c r="M95" s="186"/>
      <c r="N95" s="186"/>
      <c r="O95" s="187"/>
      <c r="P95" s="186"/>
      <c r="Q95" s="186"/>
      <c r="R95" s="186"/>
      <c r="S95" s="186"/>
      <c r="T95" s="186"/>
      <c r="U95" s="186"/>
      <c r="V95" s="186"/>
      <c r="W95" s="186"/>
      <c r="X95" s="186"/>
      <c r="Y95" s="186"/>
    </row>
    <row r="96" spans="1:25" x14ac:dyDescent="0.2">
      <c r="A96" s="186"/>
      <c r="B96" s="186"/>
      <c r="C96" s="186"/>
      <c r="D96" s="228"/>
      <c r="E96" s="186"/>
      <c r="F96" s="12"/>
      <c r="G96" s="12"/>
      <c r="H96" s="186"/>
      <c r="I96" s="186"/>
      <c r="J96" s="186"/>
      <c r="K96" s="186"/>
      <c r="L96" s="186"/>
      <c r="M96" s="186"/>
      <c r="N96" s="186"/>
      <c r="O96" s="187"/>
      <c r="P96" s="186"/>
      <c r="Q96" s="186"/>
      <c r="R96" s="186"/>
      <c r="S96" s="186"/>
      <c r="T96" s="186"/>
      <c r="U96" s="186"/>
      <c r="V96" s="186"/>
      <c r="W96" s="186"/>
      <c r="X96" s="186"/>
      <c r="Y96" s="186"/>
    </row>
    <row r="97" spans="1:25" x14ac:dyDescent="0.2">
      <c r="A97" s="186"/>
      <c r="B97" s="186"/>
      <c r="C97" s="186"/>
      <c r="D97" s="228"/>
      <c r="E97" s="186"/>
      <c r="F97" s="12"/>
      <c r="G97" s="12"/>
      <c r="H97" s="186"/>
      <c r="I97" s="186"/>
      <c r="J97" s="186"/>
      <c r="K97" s="186"/>
      <c r="L97" s="186"/>
      <c r="M97" s="186"/>
      <c r="N97" s="186"/>
      <c r="O97" s="187"/>
      <c r="P97" s="186"/>
      <c r="Q97" s="186"/>
      <c r="R97" s="186"/>
      <c r="S97" s="186"/>
      <c r="T97" s="186"/>
      <c r="U97" s="186"/>
      <c r="V97" s="186"/>
      <c r="W97" s="186"/>
      <c r="X97" s="186"/>
      <c r="Y97" s="186"/>
    </row>
    <row r="98" spans="1:25" x14ac:dyDescent="0.2">
      <c r="A98" s="186"/>
      <c r="B98" s="186"/>
      <c r="C98" s="186"/>
      <c r="D98" s="228"/>
      <c r="E98" s="186"/>
      <c r="F98" s="12"/>
      <c r="G98" s="12"/>
      <c r="H98" s="186"/>
      <c r="I98" s="186"/>
      <c r="J98" s="186"/>
      <c r="K98" s="186"/>
      <c r="L98" s="186"/>
      <c r="M98" s="186"/>
      <c r="N98" s="186"/>
      <c r="O98" s="187"/>
      <c r="P98" s="186"/>
      <c r="Q98" s="186"/>
      <c r="R98" s="186"/>
      <c r="S98" s="186"/>
      <c r="T98" s="186"/>
      <c r="U98" s="186"/>
      <c r="V98" s="186"/>
      <c r="W98" s="186"/>
      <c r="X98" s="186"/>
      <c r="Y98" s="186"/>
    </row>
    <row r="99" spans="1:25" x14ac:dyDescent="0.2">
      <c r="A99" s="186"/>
      <c r="B99" s="186"/>
      <c r="C99" s="186"/>
      <c r="D99" s="228"/>
      <c r="E99" s="186"/>
      <c r="F99" s="12"/>
      <c r="G99" s="12"/>
      <c r="H99" s="186"/>
      <c r="I99" s="186"/>
      <c r="J99" s="186"/>
      <c r="K99" s="186"/>
      <c r="L99" s="186"/>
      <c r="M99" s="186"/>
      <c r="N99" s="186"/>
      <c r="O99" s="187"/>
      <c r="P99" s="186"/>
      <c r="Q99" s="186"/>
      <c r="R99" s="186"/>
      <c r="S99" s="186"/>
      <c r="T99" s="186"/>
      <c r="U99" s="186"/>
      <c r="V99" s="186"/>
      <c r="W99" s="186"/>
      <c r="X99" s="186"/>
      <c r="Y99" s="186"/>
    </row>
    <row r="100" spans="1:25" x14ac:dyDescent="0.2">
      <c r="A100" s="186"/>
      <c r="B100" s="186"/>
      <c r="C100" s="186"/>
      <c r="D100" s="228"/>
      <c r="E100" s="186"/>
      <c r="F100" s="12"/>
      <c r="G100" s="12"/>
      <c r="H100" s="186"/>
      <c r="I100" s="186"/>
      <c r="J100" s="186"/>
      <c r="K100" s="186"/>
      <c r="L100" s="186"/>
      <c r="M100" s="186"/>
      <c r="N100" s="186"/>
      <c r="O100" s="187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</row>
    <row r="101" spans="1:25" x14ac:dyDescent="0.2">
      <c r="A101" s="186"/>
      <c r="B101" s="186"/>
      <c r="C101" s="186"/>
      <c r="D101" s="228"/>
      <c r="E101" s="186"/>
      <c r="F101" s="12"/>
      <c r="G101" s="12"/>
      <c r="H101" s="186"/>
      <c r="I101" s="186"/>
      <c r="J101" s="186"/>
      <c r="K101" s="186"/>
      <c r="L101" s="186"/>
      <c r="M101" s="186"/>
      <c r="N101" s="186"/>
      <c r="O101" s="187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</row>
    <row r="102" spans="1:25" x14ac:dyDescent="0.2">
      <c r="A102" s="186"/>
      <c r="B102" s="186"/>
      <c r="C102" s="186"/>
      <c r="D102" s="228"/>
      <c r="E102" s="186"/>
      <c r="F102" s="12"/>
      <c r="G102" s="12"/>
      <c r="H102" s="186"/>
      <c r="I102" s="186"/>
      <c r="J102" s="186"/>
      <c r="K102" s="186"/>
      <c r="L102" s="186"/>
      <c r="M102" s="186"/>
      <c r="N102" s="186"/>
      <c r="O102" s="187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</row>
    <row r="103" spans="1:25" x14ac:dyDescent="0.2">
      <c r="A103" s="186"/>
      <c r="B103" s="186"/>
      <c r="C103" s="186"/>
      <c r="D103" s="228"/>
      <c r="E103" s="186"/>
      <c r="F103" s="12"/>
      <c r="G103" s="12"/>
      <c r="H103" s="186"/>
      <c r="I103" s="186"/>
      <c r="J103" s="186"/>
      <c r="K103" s="186"/>
      <c r="L103" s="186"/>
      <c r="M103" s="186"/>
      <c r="N103" s="186"/>
      <c r="O103" s="187"/>
      <c r="P103" s="186"/>
      <c r="Q103" s="186"/>
      <c r="R103" s="186"/>
      <c r="S103" s="186"/>
      <c r="T103" s="186"/>
      <c r="U103" s="186"/>
      <c r="V103" s="186"/>
      <c r="W103" s="186"/>
      <c r="X103" s="186"/>
      <c r="Y103" s="186"/>
    </row>
    <row r="104" spans="1:25" x14ac:dyDescent="0.2">
      <c r="A104" s="186"/>
      <c r="B104" s="186"/>
      <c r="C104" s="186"/>
      <c r="D104" s="228"/>
      <c r="E104" s="186"/>
      <c r="F104" s="12"/>
      <c r="G104" s="12"/>
      <c r="H104" s="186"/>
      <c r="I104" s="186"/>
      <c r="J104" s="186"/>
      <c r="K104" s="186"/>
      <c r="L104" s="186"/>
      <c r="M104" s="186"/>
      <c r="N104" s="186"/>
      <c r="O104" s="187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</row>
    <row r="105" spans="1:25" x14ac:dyDescent="0.2">
      <c r="A105" s="186"/>
      <c r="B105" s="186"/>
      <c r="C105" s="186"/>
      <c r="D105" s="228"/>
      <c r="E105" s="186"/>
      <c r="F105" s="12"/>
      <c r="G105" s="12"/>
      <c r="H105" s="186"/>
      <c r="I105" s="186"/>
      <c r="J105" s="186"/>
      <c r="K105" s="186"/>
      <c r="L105" s="186"/>
      <c r="M105" s="186"/>
      <c r="N105" s="186"/>
      <c r="O105" s="187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</row>
    <row r="106" spans="1:25" x14ac:dyDescent="0.2">
      <c r="A106" s="186"/>
      <c r="B106" s="186"/>
      <c r="C106" s="186"/>
      <c r="D106" s="228"/>
      <c r="E106" s="186"/>
      <c r="F106" s="12"/>
      <c r="G106" s="12"/>
      <c r="H106" s="186"/>
      <c r="I106" s="186"/>
      <c r="J106" s="186"/>
      <c r="K106" s="186"/>
      <c r="L106" s="186"/>
      <c r="M106" s="186"/>
      <c r="N106" s="186"/>
      <c r="O106" s="187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</row>
    <row r="107" spans="1:25" x14ac:dyDescent="0.2">
      <c r="A107" s="186"/>
      <c r="B107" s="186"/>
      <c r="C107" s="186"/>
      <c r="D107" s="228"/>
      <c r="E107" s="186"/>
      <c r="F107" s="12"/>
      <c r="G107" s="12"/>
      <c r="H107" s="186"/>
      <c r="I107" s="186"/>
      <c r="J107" s="186"/>
      <c r="K107" s="186"/>
      <c r="L107" s="186"/>
      <c r="M107" s="186"/>
      <c r="N107" s="186"/>
      <c r="O107" s="187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</row>
    <row r="108" spans="1:25" x14ac:dyDescent="0.2">
      <c r="A108" s="186"/>
      <c r="B108" s="186"/>
      <c r="C108" s="186"/>
      <c r="D108" s="228"/>
      <c r="E108" s="186"/>
      <c r="F108" s="12"/>
      <c r="G108" s="12"/>
      <c r="H108" s="186"/>
      <c r="I108" s="186"/>
      <c r="J108" s="186"/>
      <c r="K108" s="186"/>
      <c r="L108" s="186"/>
      <c r="M108" s="186"/>
      <c r="N108" s="186"/>
      <c r="O108" s="187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</row>
    <row r="109" spans="1:25" x14ac:dyDescent="0.2">
      <c r="A109" s="186"/>
      <c r="B109" s="186"/>
      <c r="C109" s="186"/>
      <c r="D109" s="228"/>
      <c r="E109" s="186"/>
      <c r="F109" s="12"/>
      <c r="G109" s="12"/>
      <c r="H109" s="186"/>
      <c r="I109" s="186"/>
      <c r="J109" s="186"/>
      <c r="K109" s="186"/>
      <c r="L109" s="186"/>
      <c r="M109" s="186"/>
      <c r="N109" s="186"/>
      <c r="O109" s="187"/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</row>
    <row r="110" spans="1:25" x14ac:dyDescent="0.2">
      <c r="A110" s="186"/>
      <c r="B110" s="186"/>
      <c r="C110" s="186"/>
      <c r="D110" s="228"/>
      <c r="E110" s="186"/>
      <c r="F110" s="12"/>
      <c r="G110" s="12"/>
      <c r="H110" s="186"/>
      <c r="I110" s="186"/>
      <c r="J110" s="186"/>
      <c r="K110" s="186"/>
      <c r="L110" s="186"/>
      <c r="M110" s="186"/>
      <c r="N110" s="186"/>
      <c r="O110" s="187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</row>
    <row r="111" spans="1:25" x14ac:dyDescent="0.2">
      <c r="A111" s="186"/>
      <c r="B111" s="186"/>
      <c r="C111" s="186"/>
      <c r="D111" s="228"/>
      <c r="E111" s="186"/>
      <c r="F111" s="12"/>
      <c r="G111" s="12"/>
      <c r="H111" s="186"/>
      <c r="I111" s="186"/>
      <c r="J111" s="186"/>
      <c r="K111" s="186"/>
      <c r="L111" s="186"/>
      <c r="M111" s="186"/>
      <c r="N111" s="186"/>
      <c r="O111" s="187"/>
      <c r="P111" s="186"/>
      <c r="Q111" s="186"/>
      <c r="R111" s="186"/>
      <c r="S111" s="186"/>
      <c r="T111" s="186"/>
      <c r="U111" s="186"/>
      <c r="V111" s="186"/>
      <c r="W111" s="186"/>
      <c r="X111" s="186"/>
      <c r="Y111" s="186"/>
    </row>
    <row r="112" spans="1:25" x14ac:dyDescent="0.2">
      <c r="A112" s="186"/>
      <c r="B112" s="186"/>
      <c r="C112" s="186"/>
      <c r="D112" s="228"/>
      <c r="E112" s="186"/>
      <c r="F112" s="12"/>
      <c r="G112" s="12"/>
      <c r="H112" s="186"/>
      <c r="I112" s="186"/>
      <c r="J112" s="186"/>
      <c r="K112" s="186"/>
      <c r="L112" s="186"/>
      <c r="M112" s="186"/>
      <c r="N112" s="186"/>
      <c r="O112" s="187"/>
      <c r="P112" s="186"/>
      <c r="Q112" s="186"/>
      <c r="R112" s="186"/>
      <c r="S112" s="186"/>
      <c r="T112" s="186"/>
      <c r="U112" s="186"/>
      <c r="V112" s="186"/>
      <c r="W112" s="186"/>
      <c r="X112" s="186"/>
      <c r="Y112" s="186"/>
    </row>
    <row r="113" spans="1:25" x14ac:dyDescent="0.2">
      <c r="A113" s="186"/>
      <c r="B113" s="186"/>
      <c r="C113" s="186"/>
      <c r="D113" s="228"/>
      <c r="E113" s="186"/>
      <c r="F113" s="12"/>
      <c r="G113" s="12"/>
      <c r="H113" s="186"/>
      <c r="I113" s="186"/>
      <c r="J113" s="186"/>
      <c r="K113" s="186"/>
      <c r="L113" s="186"/>
      <c r="M113" s="186"/>
      <c r="N113" s="186"/>
      <c r="O113" s="187"/>
      <c r="P113" s="186"/>
      <c r="Q113" s="186"/>
      <c r="R113" s="186"/>
      <c r="S113" s="186"/>
      <c r="T113" s="186"/>
      <c r="U113" s="186"/>
      <c r="V113" s="186"/>
      <c r="W113" s="186"/>
      <c r="X113" s="186"/>
      <c r="Y113" s="186"/>
    </row>
    <row r="114" spans="1:25" x14ac:dyDescent="0.2">
      <c r="A114" s="186"/>
      <c r="B114" s="186"/>
      <c r="C114" s="186"/>
      <c r="D114" s="228"/>
      <c r="E114" s="186"/>
      <c r="F114" s="12"/>
      <c r="G114" s="12"/>
      <c r="H114" s="186"/>
      <c r="I114" s="186"/>
      <c r="J114" s="186"/>
      <c r="K114" s="186"/>
      <c r="L114" s="186"/>
      <c r="M114" s="186"/>
      <c r="N114" s="186"/>
      <c r="O114" s="187"/>
      <c r="P114" s="186"/>
      <c r="Q114" s="186"/>
      <c r="R114" s="186"/>
      <c r="S114" s="186"/>
      <c r="T114" s="186"/>
      <c r="U114" s="186"/>
      <c r="V114" s="186"/>
      <c r="W114" s="186"/>
      <c r="X114" s="186"/>
      <c r="Y114" s="186"/>
    </row>
    <row r="115" spans="1:25" x14ac:dyDescent="0.2">
      <c r="A115" s="186"/>
      <c r="B115" s="186"/>
      <c r="C115" s="186"/>
      <c r="D115" s="228"/>
      <c r="E115" s="186"/>
      <c r="F115" s="12"/>
      <c r="G115" s="12"/>
      <c r="H115" s="186"/>
      <c r="I115" s="186"/>
      <c r="J115" s="186"/>
      <c r="K115" s="186"/>
      <c r="L115" s="186"/>
      <c r="M115" s="186"/>
      <c r="N115" s="186"/>
      <c r="O115" s="187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</row>
    <row r="116" spans="1:25" x14ac:dyDescent="0.2">
      <c r="A116" s="186"/>
      <c r="B116" s="186"/>
      <c r="C116" s="186"/>
      <c r="D116" s="228"/>
      <c r="E116" s="186"/>
      <c r="F116" s="12"/>
      <c r="G116" s="12"/>
      <c r="H116" s="186"/>
      <c r="I116" s="186"/>
      <c r="J116" s="186"/>
      <c r="K116" s="186"/>
      <c r="L116" s="186"/>
      <c r="M116" s="186"/>
      <c r="N116" s="186"/>
      <c r="O116" s="187"/>
      <c r="P116" s="186"/>
      <c r="Q116" s="186"/>
      <c r="R116" s="186"/>
      <c r="S116" s="186"/>
      <c r="T116" s="186"/>
      <c r="U116" s="186"/>
      <c r="V116" s="186"/>
      <c r="W116" s="186"/>
      <c r="X116" s="186"/>
      <c r="Y116" s="186"/>
    </row>
    <row r="117" spans="1:25" x14ac:dyDescent="0.2">
      <c r="A117" s="186"/>
      <c r="B117" s="186"/>
      <c r="C117" s="186"/>
      <c r="D117" s="228"/>
      <c r="E117" s="186"/>
      <c r="F117" s="12"/>
      <c r="G117" s="12"/>
      <c r="H117" s="186"/>
      <c r="I117" s="186"/>
      <c r="J117" s="186"/>
      <c r="K117" s="186"/>
      <c r="L117" s="186"/>
      <c r="M117" s="186"/>
      <c r="N117" s="186"/>
      <c r="O117" s="187"/>
      <c r="P117" s="186"/>
      <c r="Q117" s="186"/>
      <c r="R117" s="186"/>
      <c r="S117" s="186"/>
      <c r="T117" s="186"/>
      <c r="U117" s="186"/>
      <c r="V117" s="186"/>
      <c r="W117" s="186"/>
      <c r="X117" s="186"/>
      <c r="Y117" s="186"/>
    </row>
    <row r="118" spans="1:25" x14ac:dyDescent="0.2">
      <c r="A118" s="186"/>
      <c r="B118" s="186"/>
      <c r="C118" s="186"/>
      <c r="D118" s="228"/>
      <c r="E118" s="186"/>
      <c r="F118" s="12"/>
      <c r="G118" s="12"/>
      <c r="H118" s="186"/>
      <c r="I118" s="186"/>
      <c r="J118" s="186"/>
      <c r="K118" s="186"/>
      <c r="L118" s="186"/>
      <c r="M118" s="186"/>
      <c r="N118" s="186"/>
      <c r="O118" s="187"/>
      <c r="P118" s="186"/>
      <c r="Q118" s="186"/>
      <c r="R118" s="186"/>
      <c r="S118" s="186"/>
      <c r="T118" s="186"/>
      <c r="U118" s="186"/>
      <c r="V118" s="186"/>
      <c r="W118" s="186"/>
      <c r="X118" s="186"/>
      <c r="Y118" s="186"/>
    </row>
    <row r="119" spans="1:25" x14ac:dyDescent="0.2">
      <c r="A119" s="186"/>
      <c r="B119" s="186"/>
      <c r="C119" s="186"/>
      <c r="D119" s="228"/>
      <c r="E119" s="186"/>
      <c r="F119" s="12"/>
      <c r="G119" s="12"/>
      <c r="H119" s="186"/>
      <c r="I119" s="186"/>
      <c r="J119" s="186"/>
      <c r="K119" s="186"/>
      <c r="L119" s="186"/>
      <c r="M119" s="186"/>
      <c r="N119" s="186"/>
      <c r="O119" s="187"/>
      <c r="P119" s="186"/>
      <c r="Q119" s="186"/>
      <c r="R119" s="186"/>
      <c r="S119" s="186"/>
      <c r="T119" s="186"/>
      <c r="U119" s="186"/>
      <c r="V119" s="186"/>
      <c r="W119" s="186"/>
      <c r="X119" s="186"/>
      <c r="Y119" s="186"/>
    </row>
    <row r="120" spans="1:25" x14ac:dyDescent="0.2">
      <c r="A120" s="186"/>
      <c r="B120" s="186"/>
      <c r="C120" s="186"/>
      <c r="D120" s="228"/>
      <c r="E120" s="186"/>
      <c r="F120" s="12"/>
      <c r="G120" s="12"/>
      <c r="H120" s="186"/>
      <c r="I120" s="186"/>
      <c r="J120" s="186"/>
      <c r="K120" s="186"/>
      <c r="L120" s="186"/>
      <c r="M120" s="186"/>
      <c r="N120" s="186"/>
      <c r="O120" s="187"/>
      <c r="P120" s="186"/>
      <c r="Q120" s="186"/>
      <c r="R120" s="186"/>
      <c r="S120" s="186"/>
      <c r="T120" s="186"/>
      <c r="U120" s="186"/>
      <c r="V120" s="186"/>
      <c r="W120" s="186"/>
      <c r="X120" s="186"/>
      <c r="Y120" s="186"/>
    </row>
    <row r="121" spans="1:25" x14ac:dyDescent="0.2">
      <c r="A121" s="186"/>
      <c r="B121" s="186"/>
      <c r="C121" s="186"/>
      <c r="D121" s="228"/>
      <c r="E121" s="186"/>
      <c r="F121" s="12"/>
      <c r="G121" s="12"/>
      <c r="H121" s="186"/>
      <c r="I121" s="186"/>
      <c r="J121" s="186"/>
      <c r="K121" s="186"/>
      <c r="L121" s="186"/>
      <c r="M121" s="186"/>
      <c r="N121" s="186"/>
      <c r="O121" s="187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</row>
    <row r="122" spans="1:25" x14ac:dyDescent="0.2">
      <c r="A122" s="186"/>
      <c r="B122" s="186"/>
      <c r="C122" s="186"/>
      <c r="D122" s="228"/>
      <c r="E122" s="186"/>
      <c r="F122" s="12"/>
      <c r="G122" s="12"/>
      <c r="H122" s="186"/>
      <c r="I122" s="186"/>
      <c r="J122" s="186"/>
      <c r="K122" s="186"/>
      <c r="L122" s="186"/>
      <c r="M122" s="186"/>
      <c r="N122" s="186"/>
      <c r="O122" s="187"/>
      <c r="P122" s="186"/>
      <c r="Q122" s="186"/>
      <c r="R122" s="186"/>
      <c r="S122" s="186"/>
      <c r="T122" s="186"/>
      <c r="U122" s="186"/>
      <c r="V122" s="186"/>
      <c r="W122" s="186"/>
      <c r="X122" s="186"/>
      <c r="Y122" s="186"/>
    </row>
    <row r="123" spans="1:25" x14ac:dyDescent="0.2">
      <c r="A123" s="186"/>
      <c r="B123" s="186"/>
      <c r="C123" s="186"/>
      <c r="D123" s="228"/>
      <c r="E123" s="186"/>
      <c r="F123" s="12"/>
      <c r="G123" s="12"/>
      <c r="H123" s="186"/>
      <c r="I123" s="186"/>
      <c r="J123" s="186"/>
      <c r="K123" s="186"/>
      <c r="L123" s="186"/>
      <c r="M123" s="186"/>
      <c r="N123" s="186"/>
      <c r="O123" s="187"/>
      <c r="P123" s="186"/>
      <c r="Q123" s="186"/>
      <c r="R123" s="186"/>
      <c r="S123" s="186"/>
      <c r="T123" s="186"/>
      <c r="U123" s="186"/>
      <c r="V123" s="186"/>
      <c r="W123" s="186"/>
      <c r="X123" s="186"/>
      <c r="Y123" s="186"/>
    </row>
    <row r="124" spans="1:25" x14ac:dyDescent="0.2">
      <c r="A124" s="186"/>
      <c r="B124" s="186"/>
      <c r="C124" s="186"/>
      <c r="D124" s="228"/>
      <c r="E124" s="186"/>
      <c r="F124" s="12"/>
      <c r="G124" s="12"/>
      <c r="H124" s="186"/>
      <c r="I124" s="186"/>
      <c r="J124" s="186"/>
      <c r="K124" s="186"/>
      <c r="L124" s="186"/>
      <c r="M124" s="186"/>
      <c r="N124" s="186"/>
      <c r="O124" s="187"/>
      <c r="P124" s="186"/>
      <c r="Q124" s="186"/>
      <c r="R124" s="186"/>
      <c r="S124" s="186"/>
      <c r="T124" s="186"/>
      <c r="U124" s="186"/>
      <c r="V124" s="186"/>
      <c r="W124" s="186"/>
      <c r="X124" s="186"/>
      <c r="Y124" s="186"/>
    </row>
    <row r="125" spans="1:25" x14ac:dyDescent="0.2">
      <c r="A125" s="186"/>
      <c r="B125" s="186"/>
      <c r="C125" s="186"/>
      <c r="D125" s="228"/>
      <c r="E125" s="186"/>
      <c r="F125" s="12"/>
      <c r="G125" s="12"/>
      <c r="H125" s="186"/>
      <c r="I125" s="186"/>
      <c r="J125" s="186"/>
      <c r="K125" s="186"/>
      <c r="L125" s="186"/>
      <c r="M125" s="186"/>
      <c r="N125" s="186"/>
      <c r="O125" s="187"/>
      <c r="P125" s="186"/>
      <c r="Q125" s="186"/>
      <c r="R125" s="186"/>
      <c r="S125" s="186"/>
      <c r="T125" s="186"/>
      <c r="U125" s="186"/>
      <c r="V125" s="186"/>
      <c r="W125" s="186"/>
      <c r="X125" s="186"/>
      <c r="Y125" s="186"/>
    </row>
    <row r="126" spans="1:25" x14ac:dyDescent="0.2">
      <c r="A126" s="186"/>
      <c r="B126" s="186"/>
      <c r="C126" s="186"/>
      <c r="D126" s="228"/>
      <c r="E126" s="186"/>
      <c r="F126" s="12"/>
      <c r="G126" s="12"/>
      <c r="H126" s="186"/>
      <c r="I126" s="186"/>
      <c r="J126" s="186"/>
      <c r="K126" s="186"/>
      <c r="L126" s="186"/>
      <c r="M126" s="186"/>
      <c r="N126" s="186"/>
      <c r="O126" s="187"/>
      <c r="P126" s="186"/>
      <c r="Q126" s="186"/>
      <c r="R126" s="186"/>
      <c r="S126" s="186"/>
      <c r="T126" s="186"/>
      <c r="U126" s="186"/>
      <c r="V126" s="186"/>
      <c r="W126" s="186"/>
      <c r="X126" s="186"/>
      <c r="Y126" s="186"/>
    </row>
    <row r="127" spans="1:25" x14ac:dyDescent="0.2">
      <c r="A127" s="186"/>
      <c r="B127" s="186"/>
      <c r="C127" s="186"/>
      <c r="D127" s="228"/>
      <c r="E127" s="186"/>
      <c r="F127" s="12"/>
      <c r="G127" s="12"/>
      <c r="H127" s="186"/>
      <c r="I127" s="186"/>
      <c r="J127" s="186"/>
      <c r="K127" s="186"/>
      <c r="L127" s="186"/>
      <c r="M127" s="186"/>
      <c r="N127" s="186"/>
      <c r="O127" s="187"/>
      <c r="P127" s="186"/>
      <c r="Q127" s="186"/>
      <c r="R127" s="186"/>
      <c r="S127" s="186"/>
      <c r="T127" s="186"/>
      <c r="U127" s="186"/>
      <c r="V127" s="186"/>
      <c r="W127" s="186"/>
      <c r="X127" s="186"/>
      <c r="Y127" s="186"/>
    </row>
    <row r="128" spans="1:25" x14ac:dyDescent="0.2">
      <c r="A128" s="186"/>
      <c r="B128" s="186"/>
      <c r="C128" s="186"/>
      <c r="D128" s="228"/>
      <c r="E128" s="186"/>
      <c r="F128" s="12"/>
      <c r="G128" s="12"/>
      <c r="H128" s="186"/>
      <c r="I128" s="186"/>
      <c r="J128" s="186"/>
      <c r="K128" s="186"/>
      <c r="L128" s="186"/>
      <c r="M128" s="186"/>
      <c r="N128" s="186"/>
      <c r="O128" s="187"/>
      <c r="P128" s="186"/>
      <c r="Q128" s="186"/>
      <c r="R128" s="186"/>
      <c r="S128" s="186"/>
      <c r="T128" s="186"/>
      <c r="U128" s="186"/>
      <c r="V128" s="186"/>
      <c r="W128" s="186"/>
      <c r="X128" s="186"/>
      <c r="Y128" s="186"/>
    </row>
    <row r="129" spans="1:25" x14ac:dyDescent="0.2">
      <c r="A129" s="186"/>
      <c r="B129" s="186"/>
      <c r="C129" s="186"/>
      <c r="D129" s="228"/>
      <c r="E129" s="186"/>
      <c r="F129" s="12"/>
      <c r="G129" s="12"/>
      <c r="H129" s="186"/>
      <c r="I129" s="186"/>
      <c r="J129" s="186"/>
      <c r="K129" s="186"/>
      <c r="L129" s="186"/>
      <c r="M129" s="186"/>
      <c r="N129" s="186"/>
      <c r="O129" s="187"/>
      <c r="P129" s="186"/>
      <c r="Q129" s="186"/>
      <c r="R129" s="186"/>
      <c r="S129" s="186"/>
      <c r="T129" s="186"/>
      <c r="U129" s="186"/>
      <c r="V129" s="186"/>
      <c r="W129" s="186"/>
      <c r="X129" s="186"/>
      <c r="Y129" s="186"/>
    </row>
    <row r="130" spans="1:25" x14ac:dyDescent="0.2">
      <c r="A130" s="186"/>
      <c r="B130" s="186"/>
      <c r="C130" s="186"/>
      <c r="D130" s="228"/>
      <c r="E130" s="186"/>
      <c r="F130" s="12"/>
      <c r="G130" s="12"/>
      <c r="H130" s="186"/>
      <c r="I130" s="186"/>
      <c r="J130" s="186"/>
      <c r="K130" s="186"/>
      <c r="L130" s="186"/>
      <c r="M130" s="186"/>
      <c r="N130" s="186"/>
      <c r="O130" s="187"/>
      <c r="P130" s="186"/>
      <c r="Q130" s="186"/>
      <c r="R130" s="186"/>
      <c r="S130" s="186"/>
      <c r="T130" s="186"/>
      <c r="U130" s="186"/>
      <c r="V130" s="186"/>
      <c r="W130" s="186"/>
      <c r="X130" s="186"/>
      <c r="Y130" s="186"/>
    </row>
    <row r="131" spans="1:25" x14ac:dyDescent="0.2">
      <c r="A131" s="186"/>
      <c r="B131" s="186"/>
      <c r="C131" s="186"/>
      <c r="D131" s="228"/>
      <c r="E131" s="186"/>
      <c r="F131" s="12"/>
      <c r="G131" s="12"/>
      <c r="H131" s="186"/>
      <c r="I131" s="186"/>
      <c r="J131" s="186"/>
      <c r="K131" s="186"/>
      <c r="L131" s="186"/>
      <c r="M131" s="186"/>
      <c r="N131" s="186"/>
      <c r="O131" s="187"/>
      <c r="P131" s="186"/>
      <c r="Q131" s="186"/>
      <c r="R131" s="186"/>
      <c r="S131" s="186"/>
      <c r="T131" s="186"/>
      <c r="U131" s="186"/>
      <c r="V131" s="186"/>
      <c r="W131" s="186"/>
      <c r="X131" s="186"/>
      <c r="Y131" s="186"/>
    </row>
    <row r="132" spans="1:25" x14ac:dyDescent="0.2">
      <c r="A132" s="186"/>
      <c r="B132" s="186"/>
      <c r="C132" s="186"/>
      <c r="D132" s="186"/>
      <c r="E132" s="186"/>
      <c r="F132" s="12"/>
      <c r="G132" s="12"/>
      <c r="H132" s="186"/>
      <c r="I132" s="186"/>
      <c r="J132" s="186"/>
      <c r="K132" s="186"/>
      <c r="L132" s="186"/>
      <c r="M132" s="186"/>
      <c r="N132" s="186"/>
      <c r="O132" s="187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</row>
    <row r="133" spans="1:25" x14ac:dyDescent="0.2">
      <c r="A133" s="186"/>
      <c r="B133" s="186"/>
      <c r="C133" s="186"/>
      <c r="D133" s="186"/>
      <c r="E133" s="186"/>
      <c r="F133" s="12"/>
      <c r="G133" s="12"/>
      <c r="H133" s="186"/>
      <c r="I133" s="186"/>
      <c r="J133" s="186"/>
      <c r="K133" s="186"/>
      <c r="L133" s="186"/>
      <c r="M133" s="186"/>
      <c r="N133" s="186"/>
      <c r="O133" s="187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</row>
    <row r="134" spans="1:25" x14ac:dyDescent="0.2">
      <c r="A134" s="186"/>
      <c r="B134" s="186"/>
      <c r="C134" s="186"/>
      <c r="D134" s="186"/>
      <c r="E134" s="186"/>
      <c r="F134" s="12"/>
      <c r="G134" s="12"/>
      <c r="H134" s="186"/>
      <c r="I134" s="186"/>
      <c r="J134" s="186"/>
      <c r="K134" s="186"/>
      <c r="L134" s="186"/>
      <c r="M134" s="186"/>
      <c r="N134" s="186"/>
      <c r="O134" s="187"/>
      <c r="P134" s="186"/>
      <c r="Q134" s="186"/>
      <c r="R134" s="186"/>
      <c r="S134" s="186"/>
      <c r="T134" s="186"/>
      <c r="U134" s="186"/>
      <c r="V134" s="186"/>
      <c r="W134" s="186"/>
      <c r="X134" s="186"/>
      <c r="Y134" s="186"/>
    </row>
    <row r="135" spans="1:25" x14ac:dyDescent="0.2">
      <c r="A135" s="186"/>
      <c r="B135" s="186"/>
      <c r="C135" s="186"/>
      <c r="D135" s="186"/>
      <c r="E135" s="186"/>
      <c r="F135" s="12"/>
      <c r="G135" s="12"/>
      <c r="H135" s="186"/>
      <c r="I135" s="186"/>
      <c r="J135" s="186"/>
      <c r="K135" s="186"/>
      <c r="L135" s="186"/>
      <c r="M135" s="186"/>
      <c r="N135" s="186"/>
      <c r="O135" s="187"/>
      <c r="P135" s="186"/>
      <c r="Q135" s="186"/>
      <c r="R135" s="186"/>
      <c r="S135" s="186"/>
      <c r="T135" s="186"/>
      <c r="U135" s="186"/>
      <c r="V135" s="186"/>
      <c r="W135" s="186"/>
      <c r="X135" s="186"/>
      <c r="Y135" s="186"/>
    </row>
    <row r="136" spans="1:25" x14ac:dyDescent="0.2">
      <c r="A136" s="186"/>
      <c r="B136" s="186"/>
      <c r="C136" s="186"/>
      <c r="D136" s="186"/>
      <c r="E136" s="186"/>
      <c r="F136" s="12"/>
      <c r="G136" s="12"/>
      <c r="H136" s="186"/>
      <c r="I136" s="186"/>
      <c r="J136" s="186"/>
      <c r="K136" s="186"/>
      <c r="L136" s="186"/>
      <c r="M136" s="186"/>
      <c r="N136" s="186"/>
      <c r="O136" s="187"/>
      <c r="P136" s="186"/>
      <c r="Q136" s="186"/>
      <c r="R136" s="186"/>
      <c r="S136" s="186"/>
      <c r="T136" s="186"/>
      <c r="U136" s="186"/>
      <c r="V136" s="186"/>
      <c r="W136" s="186"/>
      <c r="X136" s="186"/>
      <c r="Y136" s="186"/>
    </row>
    <row r="137" spans="1:25" x14ac:dyDescent="0.2">
      <c r="A137" s="186"/>
      <c r="B137" s="186"/>
      <c r="C137" s="186"/>
      <c r="D137" s="186"/>
      <c r="E137" s="186"/>
      <c r="F137" s="12"/>
      <c r="G137" s="12"/>
      <c r="H137" s="186"/>
      <c r="I137" s="186"/>
      <c r="J137" s="186"/>
      <c r="K137" s="186"/>
      <c r="L137" s="186"/>
      <c r="M137" s="186"/>
      <c r="N137" s="186"/>
      <c r="O137" s="187"/>
      <c r="P137" s="186"/>
      <c r="Q137" s="186"/>
      <c r="R137" s="186"/>
      <c r="S137" s="186"/>
      <c r="T137" s="186"/>
      <c r="U137" s="186"/>
      <c r="V137" s="186"/>
      <c r="W137" s="186"/>
      <c r="X137" s="186"/>
      <c r="Y137" s="186"/>
    </row>
    <row r="138" spans="1:25" x14ac:dyDescent="0.2">
      <c r="A138" s="186"/>
      <c r="B138" s="186"/>
      <c r="C138" s="186"/>
      <c r="D138" s="186"/>
      <c r="E138" s="186"/>
      <c r="F138" s="12"/>
      <c r="G138" s="12"/>
      <c r="H138" s="186"/>
      <c r="I138" s="186"/>
      <c r="J138" s="186"/>
      <c r="K138" s="186"/>
      <c r="L138" s="186"/>
      <c r="M138" s="186"/>
      <c r="N138" s="186"/>
      <c r="O138" s="187"/>
      <c r="P138" s="186"/>
      <c r="Q138" s="186"/>
      <c r="R138" s="186"/>
      <c r="S138" s="186"/>
      <c r="T138" s="186"/>
      <c r="U138" s="186"/>
      <c r="V138" s="186"/>
      <c r="W138" s="186"/>
      <c r="X138" s="186"/>
      <c r="Y138" s="186"/>
    </row>
    <row r="139" spans="1:25" x14ac:dyDescent="0.2">
      <c r="A139" s="186"/>
      <c r="B139" s="186"/>
      <c r="C139" s="186"/>
      <c r="D139" s="186"/>
      <c r="E139" s="186"/>
      <c r="F139" s="12"/>
      <c r="G139" s="12"/>
      <c r="H139" s="186"/>
      <c r="I139" s="186"/>
      <c r="J139" s="186"/>
      <c r="K139" s="186"/>
      <c r="L139" s="186"/>
      <c r="M139" s="186"/>
      <c r="N139" s="186"/>
      <c r="O139" s="187"/>
      <c r="P139" s="186"/>
      <c r="Q139" s="186"/>
      <c r="R139" s="186"/>
      <c r="S139" s="186"/>
      <c r="T139" s="186"/>
      <c r="U139" s="186"/>
      <c r="V139" s="186"/>
      <c r="W139" s="186"/>
      <c r="X139" s="186"/>
      <c r="Y139" s="186"/>
    </row>
    <row r="140" spans="1:25" x14ac:dyDescent="0.2">
      <c r="A140" s="186"/>
      <c r="B140" s="186"/>
      <c r="C140" s="186"/>
      <c r="D140" s="186"/>
      <c r="E140" s="186"/>
      <c r="F140" s="12"/>
      <c r="G140" s="12"/>
      <c r="H140" s="186"/>
      <c r="I140" s="186"/>
      <c r="J140" s="186"/>
      <c r="K140" s="186"/>
      <c r="L140" s="186"/>
      <c r="M140" s="186"/>
      <c r="N140" s="186"/>
      <c r="O140" s="187"/>
      <c r="P140" s="186"/>
      <c r="Q140" s="186"/>
      <c r="R140" s="186"/>
      <c r="S140" s="186"/>
      <c r="T140" s="186"/>
      <c r="U140" s="186"/>
      <c r="V140" s="186"/>
      <c r="W140" s="186"/>
      <c r="X140" s="186"/>
      <c r="Y140" s="186"/>
    </row>
    <row r="141" spans="1:25" x14ac:dyDescent="0.2">
      <c r="A141" s="186"/>
      <c r="B141" s="186"/>
      <c r="C141" s="186"/>
      <c r="D141" s="186"/>
      <c r="E141" s="186"/>
      <c r="F141" s="12"/>
      <c r="G141" s="12"/>
      <c r="H141" s="186"/>
      <c r="I141" s="186"/>
      <c r="J141" s="186"/>
      <c r="K141" s="186"/>
      <c r="L141" s="186"/>
      <c r="M141" s="186"/>
      <c r="N141" s="186"/>
      <c r="O141" s="187"/>
      <c r="P141" s="186"/>
      <c r="Q141" s="186"/>
      <c r="R141" s="186"/>
      <c r="S141" s="186"/>
      <c r="T141" s="186"/>
      <c r="U141" s="186"/>
      <c r="V141" s="186"/>
      <c r="W141" s="186"/>
      <c r="X141" s="186"/>
      <c r="Y141" s="186"/>
    </row>
    <row r="142" spans="1:25" x14ac:dyDescent="0.2">
      <c r="A142" s="186"/>
      <c r="B142" s="186"/>
      <c r="C142" s="186"/>
      <c r="D142" s="186"/>
      <c r="E142" s="186"/>
      <c r="F142" s="12"/>
      <c r="G142" s="12"/>
      <c r="H142" s="186"/>
      <c r="I142" s="186"/>
      <c r="J142" s="186"/>
      <c r="K142" s="186"/>
      <c r="L142" s="186"/>
      <c r="M142" s="186"/>
      <c r="N142" s="186"/>
      <c r="O142" s="187"/>
      <c r="P142" s="186"/>
      <c r="Q142" s="186"/>
      <c r="R142" s="186"/>
      <c r="S142" s="186"/>
      <c r="T142" s="186"/>
      <c r="U142" s="186"/>
      <c r="V142" s="186"/>
      <c r="W142" s="186"/>
      <c r="X142" s="186"/>
      <c r="Y142" s="186"/>
    </row>
    <row r="143" spans="1:25" x14ac:dyDescent="0.2">
      <c r="A143" s="186"/>
      <c r="B143" s="186"/>
      <c r="C143" s="186"/>
      <c r="D143" s="186"/>
      <c r="E143" s="186"/>
      <c r="F143" s="12"/>
      <c r="G143" s="12"/>
      <c r="H143" s="186"/>
      <c r="I143" s="186"/>
      <c r="J143" s="186"/>
      <c r="K143" s="186"/>
      <c r="L143" s="186"/>
      <c r="M143" s="186"/>
      <c r="N143" s="186"/>
      <c r="O143" s="187"/>
      <c r="P143" s="186"/>
      <c r="Q143" s="186"/>
      <c r="R143" s="186"/>
      <c r="S143" s="186"/>
      <c r="T143" s="186"/>
      <c r="U143" s="186"/>
      <c r="V143" s="186"/>
      <c r="W143" s="186"/>
      <c r="X143" s="186"/>
      <c r="Y143" s="186"/>
    </row>
    <row r="144" spans="1:25" x14ac:dyDescent="0.2">
      <c r="A144" s="186"/>
      <c r="B144" s="186"/>
      <c r="C144" s="186"/>
      <c r="D144" s="186"/>
      <c r="E144" s="186"/>
      <c r="F144" s="12"/>
      <c r="G144" s="12"/>
      <c r="H144" s="186"/>
      <c r="I144" s="186"/>
      <c r="J144" s="186"/>
      <c r="K144" s="186"/>
      <c r="L144" s="186"/>
      <c r="M144" s="186"/>
      <c r="N144" s="186"/>
      <c r="O144" s="187"/>
      <c r="P144" s="186"/>
      <c r="Q144" s="186"/>
      <c r="R144" s="186"/>
      <c r="S144" s="186"/>
      <c r="T144" s="186"/>
      <c r="U144" s="186"/>
      <c r="V144" s="186"/>
      <c r="W144" s="186"/>
      <c r="X144" s="186"/>
      <c r="Y144" s="186"/>
    </row>
    <row r="145" spans="1:25" x14ac:dyDescent="0.2">
      <c r="A145" s="186"/>
      <c r="B145" s="186"/>
      <c r="C145" s="186"/>
      <c r="D145" s="186"/>
      <c r="E145" s="186"/>
      <c r="F145" s="12"/>
      <c r="G145" s="12"/>
      <c r="H145" s="186"/>
      <c r="I145" s="186"/>
      <c r="J145" s="186"/>
      <c r="K145" s="186"/>
      <c r="L145" s="186"/>
      <c r="M145" s="186"/>
      <c r="N145" s="186"/>
      <c r="O145" s="187"/>
      <c r="P145" s="186"/>
      <c r="Q145" s="186"/>
      <c r="R145" s="186"/>
      <c r="S145" s="186"/>
      <c r="T145" s="186"/>
      <c r="U145" s="186"/>
      <c r="V145" s="186"/>
      <c r="W145" s="186"/>
      <c r="X145" s="186"/>
      <c r="Y145" s="186"/>
    </row>
    <row r="146" spans="1:25" x14ac:dyDescent="0.2">
      <c r="A146" s="186"/>
      <c r="B146" s="186"/>
      <c r="C146" s="186"/>
      <c r="D146" s="186"/>
      <c r="E146" s="186"/>
      <c r="F146" s="12"/>
      <c r="G146" s="12"/>
      <c r="H146" s="186"/>
      <c r="I146" s="186"/>
      <c r="J146" s="186"/>
      <c r="K146" s="186"/>
      <c r="L146" s="186"/>
      <c r="M146" s="186"/>
      <c r="N146" s="186"/>
      <c r="O146" s="187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</row>
    <row r="147" spans="1:25" x14ac:dyDescent="0.2">
      <c r="A147" s="186"/>
      <c r="B147" s="186"/>
      <c r="C147" s="186"/>
      <c r="D147" s="186"/>
      <c r="E147" s="186"/>
      <c r="F147" s="12"/>
      <c r="G147" s="12"/>
      <c r="H147" s="186"/>
      <c r="I147" s="186"/>
      <c r="J147" s="186"/>
      <c r="K147" s="186"/>
      <c r="L147" s="186"/>
      <c r="M147" s="186"/>
      <c r="N147" s="186"/>
      <c r="O147" s="187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</row>
    <row r="148" spans="1:25" x14ac:dyDescent="0.2">
      <c r="A148" s="186"/>
      <c r="B148" s="186"/>
      <c r="C148" s="186"/>
      <c r="D148" s="186"/>
      <c r="E148" s="186"/>
      <c r="F148" s="12"/>
      <c r="G148" s="12"/>
      <c r="H148" s="186"/>
      <c r="I148" s="186"/>
      <c r="J148" s="186"/>
      <c r="K148" s="186"/>
      <c r="L148" s="186"/>
      <c r="M148" s="186"/>
      <c r="N148" s="186"/>
      <c r="O148" s="187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</row>
    <row r="149" spans="1:25" x14ac:dyDescent="0.2">
      <c r="A149" s="186"/>
      <c r="B149" s="186"/>
      <c r="C149" s="186"/>
      <c r="D149" s="186"/>
      <c r="E149" s="186"/>
      <c r="F149" s="12"/>
      <c r="G149" s="12"/>
      <c r="H149" s="186"/>
      <c r="I149" s="186"/>
      <c r="J149" s="186"/>
      <c r="K149" s="186"/>
      <c r="L149" s="186"/>
      <c r="M149" s="186"/>
      <c r="N149" s="186"/>
      <c r="O149" s="187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</row>
    <row r="150" spans="1:25" x14ac:dyDescent="0.2">
      <c r="A150" s="186"/>
      <c r="B150" s="186"/>
      <c r="C150" s="186"/>
      <c r="D150" s="186"/>
      <c r="E150" s="186"/>
      <c r="F150" s="12"/>
      <c r="G150" s="12"/>
      <c r="H150" s="186"/>
      <c r="I150" s="186"/>
      <c r="J150" s="186"/>
      <c r="K150" s="186"/>
      <c r="L150" s="186"/>
      <c r="M150" s="186"/>
      <c r="N150" s="186"/>
      <c r="O150" s="187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</row>
    <row r="151" spans="1:25" x14ac:dyDescent="0.2">
      <c r="A151" s="186"/>
      <c r="B151" s="186"/>
      <c r="C151" s="186"/>
      <c r="D151" s="186"/>
      <c r="E151" s="186"/>
      <c r="F151" s="12"/>
      <c r="G151" s="12"/>
      <c r="H151" s="186"/>
      <c r="I151" s="186"/>
      <c r="J151" s="186"/>
      <c r="K151" s="186"/>
      <c r="L151" s="186"/>
      <c r="M151" s="186"/>
      <c r="N151" s="186"/>
      <c r="O151" s="187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</row>
    <row r="152" spans="1:25" x14ac:dyDescent="0.2">
      <c r="A152" s="186"/>
      <c r="B152" s="186"/>
      <c r="C152" s="186"/>
      <c r="D152" s="186"/>
      <c r="E152" s="186"/>
      <c r="F152" s="12"/>
      <c r="G152" s="12"/>
      <c r="H152" s="186"/>
      <c r="I152" s="186"/>
      <c r="J152" s="186"/>
      <c r="K152" s="186"/>
      <c r="L152" s="186"/>
      <c r="M152" s="186"/>
      <c r="N152" s="186"/>
      <c r="O152" s="187"/>
      <c r="P152" s="186"/>
      <c r="Q152" s="186"/>
      <c r="R152" s="186"/>
      <c r="S152" s="186"/>
      <c r="T152" s="186"/>
      <c r="U152" s="186"/>
      <c r="V152" s="186"/>
      <c r="W152" s="186"/>
      <c r="X152" s="186"/>
      <c r="Y152" s="186"/>
    </row>
    <row r="153" spans="1:25" x14ac:dyDescent="0.2">
      <c r="A153" s="186"/>
      <c r="B153" s="186"/>
      <c r="C153" s="186"/>
      <c r="D153" s="186"/>
      <c r="E153" s="186"/>
      <c r="F153" s="12"/>
      <c r="G153" s="12"/>
      <c r="H153" s="186"/>
      <c r="I153" s="186"/>
      <c r="J153" s="186"/>
      <c r="K153" s="186"/>
      <c r="L153" s="186"/>
      <c r="M153" s="186"/>
      <c r="N153" s="186"/>
      <c r="O153" s="187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</row>
    <row r="154" spans="1:25" x14ac:dyDescent="0.2">
      <c r="A154" s="186"/>
      <c r="B154" s="186"/>
      <c r="C154" s="186"/>
      <c r="D154" s="186"/>
      <c r="E154" s="186"/>
      <c r="F154" s="12"/>
      <c r="G154" s="12"/>
      <c r="H154" s="186"/>
      <c r="I154" s="186"/>
      <c r="J154" s="186"/>
      <c r="K154" s="186"/>
      <c r="L154" s="186"/>
      <c r="M154" s="186"/>
      <c r="N154" s="186"/>
      <c r="O154" s="187"/>
      <c r="P154" s="186"/>
      <c r="Q154" s="186"/>
      <c r="R154" s="186"/>
      <c r="S154" s="186"/>
      <c r="T154" s="186"/>
      <c r="U154" s="186"/>
      <c r="V154" s="186"/>
      <c r="W154" s="186"/>
      <c r="X154" s="186"/>
      <c r="Y154" s="186"/>
    </row>
    <row r="155" spans="1:25" x14ac:dyDescent="0.2">
      <c r="A155" s="186"/>
      <c r="B155" s="186"/>
      <c r="C155" s="186"/>
      <c r="D155" s="186"/>
      <c r="E155" s="186"/>
      <c r="F155" s="12"/>
      <c r="G155" s="12"/>
      <c r="H155" s="186"/>
      <c r="I155" s="186"/>
      <c r="J155" s="186"/>
      <c r="K155" s="186"/>
      <c r="L155" s="186"/>
      <c r="M155" s="186"/>
      <c r="N155" s="186"/>
      <c r="O155" s="187"/>
      <c r="P155" s="186"/>
      <c r="Q155" s="186"/>
      <c r="R155" s="186"/>
      <c r="S155" s="186"/>
      <c r="T155" s="186"/>
      <c r="U155" s="186"/>
      <c r="V155" s="186"/>
      <c r="W155" s="186"/>
      <c r="X155" s="186"/>
      <c r="Y155" s="186"/>
    </row>
    <row r="156" spans="1:25" x14ac:dyDescent="0.2">
      <c r="A156" s="186"/>
      <c r="B156" s="186"/>
      <c r="C156" s="186"/>
      <c r="D156" s="186"/>
      <c r="E156" s="186"/>
      <c r="F156" s="12"/>
      <c r="G156" s="12"/>
      <c r="H156" s="186"/>
      <c r="I156" s="186"/>
      <c r="J156" s="186"/>
      <c r="K156" s="186"/>
      <c r="L156" s="186"/>
      <c r="M156" s="186"/>
      <c r="N156" s="186"/>
      <c r="O156" s="187"/>
      <c r="P156" s="186"/>
      <c r="Q156" s="186"/>
      <c r="R156" s="186"/>
      <c r="S156" s="186"/>
      <c r="T156" s="186"/>
      <c r="U156" s="186"/>
      <c r="V156" s="186"/>
      <c r="W156" s="186"/>
      <c r="X156" s="186"/>
      <c r="Y156" s="186"/>
    </row>
    <row r="157" spans="1:25" x14ac:dyDescent="0.2">
      <c r="A157" s="186"/>
      <c r="B157" s="186"/>
      <c r="C157" s="186"/>
      <c r="D157" s="186"/>
      <c r="E157" s="186"/>
      <c r="F157" s="12"/>
      <c r="G157" s="12"/>
      <c r="H157" s="186"/>
      <c r="I157" s="186"/>
      <c r="J157" s="186"/>
      <c r="K157" s="186"/>
      <c r="L157" s="186"/>
      <c r="M157" s="186"/>
      <c r="N157" s="186"/>
      <c r="O157" s="187"/>
      <c r="P157" s="186"/>
      <c r="Q157" s="186"/>
      <c r="R157" s="186"/>
      <c r="S157" s="186"/>
      <c r="T157" s="186"/>
      <c r="U157" s="186"/>
      <c r="V157" s="186"/>
      <c r="W157" s="186"/>
      <c r="X157" s="186"/>
      <c r="Y157" s="186"/>
    </row>
    <row r="158" spans="1:25" x14ac:dyDescent="0.2">
      <c r="A158" s="186"/>
      <c r="B158" s="186"/>
      <c r="C158" s="186"/>
      <c r="D158" s="186"/>
      <c r="E158" s="186"/>
      <c r="F158" s="12"/>
      <c r="G158" s="12"/>
      <c r="H158" s="186"/>
      <c r="I158" s="186"/>
      <c r="J158" s="186"/>
      <c r="K158" s="186"/>
      <c r="L158" s="186"/>
      <c r="M158" s="186"/>
      <c r="N158" s="186"/>
      <c r="O158" s="187"/>
      <c r="P158" s="186"/>
      <c r="Q158" s="186"/>
      <c r="R158" s="186"/>
      <c r="S158" s="186"/>
      <c r="T158" s="186"/>
      <c r="U158" s="186"/>
      <c r="V158" s="186"/>
      <c r="W158" s="186"/>
      <c r="X158" s="186"/>
      <c r="Y158" s="186"/>
    </row>
    <row r="159" spans="1:25" x14ac:dyDescent="0.2">
      <c r="A159" s="186"/>
      <c r="B159" s="186"/>
      <c r="C159" s="186"/>
      <c r="D159" s="186"/>
      <c r="E159" s="186"/>
      <c r="F159" s="12"/>
      <c r="G159" s="12"/>
      <c r="H159" s="186"/>
      <c r="I159" s="186"/>
      <c r="J159" s="186"/>
      <c r="K159" s="186"/>
      <c r="L159" s="186"/>
      <c r="M159" s="186"/>
      <c r="N159" s="186"/>
      <c r="O159" s="187"/>
      <c r="P159" s="186"/>
      <c r="Q159" s="186"/>
      <c r="R159" s="186"/>
      <c r="S159" s="186"/>
      <c r="T159" s="186"/>
      <c r="U159" s="186"/>
      <c r="V159" s="186"/>
      <c r="W159" s="186"/>
      <c r="X159" s="186"/>
      <c r="Y159" s="186"/>
    </row>
    <row r="160" spans="1:25" x14ac:dyDescent="0.2">
      <c r="A160" s="186"/>
      <c r="B160" s="186"/>
      <c r="C160" s="186"/>
      <c r="D160" s="186"/>
      <c r="E160" s="186"/>
      <c r="F160" s="12"/>
      <c r="G160" s="12"/>
      <c r="H160" s="186"/>
      <c r="I160" s="186"/>
      <c r="J160" s="186"/>
      <c r="K160" s="186"/>
      <c r="L160" s="186"/>
      <c r="M160" s="186"/>
      <c r="N160" s="186"/>
      <c r="O160" s="187"/>
      <c r="P160" s="186"/>
      <c r="Q160" s="186"/>
      <c r="R160" s="186"/>
      <c r="S160" s="186"/>
      <c r="T160" s="186"/>
      <c r="U160" s="186"/>
      <c r="V160" s="186"/>
      <c r="W160" s="186"/>
      <c r="X160" s="186"/>
      <c r="Y160" s="186"/>
    </row>
    <row r="161" spans="1:25" x14ac:dyDescent="0.2">
      <c r="A161" s="186"/>
      <c r="B161" s="186"/>
      <c r="C161" s="186"/>
      <c r="D161" s="186"/>
      <c r="E161" s="186"/>
      <c r="F161" s="12"/>
      <c r="G161" s="12"/>
      <c r="H161" s="186"/>
      <c r="I161" s="186"/>
      <c r="J161" s="186"/>
      <c r="K161" s="186"/>
      <c r="L161" s="186"/>
      <c r="M161" s="186"/>
      <c r="N161" s="186"/>
      <c r="O161" s="187"/>
      <c r="P161" s="186"/>
      <c r="Q161" s="186"/>
      <c r="R161" s="186"/>
      <c r="S161" s="186"/>
      <c r="T161" s="186"/>
      <c r="U161" s="186"/>
      <c r="V161" s="186"/>
      <c r="W161" s="186"/>
      <c r="X161" s="186"/>
      <c r="Y161" s="186"/>
    </row>
    <row r="162" spans="1:25" x14ac:dyDescent="0.2">
      <c r="A162" s="186"/>
      <c r="B162" s="186"/>
      <c r="C162" s="186"/>
      <c r="D162" s="186"/>
      <c r="E162" s="186"/>
      <c r="F162" s="12"/>
      <c r="G162" s="12"/>
      <c r="H162" s="186"/>
      <c r="I162" s="186"/>
      <c r="J162" s="186"/>
      <c r="K162" s="186"/>
      <c r="L162" s="186"/>
      <c r="M162" s="186"/>
      <c r="N162" s="186"/>
      <c r="O162" s="187"/>
      <c r="P162" s="186"/>
      <c r="Q162" s="186"/>
      <c r="R162" s="186"/>
      <c r="S162" s="186"/>
      <c r="T162" s="186"/>
      <c r="U162" s="186"/>
      <c r="V162" s="186"/>
      <c r="W162" s="186"/>
      <c r="X162" s="186"/>
      <c r="Y162" s="186"/>
    </row>
    <row r="163" spans="1:25" x14ac:dyDescent="0.2">
      <c r="A163" s="186"/>
      <c r="B163" s="186"/>
      <c r="C163" s="186"/>
      <c r="D163" s="186"/>
      <c r="E163" s="186"/>
      <c r="F163" s="12"/>
      <c r="G163" s="12"/>
      <c r="H163" s="186"/>
      <c r="I163" s="186"/>
      <c r="J163" s="186"/>
      <c r="K163" s="186"/>
      <c r="L163" s="186"/>
      <c r="M163" s="186"/>
      <c r="N163" s="186"/>
      <c r="O163" s="187"/>
      <c r="P163" s="186"/>
      <c r="Q163" s="186"/>
      <c r="R163" s="186"/>
      <c r="S163" s="186"/>
      <c r="T163" s="186"/>
      <c r="U163" s="186"/>
      <c r="V163" s="186"/>
      <c r="W163" s="186"/>
      <c r="X163" s="186"/>
      <c r="Y163" s="186"/>
    </row>
    <row r="164" spans="1:25" x14ac:dyDescent="0.2">
      <c r="A164" s="186"/>
      <c r="B164" s="186"/>
      <c r="C164" s="186"/>
      <c r="D164" s="186"/>
      <c r="E164" s="186"/>
      <c r="F164" s="12"/>
      <c r="G164" s="12"/>
      <c r="H164" s="186"/>
      <c r="I164" s="186"/>
      <c r="J164" s="186"/>
      <c r="K164" s="186"/>
      <c r="L164" s="186"/>
      <c r="M164" s="186"/>
      <c r="N164" s="186"/>
      <c r="O164" s="187"/>
      <c r="P164" s="186"/>
      <c r="Q164" s="186"/>
      <c r="R164" s="186"/>
      <c r="S164" s="186"/>
      <c r="T164" s="186"/>
      <c r="U164" s="186"/>
      <c r="V164" s="186"/>
      <c r="W164" s="186"/>
      <c r="X164" s="186"/>
      <c r="Y164" s="186"/>
    </row>
    <row r="165" spans="1:25" x14ac:dyDescent="0.2">
      <c r="A165" s="186"/>
      <c r="B165" s="186"/>
      <c r="C165" s="186"/>
      <c r="D165" s="186"/>
      <c r="E165" s="186"/>
      <c r="F165" s="12"/>
      <c r="G165" s="12"/>
      <c r="H165" s="186"/>
      <c r="I165" s="186"/>
      <c r="J165" s="186"/>
      <c r="K165" s="186"/>
      <c r="L165" s="186"/>
      <c r="M165" s="186"/>
      <c r="N165" s="186"/>
      <c r="O165" s="187"/>
      <c r="P165" s="186"/>
      <c r="Q165" s="186"/>
      <c r="R165" s="186"/>
      <c r="S165" s="186"/>
      <c r="T165" s="186"/>
      <c r="U165" s="186"/>
      <c r="V165" s="186"/>
      <c r="W165" s="186"/>
      <c r="X165" s="186"/>
      <c r="Y165" s="186"/>
    </row>
    <row r="166" spans="1:25" x14ac:dyDescent="0.2">
      <c r="A166" s="186"/>
      <c r="B166" s="186"/>
      <c r="C166" s="186"/>
      <c r="D166" s="186"/>
      <c r="E166" s="186"/>
      <c r="F166" s="12"/>
      <c r="G166" s="12"/>
      <c r="H166" s="186"/>
      <c r="I166" s="186"/>
      <c r="J166" s="186"/>
      <c r="K166" s="186"/>
      <c r="L166" s="186"/>
      <c r="M166" s="186"/>
      <c r="N166" s="186"/>
      <c r="O166" s="187"/>
      <c r="P166" s="186"/>
      <c r="Q166" s="186"/>
      <c r="R166" s="186"/>
      <c r="S166" s="186"/>
      <c r="T166" s="186"/>
      <c r="U166" s="186"/>
      <c r="V166" s="186"/>
      <c r="W166" s="186"/>
      <c r="X166" s="186"/>
      <c r="Y166" s="186"/>
    </row>
    <row r="167" spans="1:25" x14ac:dyDescent="0.2">
      <c r="A167" s="186"/>
      <c r="B167" s="186"/>
      <c r="C167" s="186"/>
      <c r="D167" s="186"/>
      <c r="E167" s="186"/>
      <c r="F167" s="12"/>
      <c r="G167" s="12"/>
      <c r="H167" s="186"/>
      <c r="I167" s="186"/>
      <c r="J167" s="186"/>
      <c r="K167" s="186"/>
      <c r="L167" s="186"/>
      <c r="M167" s="186"/>
      <c r="N167" s="186"/>
      <c r="O167" s="187"/>
      <c r="P167" s="186"/>
      <c r="Q167" s="186"/>
      <c r="R167" s="186"/>
      <c r="S167" s="186"/>
      <c r="T167" s="186"/>
      <c r="U167" s="186"/>
      <c r="V167" s="186"/>
      <c r="W167" s="186"/>
      <c r="X167" s="186"/>
      <c r="Y167" s="186"/>
    </row>
    <row r="168" spans="1:25" x14ac:dyDescent="0.2">
      <c r="A168" s="186"/>
      <c r="B168" s="186"/>
      <c r="C168" s="186"/>
      <c r="D168" s="186"/>
      <c r="E168" s="186"/>
      <c r="F168" s="12"/>
      <c r="G168" s="12"/>
      <c r="H168" s="186"/>
      <c r="I168" s="186"/>
      <c r="J168" s="186"/>
      <c r="K168" s="186"/>
      <c r="L168" s="186"/>
      <c r="M168" s="186"/>
      <c r="N168" s="186"/>
      <c r="O168" s="187"/>
      <c r="P168" s="186"/>
      <c r="Q168" s="186"/>
      <c r="R168" s="186"/>
      <c r="S168" s="186"/>
      <c r="T168" s="186"/>
      <c r="U168" s="186"/>
      <c r="V168" s="186"/>
      <c r="W168" s="186"/>
      <c r="X168" s="186"/>
      <c r="Y168" s="186"/>
    </row>
    <row r="169" spans="1:25" x14ac:dyDescent="0.2">
      <c r="A169" s="186"/>
      <c r="B169" s="186"/>
      <c r="C169" s="186"/>
      <c r="D169" s="186"/>
      <c r="E169" s="186"/>
      <c r="F169" s="12"/>
      <c r="G169" s="12"/>
      <c r="H169" s="186"/>
      <c r="I169" s="186"/>
      <c r="J169" s="186"/>
      <c r="K169" s="186"/>
      <c r="L169" s="186"/>
      <c r="M169" s="186"/>
      <c r="N169" s="186"/>
      <c r="O169" s="187"/>
      <c r="P169" s="186"/>
      <c r="Q169" s="186"/>
      <c r="R169" s="186"/>
      <c r="S169" s="186"/>
      <c r="T169" s="186"/>
      <c r="U169" s="186"/>
      <c r="V169" s="186"/>
      <c r="W169" s="186"/>
      <c r="X169" s="186"/>
      <c r="Y169" s="186"/>
    </row>
    <row r="170" spans="1:25" x14ac:dyDescent="0.2">
      <c r="A170" s="186"/>
      <c r="B170" s="186"/>
      <c r="C170" s="186"/>
      <c r="D170" s="186"/>
      <c r="E170" s="186"/>
      <c r="F170" s="12"/>
      <c r="G170" s="12"/>
      <c r="H170" s="186"/>
      <c r="I170" s="186"/>
      <c r="J170" s="186"/>
      <c r="K170" s="186"/>
      <c r="L170" s="186"/>
      <c r="M170" s="186"/>
      <c r="N170" s="186"/>
      <c r="O170" s="187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</row>
    <row r="171" spans="1:25" x14ac:dyDescent="0.2">
      <c r="A171" s="186"/>
      <c r="B171" s="186"/>
      <c r="C171" s="186"/>
      <c r="D171" s="186"/>
      <c r="E171" s="186"/>
      <c r="F171" s="12"/>
      <c r="G171" s="12"/>
      <c r="H171" s="186"/>
      <c r="I171" s="186"/>
      <c r="J171" s="186"/>
      <c r="K171" s="186"/>
      <c r="L171" s="186"/>
      <c r="M171" s="186"/>
      <c r="N171" s="186"/>
      <c r="O171" s="187"/>
      <c r="P171" s="186"/>
      <c r="Q171" s="186"/>
      <c r="R171" s="186"/>
      <c r="S171" s="186"/>
      <c r="T171" s="186"/>
      <c r="U171" s="186"/>
      <c r="V171" s="186"/>
      <c r="W171" s="186"/>
      <c r="X171" s="186"/>
      <c r="Y171" s="186"/>
    </row>
    <row r="172" spans="1:25" x14ac:dyDescent="0.2">
      <c r="A172" s="186"/>
      <c r="B172" s="186"/>
      <c r="C172" s="186"/>
      <c r="D172" s="186"/>
      <c r="E172" s="186"/>
      <c r="F172" s="12"/>
      <c r="G172" s="12"/>
      <c r="H172" s="186"/>
      <c r="I172" s="186"/>
      <c r="J172" s="186"/>
      <c r="K172" s="186"/>
      <c r="L172" s="186"/>
      <c r="M172" s="186"/>
      <c r="N172" s="186"/>
      <c r="O172" s="187"/>
      <c r="P172" s="186"/>
      <c r="Q172" s="186"/>
      <c r="R172" s="186"/>
      <c r="S172" s="186"/>
      <c r="T172" s="186"/>
      <c r="U172" s="186"/>
      <c r="V172" s="186"/>
      <c r="W172" s="186"/>
      <c r="X172" s="186"/>
      <c r="Y172" s="186"/>
    </row>
    <row r="173" spans="1:25" x14ac:dyDescent="0.2">
      <c r="A173" s="186"/>
      <c r="B173" s="186"/>
      <c r="C173" s="186"/>
      <c r="D173" s="186"/>
      <c r="E173" s="186"/>
      <c r="F173" s="12"/>
      <c r="G173" s="12"/>
      <c r="H173" s="186"/>
      <c r="I173" s="186"/>
      <c r="J173" s="186"/>
      <c r="K173" s="186"/>
      <c r="L173" s="186"/>
      <c r="M173" s="186"/>
      <c r="N173" s="186"/>
      <c r="O173" s="187"/>
      <c r="P173" s="186"/>
      <c r="Q173" s="186"/>
      <c r="R173" s="186"/>
      <c r="S173" s="186"/>
      <c r="T173" s="186"/>
      <c r="U173" s="186"/>
      <c r="V173" s="186"/>
      <c r="W173" s="186"/>
      <c r="X173" s="186"/>
      <c r="Y173" s="186"/>
    </row>
    <row r="174" spans="1:25" x14ac:dyDescent="0.2">
      <c r="A174" s="186"/>
      <c r="B174" s="186"/>
      <c r="C174" s="186"/>
      <c r="D174" s="186"/>
      <c r="E174" s="186"/>
      <c r="F174" s="12"/>
      <c r="G174" s="12"/>
      <c r="H174" s="186"/>
      <c r="I174" s="186"/>
      <c r="J174" s="186"/>
      <c r="K174" s="186"/>
      <c r="L174" s="186"/>
      <c r="M174" s="186"/>
      <c r="N174" s="186"/>
      <c r="O174" s="187"/>
      <c r="P174" s="186"/>
      <c r="Q174" s="186"/>
      <c r="R174" s="186"/>
      <c r="S174" s="186"/>
      <c r="T174" s="186"/>
      <c r="U174" s="186"/>
      <c r="V174" s="186"/>
      <c r="W174" s="186"/>
      <c r="X174" s="186"/>
      <c r="Y174" s="186"/>
    </row>
    <row r="175" spans="1:25" x14ac:dyDescent="0.2">
      <c r="A175" s="186"/>
      <c r="B175" s="186"/>
      <c r="C175" s="186"/>
      <c r="D175" s="186"/>
      <c r="E175" s="186"/>
      <c r="F175" s="12"/>
      <c r="G175" s="12"/>
      <c r="H175" s="186"/>
      <c r="I175" s="186"/>
      <c r="J175" s="186"/>
      <c r="K175" s="186"/>
      <c r="L175" s="186"/>
      <c r="M175" s="186"/>
      <c r="N175" s="186"/>
      <c r="O175" s="187"/>
      <c r="P175" s="186"/>
      <c r="Q175" s="186"/>
      <c r="R175" s="186"/>
      <c r="S175" s="186"/>
      <c r="T175" s="186"/>
      <c r="U175" s="186"/>
      <c r="V175" s="186"/>
      <c r="W175" s="186"/>
      <c r="X175" s="186"/>
      <c r="Y175" s="186"/>
    </row>
    <row r="176" spans="1:25" x14ac:dyDescent="0.2">
      <c r="A176" s="186"/>
      <c r="B176" s="186"/>
      <c r="C176" s="186"/>
      <c r="D176" s="186"/>
      <c r="E176" s="186"/>
      <c r="F176" s="12"/>
      <c r="G176" s="12"/>
      <c r="H176" s="186"/>
      <c r="I176" s="186"/>
      <c r="J176" s="186"/>
      <c r="K176" s="186"/>
      <c r="L176" s="186"/>
      <c r="M176" s="186"/>
      <c r="N176" s="186"/>
      <c r="O176" s="187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</row>
    <row r="177" spans="1:25" x14ac:dyDescent="0.2">
      <c r="A177" s="186"/>
      <c r="B177" s="186"/>
      <c r="C177" s="186"/>
      <c r="D177" s="186"/>
      <c r="E177" s="186"/>
      <c r="F177" s="12"/>
      <c r="G177" s="12"/>
      <c r="H177" s="186"/>
      <c r="I177" s="186"/>
      <c r="J177" s="186"/>
      <c r="K177" s="186"/>
      <c r="L177" s="186"/>
      <c r="M177" s="186"/>
      <c r="N177" s="186"/>
      <c r="O177" s="187"/>
      <c r="P177" s="186"/>
      <c r="Q177" s="186"/>
      <c r="R177" s="186"/>
      <c r="S177" s="186"/>
      <c r="T177" s="186"/>
      <c r="U177" s="186"/>
      <c r="V177" s="186"/>
      <c r="W177" s="186"/>
      <c r="X177" s="186"/>
      <c r="Y177" s="186"/>
    </row>
    <row r="178" spans="1:25" x14ac:dyDescent="0.2">
      <c r="A178" s="186"/>
      <c r="B178" s="186"/>
      <c r="C178" s="186"/>
      <c r="D178" s="186"/>
      <c r="E178" s="186"/>
      <c r="F178" s="12"/>
      <c r="G178" s="12"/>
      <c r="H178" s="186"/>
      <c r="I178" s="186"/>
      <c r="J178" s="186"/>
      <c r="K178" s="186"/>
      <c r="L178" s="186"/>
      <c r="M178" s="186"/>
      <c r="N178" s="186"/>
      <c r="O178" s="187"/>
      <c r="P178" s="186"/>
      <c r="Q178" s="186"/>
      <c r="R178" s="186"/>
      <c r="S178" s="186"/>
      <c r="T178" s="186"/>
      <c r="U178" s="186"/>
      <c r="V178" s="186"/>
      <c r="W178" s="186"/>
      <c r="X178" s="186"/>
      <c r="Y178" s="186"/>
    </row>
    <row r="179" spans="1:25" x14ac:dyDescent="0.2">
      <c r="A179" s="186"/>
      <c r="B179" s="186"/>
      <c r="C179" s="186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7"/>
      <c r="P179" s="186"/>
      <c r="Q179" s="186"/>
      <c r="R179" s="186"/>
      <c r="S179" s="186"/>
      <c r="T179" s="186"/>
      <c r="U179" s="186"/>
      <c r="V179" s="186"/>
      <c r="W179" s="186"/>
      <c r="X179" s="186"/>
      <c r="Y179" s="186"/>
    </row>
    <row r="180" spans="1:25" x14ac:dyDescent="0.2">
      <c r="A180" s="186"/>
      <c r="B180" s="186"/>
      <c r="C180" s="186"/>
      <c r="D180" s="186"/>
      <c r="E180" s="186"/>
      <c r="F180" s="186"/>
      <c r="G180" s="186"/>
      <c r="H180" s="186"/>
      <c r="I180" s="186"/>
      <c r="J180" s="186"/>
      <c r="K180" s="186"/>
      <c r="L180" s="186"/>
      <c r="M180" s="186"/>
      <c r="N180" s="186"/>
      <c r="O180" s="187"/>
      <c r="P180" s="186"/>
      <c r="Q180" s="186"/>
      <c r="R180" s="186"/>
      <c r="S180" s="186"/>
      <c r="T180" s="186"/>
      <c r="U180" s="186"/>
      <c r="V180" s="186"/>
      <c r="W180" s="186"/>
      <c r="X180" s="186"/>
      <c r="Y180" s="186"/>
    </row>
    <row r="181" spans="1:25" x14ac:dyDescent="0.2">
      <c r="A181" s="186"/>
      <c r="B181" s="186"/>
      <c r="C181" s="186"/>
      <c r="D181" s="186"/>
      <c r="E181" s="186"/>
      <c r="F181" s="186"/>
      <c r="G181" s="186"/>
      <c r="H181" s="186"/>
      <c r="I181" s="186"/>
      <c r="J181" s="186"/>
      <c r="K181" s="186"/>
      <c r="L181" s="186"/>
      <c r="M181" s="186"/>
      <c r="N181" s="186"/>
      <c r="O181" s="187"/>
      <c r="P181" s="186"/>
      <c r="Q181" s="186"/>
      <c r="R181" s="186"/>
      <c r="S181" s="186"/>
      <c r="T181" s="186"/>
      <c r="U181" s="186"/>
      <c r="V181" s="186"/>
      <c r="W181" s="186"/>
      <c r="X181" s="186"/>
      <c r="Y181" s="186"/>
    </row>
    <row r="182" spans="1:25" x14ac:dyDescent="0.2">
      <c r="A182" s="186"/>
      <c r="B182" s="186"/>
      <c r="C182" s="186"/>
      <c r="D182" s="186"/>
      <c r="E182" s="186"/>
      <c r="F182" s="186"/>
      <c r="G182" s="186"/>
      <c r="H182" s="186"/>
      <c r="I182" s="186"/>
      <c r="J182" s="186"/>
      <c r="K182" s="186"/>
      <c r="L182" s="186"/>
      <c r="M182" s="186"/>
      <c r="N182" s="186"/>
      <c r="O182" s="187"/>
      <c r="P182" s="186"/>
      <c r="Q182" s="186"/>
      <c r="R182" s="186"/>
      <c r="S182" s="186"/>
      <c r="T182" s="186"/>
      <c r="U182" s="186"/>
      <c r="V182" s="186"/>
      <c r="W182" s="186"/>
      <c r="X182" s="186"/>
      <c r="Y182" s="186"/>
    </row>
    <row r="183" spans="1:25" x14ac:dyDescent="0.2">
      <c r="A183" s="186"/>
      <c r="B183" s="186"/>
      <c r="C183" s="186"/>
      <c r="D183" s="186"/>
      <c r="E183" s="186"/>
      <c r="F183" s="186"/>
      <c r="G183" s="186"/>
      <c r="H183" s="186"/>
      <c r="I183" s="186"/>
      <c r="J183" s="186"/>
      <c r="K183" s="186"/>
      <c r="L183" s="186"/>
      <c r="M183" s="186"/>
      <c r="N183" s="186"/>
      <c r="O183" s="187"/>
      <c r="P183" s="186"/>
      <c r="Q183" s="186"/>
      <c r="R183" s="186"/>
      <c r="S183" s="186"/>
      <c r="T183" s="186"/>
      <c r="U183" s="186"/>
      <c r="V183" s="186"/>
      <c r="W183" s="186"/>
      <c r="X183" s="186"/>
      <c r="Y183" s="186"/>
    </row>
    <row r="184" spans="1:25" x14ac:dyDescent="0.2">
      <c r="A184" s="186"/>
      <c r="B184" s="186"/>
      <c r="C184" s="186"/>
      <c r="D184" s="186"/>
      <c r="E184" s="186"/>
      <c r="F184" s="186"/>
      <c r="G184" s="186"/>
      <c r="H184" s="186"/>
      <c r="I184" s="186"/>
      <c r="J184" s="186"/>
      <c r="K184" s="186"/>
      <c r="L184" s="186"/>
      <c r="M184" s="186"/>
      <c r="N184" s="186"/>
      <c r="O184" s="187"/>
      <c r="P184" s="186"/>
      <c r="Q184" s="186"/>
      <c r="R184" s="186"/>
      <c r="S184" s="186"/>
      <c r="T184" s="186"/>
      <c r="U184" s="186"/>
      <c r="V184" s="186"/>
      <c r="W184" s="186"/>
      <c r="X184" s="186"/>
      <c r="Y184" s="186"/>
    </row>
    <row r="185" spans="1:25" x14ac:dyDescent="0.2">
      <c r="A185" s="186"/>
      <c r="B185" s="186"/>
      <c r="C185" s="186"/>
      <c r="D185" s="186"/>
      <c r="E185" s="186"/>
      <c r="F185" s="186"/>
      <c r="G185" s="186"/>
      <c r="H185" s="186"/>
      <c r="I185" s="186"/>
      <c r="J185" s="186"/>
      <c r="K185" s="186"/>
      <c r="L185" s="186"/>
      <c r="M185" s="186"/>
      <c r="N185" s="186"/>
      <c r="O185" s="187"/>
      <c r="P185" s="186"/>
      <c r="Q185" s="186"/>
      <c r="R185" s="186"/>
      <c r="S185" s="186"/>
      <c r="T185" s="186"/>
      <c r="U185" s="186"/>
      <c r="V185" s="186"/>
      <c r="W185" s="186"/>
      <c r="X185" s="186"/>
      <c r="Y185" s="186"/>
    </row>
    <row r="186" spans="1:25" x14ac:dyDescent="0.2">
      <c r="A186" s="186"/>
      <c r="B186" s="186"/>
      <c r="C186" s="186"/>
      <c r="D186" s="186"/>
      <c r="E186" s="186"/>
      <c r="F186" s="186"/>
      <c r="G186" s="186"/>
      <c r="H186" s="186"/>
      <c r="I186" s="186"/>
      <c r="J186" s="186"/>
      <c r="K186" s="186"/>
      <c r="L186" s="186"/>
      <c r="M186" s="186"/>
      <c r="N186" s="186"/>
      <c r="O186" s="187"/>
      <c r="P186" s="186"/>
      <c r="Q186" s="186"/>
      <c r="R186" s="186"/>
      <c r="S186" s="186"/>
      <c r="T186" s="186"/>
      <c r="U186" s="186"/>
      <c r="V186" s="186"/>
      <c r="W186" s="186"/>
      <c r="X186" s="186"/>
      <c r="Y186" s="186"/>
    </row>
    <row r="187" spans="1:25" x14ac:dyDescent="0.2">
      <c r="A187" s="186"/>
      <c r="B187" s="186"/>
      <c r="C187" s="186"/>
      <c r="D187" s="186"/>
      <c r="E187" s="186"/>
      <c r="F187" s="186"/>
      <c r="G187" s="186"/>
      <c r="H187" s="186"/>
      <c r="I187" s="186"/>
      <c r="J187" s="186"/>
      <c r="K187" s="186"/>
      <c r="L187" s="186"/>
      <c r="M187" s="186"/>
      <c r="N187" s="186"/>
      <c r="O187" s="187"/>
      <c r="P187" s="186"/>
      <c r="Q187" s="186"/>
      <c r="R187" s="186"/>
      <c r="S187" s="186"/>
      <c r="T187" s="186"/>
      <c r="U187" s="186"/>
      <c r="V187" s="186"/>
      <c r="W187" s="186"/>
      <c r="X187" s="186"/>
      <c r="Y187" s="186"/>
    </row>
    <row r="188" spans="1:25" x14ac:dyDescent="0.2">
      <c r="A188" s="186"/>
      <c r="B188" s="186"/>
      <c r="C188" s="186"/>
      <c r="D188" s="186"/>
      <c r="E188" s="186"/>
      <c r="F188" s="186"/>
      <c r="G188" s="186"/>
      <c r="H188" s="186"/>
      <c r="I188" s="186"/>
      <c r="J188" s="186"/>
      <c r="K188" s="186"/>
      <c r="L188" s="186"/>
      <c r="M188" s="186"/>
      <c r="N188" s="186"/>
      <c r="O188" s="187"/>
      <c r="P188" s="186"/>
      <c r="Q188" s="186"/>
      <c r="R188" s="186"/>
      <c r="S188" s="186"/>
      <c r="T188" s="186"/>
      <c r="U188" s="186"/>
      <c r="V188" s="186"/>
      <c r="W188" s="186"/>
      <c r="X188" s="186"/>
      <c r="Y188" s="186"/>
    </row>
    <row r="189" spans="1:25" x14ac:dyDescent="0.2">
      <c r="A189" s="186"/>
      <c r="B189" s="186"/>
      <c r="C189" s="186"/>
      <c r="D189" s="186"/>
      <c r="E189" s="186"/>
      <c r="F189" s="186"/>
      <c r="G189" s="186"/>
      <c r="H189" s="186"/>
      <c r="I189" s="186"/>
      <c r="J189" s="186"/>
      <c r="K189" s="186"/>
      <c r="L189" s="186"/>
      <c r="M189" s="186"/>
      <c r="N189" s="186"/>
      <c r="O189" s="187"/>
      <c r="P189" s="186"/>
      <c r="Q189" s="186"/>
      <c r="R189" s="186"/>
      <c r="S189" s="186"/>
      <c r="T189" s="186"/>
      <c r="U189" s="186"/>
      <c r="V189" s="186"/>
      <c r="W189" s="186"/>
      <c r="X189" s="186"/>
      <c r="Y189" s="186"/>
    </row>
    <row r="190" spans="1:25" x14ac:dyDescent="0.2">
      <c r="A190" s="186"/>
      <c r="B190" s="186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186"/>
      <c r="O190" s="187"/>
      <c r="P190" s="186"/>
      <c r="Q190" s="186"/>
      <c r="R190" s="186"/>
      <c r="S190" s="186"/>
      <c r="T190" s="186"/>
      <c r="U190" s="186"/>
      <c r="V190" s="186"/>
      <c r="W190" s="186"/>
      <c r="X190" s="186"/>
      <c r="Y190" s="186"/>
    </row>
    <row r="191" spans="1:25" x14ac:dyDescent="0.2">
      <c r="A191" s="186"/>
      <c r="B191" s="186"/>
      <c r="C191" s="186"/>
      <c r="D191" s="186"/>
      <c r="E191" s="186"/>
      <c r="F191" s="186"/>
      <c r="G191" s="186"/>
      <c r="H191" s="186"/>
      <c r="I191" s="186"/>
      <c r="J191" s="186"/>
      <c r="K191" s="186"/>
      <c r="L191" s="186"/>
      <c r="M191" s="186"/>
      <c r="N191" s="186"/>
      <c r="O191" s="187"/>
      <c r="P191" s="186"/>
      <c r="Q191" s="186"/>
      <c r="R191" s="186"/>
      <c r="S191" s="186"/>
      <c r="T191" s="186"/>
      <c r="U191" s="186"/>
      <c r="V191" s="186"/>
      <c r="W191" s="186"/>
      <c r="X191" s="186"/>
      <c r="Y191" s="186"/>
    </row>
    <row r="192" spans="1:25" x14ac:dyDescent="0.2">
      <c r="A192" s="186"/>
      <c r="B192" s="186"/>
      <c r="C192" s="186"/>
      <c r="D192" s="186"/>
      <c r="E192" s="186"/>
      <c r="F192" s="186"/>
      <c r="G192" s="186"/>
      <c r="H192" s="186"/>
      <c r="I192" s="186"/>
      <c r="J192" s="186"/>
      <c r="K192" s="186"/>
      <c r="L192" s="186"/>
      <c r="M192" s="186"/>
      <c r="N192" s="186"/>
      <c r="O192" s="187"/>
      <c r="P192" s="186"/>
      <c r="Q192" s="186"/>
      <c r="R192" s="186"/>
      <c r="S192" s="186"/>
      <c r="T192" s="186"/>
      <c r="U192" s="186"/>
      <c r="V192" s="186"/>
      <c r="W192" s="186"/>
      <c r="X192" s="186"/>
      <c r="Y192" s="186"/>
    </row>
    <row r="193" spans="1:25" x14ac:dyDescent="0.2">
      <c r="A193" s="186"/>
      <c r="B193" s="186"/>
      <c r="C193" s="186"/>
      <c r="D193" s="186"/>
      <c r="E193" s="186"/>
      <c r="F193" s="186"/>
      <c r="G193" s="186"/>
      <c r="H193" s="186"/>
      <c r="I193" s="186"/>
      <c r="J193" s="186"/>
      <c r="K193" s="186"/>
      <c r="L193" s="186"/>
      <c r="M193" s="186"/>
      <c r="N193" s="186"/>
      <c r="O193" s="187"/>
      <c r="P193" s="186"/>
      <c r="Q193" s="186"/>
      <c r="R193" s="186"/>
      <c r="S193" s="186"/>
      <c r="T193" s="186"/>
      <c r="U193" s="186"/>
      <c r="V193" s="186"/>
      <c r="W193" s="186"/>
      <c r="X193" s="186"/>
      <c r="Y193" s="186"/>
    </row>
    <row r="194" spans="1:25" x14ac:dyDescent="0.2">
      <c r="A194" s="186"/>
      <c r="B194" s="186"/>
      <c r="C194" s="186"/>
      <c r="D194" s="186"/>
      <c r="E194" s="186"/>
      <c r="F194" s="186"/>
      <c r="G194" s="186"/>
      <c r="H194" s="186"/>
      <c r="I194" s="186"/>
      <c r="J194" s="186"/>
      <c r="K194" s="186"/>
      <c r="L194" s="186"/>
      <c r="M194" s="186"/>
      <c r="N194" s="186"/>
      <c r="O194" s="187"/>
      <c r="P194" s="186"/>
      <c r="Q194" s="186"/>
      <c r="R194" s="186"/>
      <c r="S194" s="186"/>
      <c r="T194" s="186"/>
      <c r="U194" s="186"/>
      <c r="V194" s="186"/>
      <c r="W194" s="186"/>
      <c r="X194" s="186"/>
      <c r="Y194" s="186"/>
    </row>
    <row r="195" spans="1:25" x14ac:dyDescent="0.2">
      <c r="A195" s="186"/>
      <c r="B195" s="186"/>
      <c r="C195" s="186"/>
      <c r="D195" s="186"/>
      <c r="E195" s="186"/>
      <c r="F195" s="186"/>
      <c r="G195" s="186"/>
      <c r="H195" s="186"/>
      <c r="I195" s="186"/>
      <c r="J195" s="186"/>
      <c r="K195" s="186"/>
      <c r="L195" s="186"/>
      <c r="M195" s="186"/>
      <c r="N195" s="186"/>
      <c r="O195" s="187"/>
      <c r="P195" s="186"/>
      <c r="Q195" s="186"/>
      <c r="R195" s="186"/>
      <c r="S195" s="186"/>
      <c r="T195" s="186"/>
      <c r="U195" s="186"/>
      <c r="V195" s="186"/>
      <c r="W195" s="186"/>
      <c r="X195" s="186"/>
      <c r="Y195" s="186"/>
    </row>
    <row r="196" spans="1:25" x14ac:dyDescent="0.2">
      <c r="A196" s="186"/>
      <c r="B196" s="186"/>
      <c r="C196" s="186"/>
      <c r="D196" s="186"/>
      <c r="E196" s="186"/>
      <c r="F196" s="186"/>
      <c r="G196" s="186"/>
      <c r="H196" s="186"/>
      <c r="I196" s="186"/>
      <c r="J196" s="186"/>
      <c r="K196" s="186"/>
      <c r="L196" s="186"/>
      <c r="M196" s="186"/>
      <c r="N196" s="186"/>
      <c r="O196" s="187"/>
      <c r="P196" s="186"/>
      <c r="Q196" s="186"/>
      <c r="R196" s="186"/>
      <c r="S196" s="186"/>
      <c r="T196" s="186"/>
      <c r="U196" s="186"/>
      <c r="V196" s="186"/>
      <c r="W196" s="186"/>
      <c r="X196" s="186"/>
      <c r="Y196" s="186"/>
    </row>
    <row r="197" spans="1:25" x14ac:dyDescent="0.2">
      <c r="A197" s="186"/>
      <c r="B197" s="186"/>
      <c r="C197" s="186"/>
      <c r="D197" s="186"/>
      <c r="E197" s="186"/>
      <c r="F197" s="186"/>
      <c r="G197" s="186"/>
      <c r="H197" s="186"/>
      <c r="I197" s="186"/>
      <c r="J197" s="186"/>
      <c r="K197" s="186"/>
      <c r="L197" s="186"/>
      <c r="M197" s="186"/>
      <c r="N197" s="186"/>
      <c r="O197" s="187"/>
      <c r="P197" s="186"/>
      <c r="Q197" s="186"/>
      <c r="R197" s="186"/>
      <c r="S197" s="186"/>
      <c r="T197" s="186"/>
      <c r="U197" s="186"/>
      <c r="V197" s="186"/>
      <c r="W197" s="186"/>
      <c r="X197" s="186"/>
      <c r="Y197" s="186"/>
    </row>
    <row r="198" spans="1:25" x14ac:dyDescent="0.2">
      <c r="A198" s="186"/>
      <c r="B198" s="186"/>
      <c r="C198" s="186"/>
      <c r="D198" s="186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7"/>
      <c r="P198" s="186"/>
      <c r="Q198" s="186"/>
      <c r="R198" s="186"/>
      <c r="S198" s="186"/>
      <c r="T198" s="186"/>
      <c r="U198" s="186"/>
      <c r="V198" s="186"/>
      <c r="W198" s="186"/>
      <c r="X198" s="186"/>
      <c r="Y198" s="186"/>
    </row>
    <row r="199" spans="1:25" x14ac:dyDescent="0.2">
      <c r="A199" s="186"/>
      <c r="B199" s="186"/>
      <c r="C199" s="186"/>
      <c r="D199" s="186"/>
      <c r="E199" s="186"/>
      <c r="F199" s="186"/>
      <c r="G199" s="186"/>
      <c r="H199" s="186"/>
      <c r="I199" s="186"/>
      <c r="J199" s="186"/>
      <c r="K199" s="186"/>
      <c r="L199" s="186"/>
      <c r="M199" s="186"/>
      <c r="N199" s="186"/>
      <c r="O199" s="187"/>
      <c r="P199" s="186"/>
      <c r="Q199" s="186"/>
      <c r="R199" s="186"/>
      <c r="S199" s="186"/>
      <c r="T199" s="186"/>
      <c r="U199" s="186"/>
      <c r="V199" s="186"/>
      <c r="W199" s="186"/>
      <c r="X199" s="186"/>
      <c r="Y199" s="186"/>
    </row>
    <row r="200" spans="1:25" x14ac:dyDescent="0.2">
      <c r="A200" s="186"/>
      <c r="B200" s="186"/>
      <c r="C200" s="186"/>
      <c r="D200" s="186"/>
      <c r="E200" s="186"/>
      <c r="F200" s="186"/>
      <c r="G200" s="186"/>
      <c r="H200" s="186"/>
      <c r="I200" s="186"/>
      <c r="J200" s="186"/>
      <c r="K200" s="186"/>
      <c r="L200" s="186"/>
      <c r="M200" s="186"/>
      <c r="N200" s="186"/>
      <c r="O200" s="187"/>
      <c r="P200" s="186"/>
      <c r="Q200" s="186"/>
      <c r="R200" s="186"/>
      <c r="S200" s="186"/>
      <c r="T200" s="186"/>
      <c r="U200" s="186"/>
      <c r="V200" s="186"/>
      <c r="W200" s="186"/>
      <c r="X200" s="186"/>
      <c r="Y200" s="186"/>
    </row>
    <row r="201" spans="1:25" x14ac:dyDescent="0.2">
      <c r="A201" s="186"/>
      <c r="B201" s="186"/>
      <c r="C201" s="186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  <c r="O201" s="187"/>
      <c r="P201" s="186"/>
      <c r="Q201" s="186"/>
      <c r="R201" s="186"/>
      <c r="S201" s="186"/>
      <c r="T201" s="186"/>
      <c r="U201" s="186"/>
      <c r="V201" s="186"/>
      <c r="W201" s="186"/>
      <c r="X201" s="186"/>
      <c r="Y201" s="186"/>
    </row>
    <row r="202" spans="1:25" x14ac:dyDescent="0.2">
      <c r="A202" s="186"/>
      <c r="B202" s="186"/>
      <c r="C202" s="186"/>
      <c r="D202" s="186"/>
      <c r="E202" s="186"/>
      <c r="F202" s="186"/>
      <c r="G202" s="186"/>
      <c r="H202" s="186"/>
      <c r="I202" s="186"/>
      <c r="J202" s="186"/>
      <c r="K202" s="186"/>
      <c r="L202" s="186"/>
      <c r="M202" s="186"/>
      <c r="N202" s="186"/>
      <c r="O202" s="187"/>
      <c r="P202" s="186"/>
      <c r="Q202" s="186"/>
      <c r="R202" s="186"/>
      <c r="S202" s="186"/>
      <c r="T202" s="186"/>
      <c r="U202" s="186"/>
      <c r="V202" s="186"/>
      <c r="W202" s="186"/>
      <c r="X202" s="186"/>
      <c r="Y202" s="186"/>
    </row>
    <row r="203" spans="1:25" x14ac:dyDescent="0.2">
      <c r="A203" s="186"/>
      <c r="B203" s="186"/>
      <c r="C203" s="186"/>
      <c r="D203" s="186"/>
      <c r="E203" s="186"/>
      <c r="F203" s="186"/>
      <c r="G203" s="186"/>
      <c r="H203" s="186"/>
      <c r="I203" s="186"/>
      <c r="J203" s="186"/>
      <c r="K203" s="186"/>
      <c r="L203" s="186"/>
      <c r="M203" s="186"/>
      <c r="N203" s="186"/>
      <c r="O203" s="187"/>
      <c r="P203" s="186"/>
      <c r="Q203" s="186"/>
      <c r="R203" s="186"/>
      <c r="S203" s="186"/>
      <c r="T203" s="186"/>
      <c r="U203" s="186"/>
      <c r="V203" s="186"/>
      <c r="W203" s="186"/>
      <c r="X203" s="186"/>
      <c r="Y203" s="186"/>
    </row>
    <row r="204" spans="1:25" x14ac:dyDescent="0.2">
      <c r="A204" s="186"/>
      <c r="B204" s="186"/>
      <c r="C204" s="186"/>
      <c r="D204" s="186"/>
      <c r="E204" s="186"/>
      <c r="F204" s="186"/>
      <c r="G204" s="186"/>
      <c r="H204" s="186"/>
      <c r="I204" s="186"/>
      <c r="J204" s="186"/>
      <c r="K204" s="186"/>
      <c r="L204" s="186"/>
      <c r="M204" s="186"/>
      <c r="N204" s="186"/>
      <c r="O204" s="187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</row>
    <row r="205" spans="1:25" x14ac:dyDescent="0.2">
      <c r="A205" s="186"/>
      <c r="B205" s="186"/>
      <c r="C205" s="186"/>
      <c r="D205" s="186"/>
      <c r="E205" s="186"/>
      <c r="F205" s="186"/>
      <c r="G205" s="186"/>
      <c r="H205" s="186"/>
      <c r="I205" s="186"/>
      <c r="J205" s="186"/>
      <c r="K205" s="186"/>
      <c r="L205" s="186"/>
      <c r="M205" s="186"/>
      <c r="N205" s="186"/>
      <c r="O205" s="187"/>
      <c r="P205" s="186"/>
      <c r="Q205" s="186"/>
      <c r="R205" s="186"/>
      <c r="S205" s="186"/>
      <c r="T205" s="186"/>
      <c r="U205" s="186"/>
      <c r="V205" s="186"/>
      <c r="W205" s="186"/>
      <c r="X205" s="186"/>
      <c r="Y205" s="186"/>
    </row>
    <row r="206" spans="1:25" x14ac:dyDescent="0.2">
      <c r="A206" s="186"/>
      <c r="B206" s="186"/>
      <c r="C206" s="186"/>
      <c r="D206" s="186"/>
      <c r="E206" s="186"/>
      <c r="F206" s="186"/>
      <c r="G206" s="186"/>
      <c r="H206" s="186"/>
      <c r="I206" s="186"/>
      <c r="J206" s="186"/>
      <c r="K206" s="186"/>
      <c r="L206" s="186"/>
      <c r="M206" s="186"/>
      <c r="N206" s="186"/>
      <c r="O206" s="187"/>
      <c r="P206" s="186"/>
      <c r="Q206" s="186"/>
      <c r="R206" s="186"/>
      <c r="S206" s="186"/>
      <c r="T206" s="186"/>
      <c r="U206" s="186"/>
      <c r="V206" s="186"/>
      <c r="W206" s="186"/>
      <c r="X206" s="186"/>
      <c r="Y206" s="186"/>
    </row>
    <row r="207" spans="1:25" x14ac:dyDescent="0.2">
      <c r="A207" s="186"/>
      <c r="B207" s="186"/>
      <c r="C207" s="186"/>
      <c r="D207" s="186"/>
      <c r="E207" s="186"/>
      <c r="F207" s="186"/>
      <c r="G207" s="186"/>
      <c r="H207" s="186"/>
      <c r="I207" s="186"/>
      <c r="J207" s="186"/>
      <c r="K207" s="186"/>
      <c r="L207" s="186"/>
      <c r="M207" s="186"/>
      <c r="N207" s="186"/>
      <c r="O207" s="187"/>
      <c r="P207" s="186"/>
      <c r="Q207" s="186"/>
      <c r="R207" s="186"/>
      <c r="S207" s="186"/>
      <c r="T207" s="186"/>
      <c r="U207" s="186"/>
      <c r="V207" s="186"/>
      <c r="W207" s="186"/>
      <c r="X207" s="186"/>
      <c r="Y207" s="186"/>
    </row>
    <row r="208" spans="1:25" x14ac:dyDescent="0.2">
      <c r="A208" s="186"/>
      <c r="B208" s="186"/>
      <c r="C208" s="186"/>
      <c r="D208" s="186"/>
      <c r="E208" s="186"/>
      <c r="F208" s="186"/>
      <c r="G208" s="186"/>
      <c r="H208" s="186"/>
      <c r="I208" s="186"/>
      <c r="J208" s="186"/>
      <c r="K208" s="186"/>
      <c r="L208" s="186"/>
      <c r="M208" s="186"/>
      <c r="N208" s="186"/>
      <c r="O208" s="187"/>
      <c r="P208" s="186"/>
      <c r="Q208" s="186"/>
      <c r="R208" s="186"/>
      <c r="S208" s="186"/>
      <c r="T208" s="186"/>
      <c r="U208" s="186"/>
      <c r="V208" s="186"/>
      <c r="W208" s="186"/>
      <c r="X208" s="186"/>
      <c r="Y208" s="186"/>
    </row>
    <row r="209" spans="1:25" x14ac:dyDescent="0.2">
      <c r="A209" s="186"/>
      <c r="B209" s="186"/>
      <c r="C209" s="186"/>
      <c r="D209" s="186"/>
      <c r="E209" s="186"/>
      <c r="F209" s="186"/>
      <c r="G209" s="186"/>
      <c r="H209" s="186"/>
      <c r="I209" s="186"/>
      <c r="J209" s="186"/>
      <c r="K209" s="186"/>
      <c r="L209" s="186"/>
      <c r="M209" s="186"/>
      <c r="N209" s="186"/>
      <c r="O209" s="187"/>
      <c r="P209" s="186"/>
      <c r="Q209" s="186"/>
      <c r="R209" s="186"/>
      <c r="S209" s="186"/>
      <c r="T209" s="186"/>
      <c r="U209" s="186"/>
      <c r="V209" s="186"/>
      <c r="W209" s="186"/>
      <c r="X209" s="186"/>
      <c r="Y209" s="186"/>
    </row>
    <row r="210" spans="1:25" x14ac:dyDescent="0.2">
      <c r="A210" s="186"/>
      <c r="B210" s="186"/>
      <c r="C210" s="186"/>
      <c r="D210" s="186"/>
      <c r="E210" s="186"/>
      <c r="F210" s="186"/>
      <c r="G210" s="186"/>
      <c r="H210" s="186"/>
      <c r="I210" s="186"/>
      <c r="J210" s="186"/>
      <c r="K210" s="186"/>
      <c r="L210" s="186"/>
      <c r="M210" s="186"/>
      <c r="N210" s="186"/>
      <c r="O210" s="187"/>
      <c r="P210" s="186"/>
      <c r="Q210" s="186"/>
      <c r="R210" s="186"/>
      <c r="S210" s="186"/>
      <c r="T210" s="186"/>
      <c r="U210" s="186"/>
      <c r="V210" s="186"/>
      <c r="W210" s="186"/>
      <c r="X210" s="186"/>
      <c r="Y210" s="186"/>
    </row>
    <row r="211" spans="1:25" x14ac:dyDescent="0.2">
      <c r="A211" s="186"/>
      <c r="B211" s="186"/>
      <c r="C211" s="186"/>
      <c r="D211" s="186"/>
      <c r="E211" s="186"/>
      <c r="F211" s="186"/>
      <c r="G211" s="186"/>
      <c r="H211" s="186"/>
      <c r="I211" s="186"/>
      <c r="J211" s="186"/>
      <c r="K211" s="186"/>
      <c r="L211" s="186"/>
      <c r="M211" s="186"/>
      <c r="N211" s="186"/>
      <c r="O211" s="187"/>
      <c r="P211" s="186"/>
      <c r="Q211" s="186"/>
      <c r="R211" s="186"/>
      <c r="S211" s="186"/>
      <c r="T211" s="186"/>
      <c r="U211" s="186"/>
      <c r="V211" s="186"/>
      <c r="W211" s="186"/>
      <c r="X211" s="186"/>
      <c r="Y211" s="186"/>
    </row>
    <row r="212" spans="1:25" x14ac:dyDescent="0.2">
      <c r="A212" s="186"/>
      <c r="B212" s="186"/>
      <c r="C212" s="186"/>
      <c r="D212" s="186"/>
      <c r="E212" s="186"/>
      <c r="F212" s="186"/>
      <c r="G212" s="186"/>
      <c r="H212" s="186"/>
      <c r="I212" s="186"/>
      <c r="J212" s="186"/>
      <c r="K212" s="186"/>
      <c r="L212" s="186"/>
      <c r="M212" s="186"/>
      <c r="N212" s="186"/>
      <c r="O212" s="187"/>
      <c r="P212" s="186"/>
      <c r="Q212" s="186"/>
      <c r="R212" s="186"/>
      <c r="S212" s="186"/>
      <c r="T212" s="186"/>
      <c r="U212" s="186"/>
      <c r="V212" s="186"/>
      <c r="W212" s="186"/>
      <c r="X212" s="186"/>
      <c r="Y212" s="186"/>
    </row>
    <row r="213" spans="1:25" x14ac:dyDescent="0.2">
      <c r="A213" s="186"/>
      <c r="B213" s="186"/>
      <c r="C213" s="186"/>
      <c r="D213" s="186"/>
      <c r="E213" s="186"/>
      <c r="F213" s="186"/>
      <c r="G213" s="186"/>
      <c r="H213" s="186"/>
      <c r="I213" s="186"/>
      <c r="J213" s="186"/>
      <c r="K213" s="186"/>
      <c r="L213" s="186"/>
      <c r="M213" s="186"/>
      <c r="N213" s="186"/>
      <c r="O213" s="187"/>
      <c r="P213" s="186"/>
      <c r="Q213" s="186"/>
      <c r="R213" s="186"/>
      <c r="S213" s="186"/>
      <c r="T213" s="186"/>
      <c r="U213" s="186"/>
      <c r="V213" s="186"/>
      <c r="W213" s="186"/>
      <c r="X213" s="186"/>
      <c r="Y213" s="186"/>
    </row>
    <row r="214" spans="1:25" x14ac:dyDescent="0.2">
      <c r="A214" s="186"/>
      <c r="B214" s="186"/>
      <c r="C214" s="186"/>
      <c r="D214" s="186"/>
      <c r="E214" s="186"/>
      <c r="F214" s="186"/>
      <c r="G214" s="186"/>
      <c r="H214" s="186"/>
      <c r="I214" s="186"/>
      <c r="J214" s="186"/>
      <c r="K214" s="186"/>
      <c r="L214" s="186"/>
      <c r="M214" s="186"/>
      <c r="N214" s="186"/>
      <c r="O214" s="187"/>
      <c r="P214" s="186"/>
      <c r="Q214" s="186"/>
      <c r="R214" s="186"/>
      <c r="S214" s="186"/>
      <c r="T214" s="186"/>
      <c r="U214" s="186"/>
      <c r="V214" s="186"/>
      <c r="W214" s="186"/>
      <c r="X214" s="186"/>
      <c r="Y214" s="186"/>
    </row>
    <row r="215" spans="1:25" x14ac:dyDescent="0.2">
      <c r="A215" s="186"/>
      <c r="B215" s="186"/>
      <c r="C215" s="186"/>
      <c r="D215" s="186"/>
      <c r="E215" s="186"/>
      <c r="F215" s="186"/>
      <c r="G215" s="186"/>
      <c r="H215" s="186"/>
      <c r="I215" s="186"/>
      <c r="J215" s="186"/>
      <c r="K215" s="186"/>
      <c r="L215" s="186"/>
      <c r="M215" s="186"/>
      <c r="N215" s="186"/>
      <c r="O215" s="187"/>
      <c r="P215" s="186"/>
      <c r="Q215" s="186"/>
      <c r="R215" s="186"/>
      <c r="S215" s="186"/>
      <c r="T215" s="186"/>
      <c r="U215" s="186"/>
      <c r="V215" s="186"/>
      <c r="W215" s="186"/>
      <c r="X215" s="186"/>
      <c r="Y215" s="186"/>
    </row>
    <row r="216" spans="1:25" x14ac:dyDescent="0.2">
      <c r="A216" s="186"/>
      <c r="B216" s="186"/>
      <c r="C216" s="186"/>
      <c r="D216" s="186"/>
      <c r="E216" s="186"/>
      <c r="F216" s="186"/>
      <c r="G216" s="186"/>
      <c r="H216" s="186"/>
      <c r="I216" s="186"/>
      <c r="J216" s="186"/>
      <c r="K216" s="186"/>
      <c r="L216" s="186"/>
      <c r="M216" s="186"/>
      <c r="N216" s="186"/>
      <c r="O216" s="187"/>
      <c r="P216" s="186"/>
      <c r="Q216" s="186"/>
      <c r="R216" s="186"/>
      <c r="S216" s="186"/>
      <c r="T216" s="186"/>
      <c r="U216" s="186"/>
      <c r="V216" s="186"/>
      <c r="W216" s="186"/>
      <c r="X216" s="186"/>
      <c r="Y216" s="186"/>
    </row>
    <row r="217" spans="1:25" x14ac:dyDescent="0.2">
      <c r="A217" s="186"/>
      <c r="B217" s="186"/>
      <c r="C217" s="186"/>
      <c r="D217" s="186"/>
      <c r="E217" s="186"/>
      <c r="F217" s="186"/>
      <c r="G217" s="186"/>
      <c r="H217" s="186"/>
      <c r="I217" s="186"/>
      <c r="J217" s="186"/>
      <c r="K217" s="186"/>
      <c r="L217" s="186"/>
      <c r="M217" s="186"/>
      <c r="N217" s="186"/>
      <c r="O217" s="187"/>
      <c r="P217" s="186"/>
      <c r="Q217" s="186"/>
      <c r="R217" s="186"/>
      <c r="S217" s="186"/>
      <c r="T217" s="186"/>
      <c r="U217" s="186"/>
      <c r="V217" s="186"/>
      <c r="W217" s="186"/>
      <c r="X217" s="186"/>
      <c r="Y217" s="186"/>
    </row>
    <row r="218" spans="1:25" x14ac:dyDescent="0.2">
      <c r="A218" s="186"/>
      <c r="B218" s="186"/>
      <c r="C218" s="186"/>
      <c r="D218" s="186"/>
      <c r="E218" s="186"/>
      <c r="F218" s="186"/>
      <c r="G218" s="186"/>
      <c r="H218" s="186"/>
      <c r="I218" s="186"/>
      <c r="J218" s="186"/>
      <c r="K218" s="186"/>
      <c r="L218" s="186"/>
      <c r="M218" s="186"/>
      <c r="N218" s="186"/>
      <c r="O218" s="187"/>
      <c r="P218" s="186"/>
      <c r="Q218" s="186"/>
      <c r="R218" s="186"/>
      <c r="S218" s="186"/>
      <c r="T218" s="186"/>
      <c r="U218" s="186"/>
      <c r="V218" s="186"/>
      <c r="W218" s="186"/>
      <c r="X218" s="186"/>
      <c r="Y218" s="186"/>
    </row>
    <row r="219" spans="1:25" x14ac:dyDescent="0.2">
      <c r="A219" s="186"/>
      <c r="B219" s="186"/>
      <c r="C219" s="186"/>
      <c r="D219" s="186"/>
      <c r="E219" s="186"/>
      <c r="F219" s="186"/>
      <c r="G219" s="186"/>
      <c r="H219" s="186"/>
      <c r="I219" s="186"/>
      <c r="J219" s="186"/>
      <c r="K219" s="186"/>
      <c r="L219" s="186"/>
      <c r="M219" s="186"/>
      <c r="N219" s="186"/>
      <c r="O219" s="187"/>
      <c r="P219" s="186"/>
      <c r="Q219" s="186"/>
      <c r="R219" s="186"/>
      <c r="S219" s="186"/>
      <c r="T219" s="186"/>
      <c r="U219" s="186"/>
      <c r="V219" s="186"/>
      <c r="W219" s="186"/>
      <c r="X219" s="186"/>
      <c r="Y219" s="186"/>
    </row>
    <row r="220" spans="1:25" x14ac:dyDescent="0.2">
      <c r="A220" s="186"/>
      <c r="B220" s="186"/>
      <c r="C220" s="186"/>
      <c r="D220" s="186"/>
      <c r="E220" s="186"/>
      <c r="F220" s="186"/>
      <c r="G220" s="186"/>
      <c r="H220" s="186"/>
      <c r="I220" s="186"/>
      <c r="J220" s="186"/>
      <c r="K220" s="186"/>
      <c r="L220" s="186"/>
      <c r="M220" s="186"/>
      <c r="N220" s="186"/>
      <c r="O220" s="187"/>
      <c r="P220" s="186"/>
      <c r="Q220" s="186"/>
      <c r="R220" s="186"/>
      <c r="S220" s="186"/>
      <c r="T220" s="186"/>
      <c r="U220" s="186"/>
      <c r="V220" s="186"/>
      <c r="W220" s="186"/>
      <c r="X220" s="186"/>
      <c r="Y220" s="186"/>
    </row>
    <row r="221" spans="1:25" x14ac:dyDescent="0.2">
      <c r="A221" s="186"/>
      <c r="B221" s="186"/>
      <c r="C221" s="186"/>
      <c r="D221" s="186"/>
      <c r="E221" s="186"/>
      <c r="F221" s="186"/>
      <c r="G221" s="186"/>
      <c r="H221" s="186"/>
      <c r="I221" s="186"/>
      <c r="J221" s="186"/>
      <c r="K221" s="186"/>
      <c r="L221" s="186"/>
      <c r="M221" s="186"/>
      <c r="N221" s="186"/>
      <c r="O221" s="187"/>
      <c r="P221" s="186"/>
      <c r="Q221" s="186"/>
      <c r="R221" s="186"/>
      <c r="S221" s="186"/>
      <c r="T221" s="186"/>
      <c r="U221" s="186"/>
      <c r="V221" s="186"/>
      <c r="W221" s="186"/>
      <c r="X221" s="186"/>
      <c r="Y221" s="186"/>
    </row>
    <row r="222" spans="1:25" x14ac:dyDescent="0.2">
      <c r="A222" s="186"/>
      <c r="B222" s="186"/>
      <c r="C222" s="186"/>
      <c r="D222" s="186"/>
      <c r="E222" s="186"/>
      <c r="F222" s="186"/>
      <c r="G222" s="186"/>
      <c r="H222" s="186"/>
      <c r="I222" s="186"/>
      <c r="J222" s="186"/>
      <c r="K222" s="186"/>
      <c r="L222" s="186"/>
      <c r="M222" s="186"/>
      <c r="N222" s="186"/>
      <c r="O222" s="187"/>
      <c r="P222" s="186"/>
      <c r="Q222" s="186"/>
      <c r="R222" s="186"/>
      <c r="S222" s="186"/>
      <c r="T222" s="186"/>
      <c r="U222" s="186"/>
      <c r="V222" s="186"/>
      <c r="W222" s="186"/>
      <c r="X222" s="186"/>
      <c r="Y222" s="186"/>
    </row>
    <row r="223" spans="1:25" x14ac:dyDescent="0.2">
      <c r="A223" s="186"/>
      <c r="B223" s="186"/>
      <c r="C223" s="186"/>
      <c r="D223" s="186"/>
      <c r="E223" s="186"/>
      <c r="F223" s="186"/>
      <c r="G223" s="186"/>
      <c r="H223" s="186"/>
      <c r="I223" s="186"/>
      <c r="J223" s="186"/>
      <c r="K223" s="186"/>
      <c r="L223" s="186"/>
      <c r="M223" s="186"/>
      <c r="N223" s="186"/>
      <c r="O223" s="187"/>
      <c r="P223" s="186"/>
      <c r="Q223" s="186"/>
      <c r="R223" s="186"/>
      <c r="S223" s="186"/>
      <c r="T223" s="186"/>
      <c r="U223" s="186"/>
      <c r="V223" s="186"/>
      <c r="W223" s="186"/>
      <c r="X223" s="186"/>
      <c r="Y223" s="186"/>
    </row>
    <row r="224" spans="1:25" x14ac:dyDescent="0.2">
      <c r="A224" s="186"/>
      <c r="B224" s="186"/>
      <c r="C224" s="186"/>
      <c r="D224" s="186"/>
      <c r="E224" s="186"/>
      <c r="F224" s="186"/>
      <c r="G224" s="186"/>
      <c r="H224" s="186"/>
      <c r="I224" s="186"/>
      <c r="J224" s="186"/>
      <c r="K224" s="186"/>
      <c r="L224" s="186"/>
      <c r="M224" s="186"/>
      <c r="N224" s="186"/>
      <c r="O224" s="187"/>
      <c r="P224" s="186"/>
      <c r="Q224" s="186"/>
      <c r="R224" s="186"/>
      <c r="S224" s="186"/>
      <c r="T224" s="186"/>
      <c r="U224" s="186"/>
      <c r="V224" s="186"/>
      <c r="W224" s="186"/>
      <c r="X224" s="186"/>
      <c r="Y224" s="186"/>
    </row>
    <row r="225" spans="1:25" x14ac:dyDescent="0.2">
      <c r="A225" s="186"/>
      <c r="B225" s="186"/>
      <c r="C225" s="186"/>
      <c r="D225" s="186"/>
      <c r="E225" s="186"/>
      <c r="F225" s="186"/>
      <c r="G225" s="186"/>
      <c r="H225" s="186"/>
      <c r="I225" s="186"/>
      <c r="J225" s="186"/>
      <c r="K225" s="186"/>
      <c r="L225" s="186"/>
      <c r="M225" s="186"/>
      <c r="N225" s="186"/>
      <c r="O225" s="187"/>
      <c r="P225" s="186"/>
      <c r="Q225" s="186"/>
      <c r="R225" s="186"/>
      <c r="S225" s="186"/>
      <c r="T225" s="186"/>
      <c r="U225" s="186"/>
      <c r="V225" s="186"/>
      <c r="W225" s="186"/>
      <c r="X225" s="186"/>
      <c r="Y225" s="186"/>
    </row>
    <row r="226" spans="1:25" x14ac:dyDescent="0.2">
      <c r="A226" s="186"/>
      <c r="B226" s="186"/>
      <c r="C226" s="186"/>
      <c r="D226" s="186"/>
      <c r="E226" s="186"/>
      <c r="F226" s="186"/>
      <c r="G226" s="186"/>
      <c r="H226" s="186"/>
      <c r="I226" s="186"/>
      <c r="J226" s="186"/>
      <c r="K226" s="186"/>
      <c r="L226" s="186"/>
      <c r="M226" s="186"/>
      <c r="N226" s="186"/>
      <c r="O226" s="187"/>
      <c r="P226" s="186"/>
      <c r="Q226" s="186"/>
      <c r="R226" s="186"/>
      <c r="S226" s="186"/>
      <c r="T226" s="186"/>
      <c r="U226" s="186"/>
      <c r="V226" s="186"/>
      <c r="W226" s="186"/>
      <c r="X226" s="186"/>
      <c r="Y226" s="186"/>
    </row>
    <row r="227" spans="1:25" x14ac:dyDescent="0.2">
      <c r="A227" s="186"/>
      <c r="B227" s="186"/>
      <c r="C227" s="186"/>
      <c r="D227" s="186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7"/>
      <c r="P227" s="186"/>
      <c r="Q227" s="186"/>
      <c r="R227" s="186"/>
      <c r="S227" s="186"/>
      <c r="T227" s="186"/>
      <c r="U227" s="186"/>
      <c r="V227" s="186"/>
      <c r="W227" s="186"/>
      <c r="X227" s="186"/>
      <c r="Y227" s="186"/>
    </row>
    <row r="228" spans="1:25" x14ac:dyDescent="0.2">
      <c r="A228" s="186"/>
      <c r="B228" s="186"/>
      <c r="C228" s="186"/>
      <c r="D228" s="186"/>
      <c r="E228" s="186"/>
      <c r="F228" s="186"/>
      <c r="G228" s="186"/>
      <c r="H228" s="186"/>
      <c r="I228" s="186"/>
      <c r="J228" s="186"/>
      <c r="K228" s="186"/>
      <c r="L228" s="186"/>
      <c r="M228" s="186"/>
      <c r="N228" s="186"/>
      <c r="O228" s="187"/>
      <c r="P228" s="186"/>
      <c r="Q228" s="186"/>
      <c r="R228" s="186"/>
      <c r="S228" s="186"/>
      <c r="T228" s="186"/>
      <c r="U228" s="186"/>
      <c r="V228" s="186"/>
      <c r="W228" s="186"/>
      <c r="X228" s="186"/>
      <c r="Y228" s="186"/>
    </row>
    <row r="229" spans="1:25" x14ac:dyDescent="0.2">
      <c r="A229" s="186"/>
      <c r="B229" s="186"/>
      <c r="C229" s="186"/>
      <c r="D229" s="186"/>
      <c r="E229" s="186"/>
      <c r="F229" s="186"/>
      <c r="G229" s="186"/>
      <c r="H229" s="186"/>
      <c r="I229" s="186"/>
      <c r="J229" s="186"/>
      <c r="K229" s="186"/>
      <c r="L229" s="186"/>
      <c r="M229" s="186"/>
      <c r="N229" s="186"/>
      <c r="O229" s="187"/>
      <c r="P229" s="186"/>
      <c r="Q229" s="186"/>
      <c r="R229" s="186"/>
      <c r="S229" s="186"/>
      <c r="T229" s="186"/>
      <c r="U229" s="186"/>
      <c r="V229" s="186"/>
      <c r="W229" s="186"/>
      <c r="X229" s="186"/>
      <c r="Y229" s="186"/>
    </row>
    <row r="230" spans="1:25" x14ac:dyDescent="0.2">
      <c r="A230" s="186"/>
      <c r="B230" s="186"/>
      <c r="C230" s="186"/>
      <c r="D230" s="186"/>
      <c r="E230" s="186"/>
      <c r="F230" s="186"/>
      <c r="G230" s="186"/>
      <c r="H230" s="186"/>
      <c r="I230" s="186"/>
      <c r="J230" s="186"/>
      <c r="K230" s="186"/>
      <c r="L230" s="186"/>
      <c r="M230" s="186"/>
      <c r="N230" s="186"/>
      <c r="O230" s="187"/>
      <c r="P230" s="186"/>
      <c r="Q230" s="186"/>
      <c r="R230" s="186"/>
      <c r="S230" s="186"/>
      <c r="T230" s="186"/>
      <c r="U230" s="186"/>
      <c r="V230" s="186"/>
      <c r="W230" s="186"/>
      <c r="X230" s="186"/>
      <c r="Y230" s="186"/>
    </row>
    <row r="231" spans="1:25" x14ac:dyDescent="0.2">
      <c r="A231" s="186"/>
      <c r="B231" s="186"/>
      <c r="C231" s="186"/>
      <c r="D231" s="186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7"/>
      <c r="P231" s="186"/>
      <c r="Q231" s="186"/>
      <c r="R231" s="186"/>
      <c r="S231" s="186"/>
      <c r="T231" s="186"/>
      <c r="U231" s="186"/>
      <c r="V231" s="186"/>
      <c r="W231" s="186"/>
      <c r="X231" s="186"/>
      <c r="Y231" s="186"/>
    </row>
    <row r="232" spans="1:25" x14ac:dyDescent="0.2">
      <c r="A232" s="186"/>
      <c r="B232" s="186"/>
      <c r="C232" s="186"/>
      <c r="D232" s="186"/>
      <c r="E232" s="186"/>
      <c r="F232" s="186"/>
      <c r="G232" s="186"/>
      <c r="H232" s="186"/>
      <c r="I232" s="186"/>
      <c r="J232" s="186"/>
      <c r="K232" s="186"/>
      <c r="L232" s="186"/>
      <c r="M232" s="186"/>
      <c r="N232" s="186"/>
      <c r="O232" s="187"/>
      <c r="P232" s="186"/>
      <c r="Q232" s="186"/>
      <c r="R232" s="186"/>
      <c r="S232" s="186"/>
      <c r="T232" s="186"/>
      <c r="U232" s="186"/>
      <c r="V232" s="186"/>
      <c r="W232" s="186"/>
      <c r="X232" s="186"/>
      <c r="Y232" s="186"/>
    </row>
    <row r="233" spans="1:25" x14ac:dyDescent="0.2">
      <c r="A233" s="186"/>
      <c r="B233" s="186"/>
      <c r="C233" s="186"/>
      <c r="D233" s="186"/>
      <c r="E233" s="186"/>
      <c r="F233" s="186"/>
      <c r="G233" s="186"/>
      <c r="H233" s="186"/>
      <c r="I233" s="186"/>
      <c r="J233" s="186"/>
      <c r="K233" s="186"/>
      <c r="L233" s="186"/>
      <c r="M233" s="186"/>
      <c r="N233" s="186"/>
      <c r="O233" s="187"/>
      <c r="P233" s="186"/>
      <c r="Q233" s="186"/>
      <c r="R233" s="186"/>
      <c r="S233" s="186"/>
      <c r="T233" s="186"/>
      <c r="U233" s="186"/>
      <c r="V233" s="186"/>
      <c r="W233" s="186"/>
      <c r="X233" s="186"/>
      <c r="Y233" s="186"/>
    </row>
    <row r="234" spans="1:25" x14ac:dyDescent="0.2">
      <c r="A234" s="186"/>
      <c r="B234" s="186"/>
      <c r="C234" s="186"/>
      <c r="D234" s="186"/>
      <c r="E234" s="186"/>
      <c r="F234" s="186"/>
      <c r="G234" s="186"/>
      <c r="H234" s="186"/>
      <c r="I234" s="186"/>
      <c r="J234" s="186"/>
      <c r="K234" s="186"/>
      <c r="L234" s="186"/>
      <c r="M234" s="186"/>
      <c r="N234" s="186"/>
      <c r="O234" s="187"/>
      <c r="P234" s="186"/>
      <c r="Q234" s="186"/>
      <c r="R234" s="186"/>
      <c r="S234" s="186"/>
      <c r="T234" s="186"/>
      <c r="U234" s="186"/>
      <c r="V234" s="186"/>
      <c r="W234" s="186"/>
      <c r="X234" s="186"/>
      <c r="Y234" s="186"/>
    </row>
    <row r="235" spans="1:25" x14ac:dyDescent="0.2">
      <c r="A235" s="186"/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186"/>
      <c r="O235" s="187"/>
      <c r="P235" s="186"/>
      <c r="Q235" s="186"/>
      <c r="R235" s="186"/>
      <c r="S235" s="186"/>
      <c r="T235" s="186"/>
      <c r="U235" s="186"/>
      <c r="V235" s="186"/>
      <c r="W235" s="186"/>
      <c r="X235" s="186"/>
      <c r="Y235" s="186"/>
    </row>
    <row r="236" spans="1:25" x14ac:dyDescent="0.2">
      <c r="A236" s="186"/>
      <c r="B236" s="186"/>
      <c r="C236" s="186"/>
      <c r="D236" s="186"/>
      <c r="E236" s="186"/>
      <c r="F236" s="186"/>
      <c r="G236" s="186"/>
      <c r="H236" s="186"/>
      <c r="I236" s="186"/>
      <c r="J236" s="186"/>
      <c r="K236" s="186"/>
      <c r="L236" s="186"/>
      <c r="M236" s="186"/>
      <c r="N236" s="186"/>
      <c r="O236" s="187"/>
      <c r="P236" s="186"/>
      <c r="Q236" s="186"/>
      <c r="R236" s="186"/>
      <c r="S236" s="186"/>
      <c r="T236" s="186"/>
      <c r="U236" s="186"/>
      <c r="V236" s="186"/>
      <c r="W236" s="186"/>
      <c r="X236" s="186"/>
      <c r="Y236" s="186"/>
    </row>
    <row r="237" spans="1:25" x14ac:dyDescent="0.2">
      <c r="A237" s="186"/>
      <c r="B237" s="186"/>
      <c r="C237" s="186"/>
      <c r="D237" s="186"/>
      <c r="E237" s="186"/>
      <c r="F237" s="186"/>
      <c r="G237" s="186"/>
      <c r="H237" s="186"/>
      <c r="I237" s="186"/>
      <c r="J237" s="186"/>
      <c r="K237" s="186"/>
      <c r="L237" s="186"/>
      <c r="M237" s="186"/>
      <c r="N237" s="186"/>
      <c r="O237" s="187"/>
      <c r="P237" s="186"/>
      <c r="Q237" s="186"/>
      <c r="R237" s="186"/>
      <c r="S237" s="186"/>
      <c r="T237" s="186"/>
      <c r="U237" s="186"/>
      <c r="V237" s="186"/>
      <c r="W237" s="186"/>
      <c r="X237" s="186"/>
      <c r="Y237" s="186"/>
    </row>
    <row r="238" spans="1:25" x14ac:dyDescent="0.2">
      <c r="A238" s="186"/>
      <c r="B238" s="186"/>
      <c r="C238" s="186"/>
      <c r="D238" s="186"/>
      <c r="E238" s="186"/>
      <c r="F238" s="186"/>
      <c r="G238" s="186"/>
      <c r="H238" s="186"/>
      <c r="I238" s="186"/>
      <c r="J238" s="186"/>
      <c r="K238" s="186"/>
      <c r="L238" s="186"/>
      <c r="M238" s="186"/>
      <c r="N238" s="186"/>
      <c r="O238" s="187"/>
      <c r="P238" s="186"/>
      <c r="Q238" s="186"/>
      <c r="R238" s="186"/>
      <c r="S238" s="186"/>
      <c r="T238" s="186"/>
      <c r="U238" s="186"/>
      <c r="V238" s="186"/>
      <c r="W238" s="186"/>
      <c r="X238" s="186"/>
      <c r="Y238" s="186"/>
    </row>
    <row r="239" spans="1:25" x14ac:dyDescent="0.2">
      <c r="A239" s="186"/>
      <c r="B239" s="186"/>
      <c r="C239" s="186"/>
      <c r="D239" s="186"/>
      <c r="E239" s="186"/>
      <c r="F239" s="186"/>
      <c r="G239" s="186"/>
      <c r="H239" s="186"/>
      <c r="I239" s="186"/>
      <c r="J239" s="186"/>
      <c r="K239" s="186"/>
      <c r="L239" s="186"/>
      <c r="M239" s="186"/>
      <c r="N239" s="186"/>
      <c r="O239" s="187"/>
      <c r="P239" s="186"/>
      <c r="Q239" s="186"/>
      <c r="R239" s="186"/>
      <c r="S239" s="186"/>
      <c r="T239" s="186"/>
      <c r="U239" s="186"/>
      <c r="V239" s="186"/>
      <c r="W239" s="186"/>
      <c r="X239" s="186"/>
      <c r="Y239" s="186"/>
    </row>
    <row r="240" spans="1:25" x14ac:dyDescent="0.2">
      <c r="A240" s="186"/>
      <c r="B240" s="186"/>
      <c r="C240" s="186"/>
      <c r="D240" s="186"/>
      <c r="E240" s="186"/>
      <c r="F240" s="186"/>
      <c r="G240" s="186"/>
      <c r="H240" s="186"/>
      <c r="I240" s="186"/>
      <c r="J240" s="186"/>
      <c r="K240" s="186"/>
      <c r="L240" s="186"/>
      <c r="M240" s="186"/>
      <c r="N240" s="186"/>
      <c r="O240" s="187"/>
      <c r="P240" s="186"/>
      <c r="Q240" s="186"/>
      <c r="R240" s="186"/>
      <c r="S240" s="186"/>
      <c r="T240" s="186"/>
      <c r="U240" s="186"/>
      <c r="V240" s="186"/>
      <c r="W240" s="186"/>
      <c r="X240" s="186"/>
      <c r="Y240" s="186"/>
    </row>
    <row r="241" spans="1:25" x14ac:dyDescent="0.2">
      <c r="A241" s="186"/>
      <c r="B241" s="186"/>
      <c r="C241" s="186"/>
      <c r="D241" s="186"/>
      <c r="E241" s="186"/>
      <c r="F241" s="186"/>
      <c r="G241" s="186"/>
      <c r="H241" s="186"/>
      <c r="I241" s="186"/>
      <c r="J241" s="186"/>
      <c r="K241" s="186"/>
      <c r="L241" s="186"/>
      <c r="M241" s="186"/>
      <c r="N241" s="186"/>
      <c r="O241" s="187"/>
      <c r="P241" s="186"/>
      <c r="Q241" s="186"/>
      <c r="R241" s="186"/>
      <c r="S241" s="186"/>
      <c r="T241" s="186"/>
      <c r="U241" s="186"/>
      <c r="V241" s="186"/>
      <c r="W241" s="186"/>
      <c r="X241" s="186"/>
      <c r="Y241" s="186"/>
    </row>
    <row r="242" spans="1:25" x14ac:dyDescent="0.2">
      <c r="A242" s="186"/>
      <c r="B242" s="186"/>
      <c r="C242" s="186"/>
      <c r="D242" s="186"/>
      <c r="E242" s="186"/>
      <c r="F242" s="186"/>
      <c r="G242" s="186"/>
      <c r="H242" s="186"/>
      <c r="I242" s="186"/>
      <c r="J242" s="186"/>
      <c r="K242" s="186"/>
      <c r="L242" s="186"/>
      <c r="M242" s="186"/>
      <c r="N242" s="186"/>
      <c r="O242" s="187"/>
      <c r="P242" s="186"/>
      <c r="Q242" s="186"/>
      <c r="R242" s="186"/>
      <c r="S242" s="186"/>
      <c r="T242" s="186"/>
      <c r="U242" s="186"/>
      <c r="V242" s="186"/>
      <c r="W242" s="186"/>
      <c r="X242" s="186"/>
      <c r="Y242" s="186"/>
    </row>
    <row r="243" spans="1:25" x14ac:dyDescent="0.2">
      <c r="A243" s="186"/>
      <c r="B243" s="186"/>
      <c r="C243" s="186"/>
      <c r="D243" s="186"/>
      <c r="E243" s="186"/>
      <c r="F243" s="186"/>
      <c r="G243" s="186"/>
      <c r="H243" s="186"/>
      <c r="I243" s="186"/>
      <c r="J243" s="186"/>
      <c r="K243" s="186"/>
      <c r="L243" s="186"/>
      <c r="M243" s="186"/>
      <c r="N243" s="186"/>
      <c r="O243" s="187"/>
      <c r="P243" s="186"/>
      <c r="Q243" s="186"/>
      <c r="R243" s="186"/>
      <c r="S243" s="186"/>
      <c r="T243" s="186"/>
      <c r="U243" s="186"/>
      <c r="V243" s="186"/>
      <c r="W243" s="186"/>
      <c r="X243" s="186"/>
      <c r="Y243" s="186"/>
    </row>
    <row r="244" spans="1:25" x14ac:dyDescent="0.2">
      <c r="A244" s="186"/>
      <c r="B244" s="186"/>
      <c r="C244" s="186"/>
      <c r="D244" s="186"/>
      <c r="E244" s="186"/>
      <c r="F244" s="186"/>
      <c r="G244" s="186"/>
      <c r="H244" s="186"/>
      <c r="I244" s="186"/>
      <c r="J244" s="186"/>
      <c r="K244" s="186"/>
      <c r="L244" s="186"/>
      <c r="M244" s="186"/>
      <c r="N244" s="186"/>
      <c r="O244" s="187"/>
      <c r="P244" s="186"/>
      <c r="Q244" s="186"/>
      <c r="R244" s="186"/>
      <c r="S244" s="186"/>
      <c r="T244" s="186"/>
      <c r="U244" s="186"/>
      <c r="V244" s="186"/>
      <c r="W244" s="186"/>
      <c r="X244" s="186"/>
      <c r="Y244" s="186"/>
    </row>
    <row r="245" spans="1:25" x14ac:dyDescent="0.2">
      <c r="A245" s="186"/>
      <c r="B245" s="186"/>
      <c r="C245" s="186"/>
      <c r="D245" s="186"/>
      <c r="E245" s="186"/>
      <c r="F245" s="186"/>
      <c r="G245" s="186"/>
      <c r="H245" s="186"/>
      <c r="I245" s="186"/>
      <c r="J245" s="186"/>
      <c r="K245" s="186"/>
      <c r="L245" s="186"/>
      <c r="M245" s="186"/>
      <c r="N245" s="186"/>
      <c r="O245" s="187"/>
      <c r="P245" s="186"/>
      <c r="Q245" s="186"/>
      <c r="R245" s="186"/>
      <c r="S245" s="186"/>
      <c r="T245" s="186"/>
      <c r="U245" s="186"/>
      <c r="V245" s="186"/>
      <c r="W245" s="186"/>
      <c r="X245" s="186"/>
      <c r="Y245" s="186"/>
    </row>
    <row r="246" spans="1:25" x14ac:dyDescent="0.2">
      <c r="A246" s="186"/>
      <c r="B246" s="186"/>
      <c r="C246" s="186"/>
      <c r="D246" s="186"/>
      <c r="E246" s="186"/>
      <c r="F246" s="186"/>
      <c r="G246" s="186"/>
      <c r="H246" s="186"/>
      <c r="I246" s="186"/>
      <c r="J246" s="186"/>
      <c r="K246" s="186"/>
      <c r="L246" s="186"/>
      <c r="M246" s="186"/>
      <c r="N246" s="186"/>
      <c r="O246" s="187"/>
      <c r="P246" s="186"/>
      <c r="Q246" s="186"/>
      <c r="R246" s="186"/>
      <c r="S246" s="186"/>
      <c r="T246" s="186"/>
      <c r="U246" s="186"/>
      <c r="V246" s="186"/>
      <c r="W246" s="186"/>
      <c r="X246" s="186"/>
      <c r="Y246" s="186"/>
    </row>
    <row r="247" spans="1:25" x14ac:dyDescent="0.2">
      <c r="A247" s="186"/>
      <c r="B247" s="186"/>
      <c r="C247" s="186"/>
      <c r="D247" s="186"/>
      <c r="E247" s="186"/>
      <c r="F247" s="186"/>
      <c r="G247" s="186"/>
      <c r="H247" s="186"/>
      <c r="I247" s="186"/>
      <c r="J247" s="186"/>
      <c r="K247" s="186"/>
      <c r="L247" s="186"/>
      <c r="M247" s="186"/>
      <c r="N247" s="186"/>
      <c r="O247" s="187"/>
      <c r="P247" s="186"/>
      <c r="Q247" s="186"/>
      <c r="R247" s="186"/>
      <c r="S247" s="186"/>
      <c r="T247" s="186"/>
      <c r="U247" s="186"/>
      <c r="V247" s="186"/>
      <c r="W247" s="186"/>
      <c r="X247" s="186"/>
      <c r="Y247" s="186"/>
    </row>
    <row r="248" spans="1:25" x14ac:dyDescent="0.2">
      <c r="A248" s="186"/>
      <c r="B248" s="186"/>
      <c r="C248" s="186"/>
      <c r="D248" s="186"/>
      <c r="E248" s="186"/>
      <c r="F248" s="186"/>
      <c r="G248" s="186"/>
      <c r="H248" s="186"/>
      <c r="I248" s="186"/>
      <c r="J248" s="186"/>
      <c r="K248" s="186"/>
      <c r="L248" s="186"/>
      <c r="M248" s="186"/>
      <c r="N248" s="186"/>
      <c r="O248" s="187"/>
      <c r="P248" s="186"/>
      <c r="Q248" s="186"/>
      <c r="R248" s="186"/>
      <c r="S248" s="186"/>
      <c r="T248" s="186"/>
      <c r="U248" s="186"/>
      <c r="V248" s="186"/>
      <c r="W248" s="186"/>
      <c r="X248" s="186"/>
      <c r="Y248" s="186"/>
    </row>
    <row r="249" spans="1:25" x14ac:dyDescent="0.2">
      <c r="A249" s="186"/>
      <c r="B249" s="186"/>
      <c r="C249" s="186"/>
      <c r="D249" s="186"/>
      <c r="E249" s="186"/>
      <c r="F249" s="186"/>
      <c r="G249" s="186"/>
      <c r="H249" s="186"/>
      <c r="I249" s="186"/>
      <c r="J249" s="186"/>
      <c r="K249" s="186"/>
      <c r="L249" s="186"/>
      <c r="M249" s="186"/>
      <c r="N249" s="186"/>
      <c r="O249" s="187"/>
      <c r="P249" s="186"/>
      <c r="Q249" s="186"/>
      <c r="R249" s="186"/>
      <c r="S249" s="186"/>
      <c r="T249" s="186"/>
      <c r="U249" s="186"/>
      <c r="V249" s="186"/>
      <c r="W249" s="186"/>
      <c r="X249" s="186"/>
      <c r="Y249" s="186"/>
    </row>
    <row r="250" spans="1:25" x14ac:dyDescent="0.2">
      <c r="A250" s="186"/>
      <c r="B250" s="186"/>
      <c r="C250" s="186"/>
      <c r="D250" s="186"/>
      <c r="E250" s="186"/>
      <c r="F250" s="186"/>
      <c r="G250" s="186"/>
      <c r="H250" s="186"/>
      <c r="I250" s="186"/>
      <c r="J250" s="186"/>
      <c r="K250" s="186"/>
      <c r="L250" s="186"/>
      <c r="M250" s="186"/>
      <c r="N250" s="186"/>
      <c r="O250" s="187"/>
      <c r="P250" s="186"/>
      <c r="Q250" s="186"/>
      <c r="R250" s="186"/>
      <c r="S250" s="186"/>
      <c r="T250" s="186"/>
      <c r="U250" s="186"/>
      <c r="V250" s="186"/>
      <c r="W250" s="186"/>
      <c r="X250" s="186"/>
      <c r="Y250" s="186"/>
    </row>
    <row r="251" spans="1:25" x14ac:dyDescent="0.2">
      <c r="A251" s="186"/>
      <c r="B251" s="186"/>
      <c r="C251" s="186"/>
      <c r="D251" s="186"/>
      <c r="E251" s="186"/>
      <c r="F251" s="186"/>
      <c r="G251" s="186"/>
      <c r="H251" s="186"/>
      <c r="I251" s="186"/>
      <c r="J251" s="186"/>
      <c r="K251" s="186"/>
      <c r="L251" s="186"/>
      <c r="M251" s="186"/>
      <c r="N251" s="186"/>
      <c r="O251" s="187"/>
      <c r="P251" s="186"/>
      <c r="Q251" s="186"/>
      <c r="R251" s="186"/>
      <c r="S251" s="186"/>
      <c r="T251" s="186"/>
      <c r="U251" s="186"/>
      <c r="V251" s="186"/>
      <c r="W251" s="186"/>
      <c r="X251" s="186"/>
      <c r="Y251" s="186"/>
    </row>
    <row r="252" spans="1:25" x14ac:dyDescent="0.2">
      <c r="A252" s="186"/>
      <c r="B252" s="186"/>
      <c r="C252" s="186"/>
      <c r="D252" s="186"/>
      <c r="E252" s="186"/>
      <c r="F252" s="186"/>
      <c r="G252" s="186"/>
      <c r="H252" s="186"/>
      <c r="I252" s="186"/>
      <c r="J252" s="186"/>
      <c r="K252" s="186"/>
      <c r="L252" s="186"/>
      <c r="M252" s="186"/>
      <c r="N252" s="186"/>
      <c r="O252" s="187"/>
      <c r="P252" s="186"/>
      <c r="Q252" s="186"/>
      <c r="R252" s="186"/>
      <c r="S252" s="186"/>
      <c r="T252" s="186"/>
      <c r="U252" s="186"/>
      <c r="V252" s="186"/>
      <c r="W252" s="186"/>
      <c r="X252" s="186"/>
      <c r="Y252" s="186"/>
    </row>
    <row r="253" spans="1:25" x14ac:dyDescent="0.2">
      <c r="A253" s="186"/>
      <c r="B253" s="186"/>
      <c r="C253" s="186"/>
      <c r="D253" s="186"/>
      <c r="E253" s="186"/>
      <c r="F253" s="186"/>
      <c r="G253" s="186"/>
      <c r="H253" s="186"/>
      <c r="I253" s="186"/>
      <c r="J253" s="186"/>
      <c r="K253" s="186"/>
      <c r="L253" s="186"/>
      <c r="M253" s="186"/>
      <c r="N253" s="186"/>
      <c r="O253" s="187"/>
      <c r="P253" s="186"/>
      <c r="Q253" s="186"/>
      <c r="R253" s="186"/>
      <c r="S253" s="186"/>
      <c r="T253" s="186"/>
      <c r="U253" s="186"/>
      <c r="V253" s="186"/>
      <c r="W253" s="186"/>
      <c r="X253" s="186"/>
      <c r="Y253" s="186"/>
    </row>
    <row r="254" spans="1:25" x14ac:dyDescent="0.2">
      <c r="A254" s="186"/>
      <c r="B254" s="186"/>
      <c r="C254" s="186"/>
      <c r="D254" s="186"/>
      <c r="E254" s="186"/>
      <c r="F254" s="186"/>
      <c r="G254" s="186"/>
      <c r="H254" s="186"/>
      <c r="I254" s="186"/>
      <c r="J254" s="186"/>
      <c r="K254" s="186"/>
      <c r="L254" s="186"/>
      <c r="M254" s="186"/>
      <c r="N254" s="186"/>
      <c r="O254" s="187"/>
      <c r="P254" s="186"/>
      <c r="Q254" s="186"/>
      <c r="R254" s="186"/>
      <c r="S254" s="186"/>
      <c r="T254" s="186"/>
      <c r="U254" s="186"/>
      <c r="V254" s="186"/>
      <c r="W254" s="186"/>
      <c r="X254" s="186"/>
      <c r="Y254" s="186"/>
    </row>
    <row r="255" spans="1:25" x14ac:dyDescent="0.2">
      <c r="A255" s="186"/>
      <c r="B255" s="186"/>
      <c r="C255" s="186"/>
      <c r="D255" s="186"/>
      <c r="E255" s="186"/>
      <c r="F255" s="186"/>
      <c r="G255" s="186"/>
      <c r="H255" s="186"/>
      <c r="I255" s="186"/>
      <c r="J255" s="186"/>
      <c r="K255" s="186"/>
      <c r="L255" s="186"/>
      <c r="M255" s="186"/>
      <c r="N255" s="186"/>
      <c r="O255" s="187"/>
      <c r="P255" s="186"/>
      <c r="Q255" s="186"/>
      <c r="R255" s="186"/>
      <c r="S255" s="186"/>
      <c r="T255" s="186"/>
      <c r="U255" s="186"/>
      <c r="V255" s="186"/>
      <c r="W255" s="186"/>
      <c r="X255" s="186"/>
      <c r="Y255" s="186"/>
    </row>
    <row r="256" spans="1:25" x14ac:dyDescent="0.2">
      <c r="A256" s="186"/>
      <c r="B256" s="186"/>
      <c r="C256" s="186"/>
      <c r="D256" s="186"/>
      <c r="E256" s="186"/>
      <c r="F256" s="186"/>
      <c r="G256" s="186"/>
      <c r="H256" s="186"/>
      <c r="I256" s="186"/>
      <c r="J256" s="186"/>
      <c r="K256" s="186"/>
      <c r="L256" s="186"/>
      <c r="M256" s="186"/>
      <c r="N256" s="186"/>
      <c r="O256" s="187"/>
      <c r="P256" s="186"/>
      <c r="Q256" s="186"/>
      <c r="R256" s="186"/>
      <c r="S256" s="186"/>
      <c r="T256" s="186"/>
      <c r="U256" s="186"/>
      <c r="V256" s="186"/>
      <c r="W256" s="186"/>
      <c r="X256" s="186"/>
      <c r="Y256" s="186"/>
    </row>
    <row r="257" spans="1:25" x14ac:dyDescent="0.2">
      <c r="A257" s="186"/>
      <c r="B257" s="186"/>
      <c r="C257" s="186"/>
      <c r="D257" s="186"/>
      <c r="E257" s="186"/>
      <c r="F257" s="186"/>
      <c r="G257" s="186"/>
      <c r="H257" s="186"/>
      <c r="I257" s="186"/>
      <c r="J257" s="186"/>
      <c r="K257" s="186"/>
      <c r="L257" s="186"/>
      <c r="M257" s="186"/>
      <c r="N257" s="186"/>
      <c r="O257" s="187"/>
      <c r="P257" s="186"/>
      <c r="Q257" s="186"/>
      <c r="R257" s="186"/>
      <c r="S257" s="186"/>
      <c r="T257" s="186"/>
      <c r="U257" s="186"/>
      <c r="V257" s="186"/>
      <c r="W257" s="186"/>
      <c r="X257" s="186"/>
      <c r="Y257" s="186"/>
    </row>
    <row r="258" spans="1:25" x14ac:dyDescent="0.2">
      <c r="A258" s="186"/>
      <c r="B258" s="186"/>
      <c r="C258" s="186"/>
      <c r="D258" s="186"/>
      <c r="E258" s="186"/>
      <c r="F258" s="186"/>
      <c r="G258" s="186"/>
      <c r="H258" s="186"/>
      <c r="I258" s="186"/>
      <c r="J258" s="186"/>
      <c r="K258" s="186"/>
      <c r="L258" s="186"/>
      <c r="M258" s="186"/>
      <c r="N258" s="186"/>
      <c r="O258" s="187"/>
      <c r="P258" s="186"/>
      <c r="Q258" s="186"/>
      <c r="R258" s="186"/>
      <c r="S258" s="186"/>
      <c r="T258" s="186"/>
      <c r="U258" s="186"/>
      <c r="V258" s="186"/>
      <c r="W258" s="186"/>
      <c r="X258" s="186"/>
      <c r="Y258" s="186"/>
    </row>
    <row r="259" spans="1:25" x14ac:dyDescent="0.2">
      <c r="A259" s="186"/>
      <c r="B259" s="186"/>
      <c r="C259" s="186"/>
      <c r="D259" s="186"/>
      <c r="E259" s="186"/>
      <c r="F259" s="186"/>
      <c r="G259" s="186"/>
      <c r="H259" s="186"/>
      <c r="I259" s="186"/>
      <c r="J259" s="186"/>
      <c r="K259" s="186"/>
      <c r="L259" s="186"/>
      <c r="M259" s="186"/>
      <c r="N259" s="186"/>
      <c r="O259" s="187"/>
      <c r="P259" s="186"/>
      <c r="Q259" s="186"/>
      <c r="R259" s="186"/>
      <c r="S259" s="186"/>
      <c r="T259" s="186"/>
      <c r="U259" s="186"/>
      <c r="V259" s="186"/>
      <c r="W259" s="186"/>
      <c r="X259" s="186"/>
      <c r="Y259" s="186"/>
    </row>
    <row r="260" spans="1:25" x14ac:dyDescent="0.2">
      <c r="A260" s="186"/>
      <c r="B260" s="186"/>
      <c r="C260" s="186"/>
      <c r="D260" s="186"/>
      <c r="E260" s="186"/>
      <c r="F260" s="186"/>
      <c r="G260" s="186"/>
      <c r="H260" s="186"/>
      <c r="I260" s="186"/>
      <c r="J260" s="186"/>
      <c r="K260" s="186"/>
      <c r="L260" s="186"/>
      <c r="M260" s="186"/>
      <c r="N260" s="186"/>
      <c r="O260" s="187"/>
      <c r="P260" s="186"/>
      <c r="Q260" s="186"/>
      <c r="R260" s="186"/>
      <c r="S260" s="186"/>
      <c r="T260" s="186"/>
      <c r="U260" s="186"/>
      <c r="V260" s="186"/>
      <c r="W260" s="186"/>
      <c r="X260" s="186"/>
      <c r="Y260" s="186"/>
    </row>
    <row r="261" spans="1:25" x14ac:dyDescent="0.2">
      <c r="A261" s="186"/>
      <c r="B261" s="186"/>
      <c r="C261" s="186"/>
      <c r="D261" s="186"/>
      <c r="E261" s="186"/>
      <c r="F261" s="186"/>
      <c r="G261" s="186"/>
      <c r="H261" s="186"/>
      <c r="I261" s="186"/>
      <c r="J261" s="186"/>
      <c r="K261" s="186"/>
      <c r="L261" s="186"/>
      <c r="M261" s="186"/>
      <c r="N261" s="186"/>
      <c r="O261" s="187"/>
      <c r="P261" s="186"/>
      <c r="Q261" s="186"/>
      <c r="R261" s="186"/>
      <c r="S261" s="186"/>
      <c r="T261" s="186"/>
      <c r="U261" s="186"/>
      <c r="V261" s="186"/>
      <c r="W261" s="186"/>
      <c r="X261" s="186"/>
      <c r="Y261" s="186"/>
    </row>
    <row r="262" spans="1:25" x14ac:dyDescent="0.2">
      <c r="A262" s="186"/>
      <c r="B262" s="186"/>
      <c r="C262" s="186"/>
      <c r="D262" s="186"/>
      <c r="E262" s="186"/>
      <c r="F262" s="186"/>
      <c r="G262" s="186"/>
      <c r="H262" s="186"/>
      <c r="I262" s="186"/>
      <c r="J262" s="186"/>
      <c r="K262" s="186"/>
      <c r="L262" s="186"/>
      <c r="M262" s="186"/>
      <c r="N262" s="186"/>
      <c r="O262" s="187"/>
      <c r="P262" s="186"/>
      <c r="Q262" s="186"/>
      <c r="R262" s="186"/>
      <c r="S262" s="186"/>
      <c r="T262" s="186"/>
      <c r="U262" s="186"/>
      <c r="V262" s="186"/>
      <c r="W262" s="186"/>
      <c r="X262" s="186"/>
      <c r="Y262" s="186"/>
    </row>
    <row r="263" spans="1:25" x14ac:dyDescent="0.2">
      <c r="A263" s="186"/>
      <c r="B263" s="186"/>
      <c r="C263" s="186"/>
      <c r="D263" s="186"/>
      <c r="E263" s="186"/>
      <c r="F263" s="186"/>
      <c r="G263" s="186"/>
      <c r="H263" s="186"/>
      <c r="I263" s="186"/>
      <c r="J263" s="186"/>
      <c r="K263" s="186"/>
      <c r="L263" s="186"/>
      <c r="M263" s="186"/>
      <c r="N263" s="186"/>
      <c r="O263" s="187"/>
      <c r="P263" s="186"/>
      <c r="Q263" s="186"/>
      <c r="R263" s="186"/>
      <c r="S263" s="186"/>
      <c r="T263" s="186"/>
      <c r="U263" s="186"/>
      <c r="V263" s="186"/>
      <c r="W263" s="186"/>
      <c r="X263" s="186"/>
      <c r="Y263" s="186"/>
    </row>
    <row r="264" spans="1:25" x14ac:dyDescent="0.2">
      <c r="A264" s="186"/>
      <c r="B264" s="186"/>
      <c r="C264" s="186"/>
      <c r="D264" s="186"/>
      <c r="E264" s="186"/>
      <c r="F264" s="186"/>
      <c r="G264" s="186"/>
      <c r="H264" s="186"/>
      <c r="I264" s="186"/>
      <c r="J264" s="186"/>
      <c r="K264" s="186"/>
      <c r="L264" s="186"/>
      <c r="M264" s="186"/>
      <c r="N264" s="186"/>
      <c r="O264" s="187"/>
      <c r="P264" s="186"/>
      <c r="Q264" s="186"/>
      <c r="R264" s="186"/>
      <c r="S264" s="186"/>
      <c r="T264" s="186"/>
      <c r="U264" s="186"/>
      <c r="V264" s="186"/>
      <c r="W264" s="186"/>
      <c r="X264" s="186"/>
      <c r="Y264" s="186"/>
    </row>
    <row r="265" spans="1:25" x14ac:dyDescent="0.2">
      <c r="A265" s="186"/>
      <c r="B265" s="186"/>
      <c r="C265" s="186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186"/>
      <c r="O265" s="187"/>
      <c r="P265" s="186"/>
      <c r="Q265" s="186"/>
      <c r="R265" s="186"/>
      <c r="S265" s="186"/>
      <c r="T265" s="186"/>
      <c r="U265" s="186"/>
      <c r="V265" s="186"/>
      <c r="W265" s="186"/>
      <c r="X265" s="186"/>
      <c r="Y265" s="186"/>
    </row>
    <row r="266" spans="1:25" x14ac:dyDescent="0.2">
      <c r="A266" s="186"/>
      <c r="B266" s="186"/>
      <c r="C266" s="186"/>
      <c r="D266" s="186"/>
      <c r="E266" s="186"/>
      <c r="F266" s="186"/>
      <c r="G266" s="186"/>
      <c r="H266" s="186"/>
      <c r="I266" s="186"/>
      <c r="J266" s="186"/>
      <c r="K266" s="186"/>
      <c r="L266" s="186"/>
      <c r="M266" s="186"/>
      <c r="N266" s="186"/>
      <c r="O266" s="187"/>
      <c r="P266" s="186"/>
      <c r="Q266" s="186"/>
      <c r="R266" s="186"/>
      <c r="S266" s="186"/>
      <c r="T266" s="186"/>
      <c r="U266" s="186"/>
      <c r="V266" s="186"/>
      <c r="W266" s="186"/>
      <c r="X266" s="186"/>
      <c r="Y266" s="186"/>
    </row>
    <row r="267" spans="1:25" x14ac:dyDescent="0.2">
      <c r="A267" s="186"/>
      <c r="B267" s="186"/>
      <c r="C267" s="186"/>
      <c r="D267" s="186"/>
      <c r="E267" s="186"/>
      <c r="F267" s="186"/>
      <c r="G267" s="186"/>
      <c r="H267" s="186"/>
      <c r="I267" s="186"/>
      <c r="J267" s="186"/>
      <c r="K267" s="186"/>
      <c r="L267" s="186"/>
      <c r="M267" s="186"/>
      <c r="N267" s="186"/>
      <c r="O267" s="187"/>
      <c r="P267" s="186"/>
      <c r="Q267" s="186"/>
      <c r="R267" s="186"/>
      <c r="S267" s="186"/>
      <c r="T267" s="186"/>
      <c r="U267" s="186"/>
      <c r="V267" s="186"/>
      <c r="W267" s="186"/>
      <c r="X267" s="186"/>
      <c r="Y267" s="186"/>
    </row>
    <row r="268" spans="1:25" x14ac:dyDescent="0.2">
      <c r="A268" s="186"/>
      <c r="B268" s="186"/>
      <c r="C268" s="186"/>
      <c r="D268" s="186"/>
      <c r="E268" s="186"/>
      <c r="F268" s="186"/>
      <c r="G268" s="186"/>
      <c r="H268" s="186"/>
      <c r="I268" s="186"/>
      <c r="J268" s="186"/>
      <c r="K268" s="186"/>
      <c r="L268" s="186"/>
      <c r="M268" s="186"/>
      <c r="N268" s="186"/>
      <c r="O268" s="187"/>
      <c r="P268" s="186"/>
      <c r="Q268" s="186"/>
      <c r="R268" s="186"/>
      <c r="S268" s="186"/>
      <c r="T268" s="186"/>
      <c r="U268" s="186"/>
      <c r="V268" s="186"/>
      <c r="W268" s="186"/>
      <c r="X268" s="186"/>
      <c r="Y268" s="186"/>
    </row>
    <row r="269" spans="1:25" x14ac:dyDescent="0.2">
      <c r="A269" s="186"/>
      <c r="B269" s="186"/>
      <c r="C269" s="186"/>
      <c r="D269" s="186"/>
      <c r="E269" s="186"/>
      <c r="F269" s="186"/>
      <c r="G269" s="186"/>
      <c r="H269" s="186"/>
      <c r="I269" s="186"/>
      <c r="J269" s="186"/>
      <c r="K269" s="186"/>
      <c r="L269" s="186"/>
      <c r="M269" s="186"/>
      <c r="N269" s="186"/>
      <c r="O269" s="187"/>
      <c r="P269" s="186"/>
      <c r="Q269" s="186"/>
      <c r="R269" s="186"/>
      <c r="S269" s="186"/>
      <c r="T269" s="186"/>
      <c r="U269" s="186"/>
      <c r="V269" s="186"/>
      <c r="W269" s="186"/>
      <c r="X269" s="186"/>
      <c r="Y269" s="186"/>
    </row>
    <row r="270" spans="1:25" x14ac:dyDescent="0.2">
      <c r="A270" s="186"/>
      <c r="B270" s="186"/>
      <c r="C270" s="186"/>
      <c r="D270" s="186"/>
      <c r="E270" s="186"/>
      <c r="F270" s="186"/>
      <c r="G270" s="186"/>
      <c r="H270" s="186"/>
      <c r="I270" s="186"/>
      <c r="J270" s="186"/>
      <c r="K270" s="186"/>
      <c r="L270" s="186"/>
      <c r="M270" s="186"/>
      <c r="N270" s="186"/>
      <c r="O270" s="187"/>
      <c r="P270" s="186"/>
      <c r="Q270" s="186"/>
      <c r="R270" s="186"/>
      <c r="S270" s="186"/>
      <c r="T270" s="186"/>
      <c r="U270" s="186"/>
      <c r="V270" s="186"/>
      <c r="W270" s="186"/>
      <c r="X270" s="186"/>
      <c r="Y270" s="186"/>
    </row>
    <row r="271" spans="1:25" x14ac:dyDescent="0.2">
      <c r="A271" s="186"/>
      <c r="B271" s="186"/>
      <c r="C271" s="186"/>
      <c r="D271" s="186"/>
      <c r="E271" s="186"/>
      <c r="F271" s="186"/>
      <c r="G271" s="186"/>
      <c r="H271" s="186"/>
      <c r="I271" s="186"/>
      <c r="J271" s="186"/>
      <c r="K271" s="186"/>
      <c r="L271" s="186"/>
      <c r="M271" s="186"/>
      <c r="N271" s="186"/>
      <c r="O271" s="187"/>
      <c r="P271" s="186"/>
      <c r="Q271" s="186"/>
      <c r="R271" s="186"/>
      <c r="S271" s="186"/>
      <c r="T271" s="186"/>
      <c r="U271" s="186"/>
      <c r="V271" s="186"/>
      <c r="W271" s="186"/>
      <c r="X271" s="186"/>
      <c r="Y271" s="186"/>
    </row>
    <row r="272" spans="1:25" x14ac:dyDescent="0.2">
      <c r="A272" s="186"/>
      <c r="B272" s="186"/>
      <c r="C272" s="186"/>
      <c r="D272" s="186"/>
      <c r="E272" s="186"/>
      <c r="F272" s="186"/>
      <c r="G272" s="186"/>
      <c r="H272" s="186"/>
      <c r="I272" s="186"/>
      <c r="J272" s="186"/>
      <c r="K272" s="186"/>
      <c r="L272" s="186"/>
      <c r="M272" s="186"/>
      <c r="N272" s="186"/>
      <c r="O272" s="187"/>
      <c r="P272" s="186"/>
      <c r="Q272" s="186"/>
      <c r="R272" s="186"/>
      <c r="S272" s="186"/>
      <c r="T272" s="186"/>
      <c r="U272" s="186"/>
      <c r="V272" s="186"/>
      <c r="W272" s="186"/>
      <c r="X272" s="186"/>
      <c r="Y272" s="186"/>
    </row>
    <row r="273" spans="1:25" x14ac:dyDescent="0.2">
      <c r="A273" s="186"/>
      <c r="B273" s="186"/>
      <c r="C273" s="186"/>
      <c r="D273" s="186"/>
      <c r="E273" s="186"/>
      <c r="F273" s="186"/>
      <c r="G273" s="186"/>
      <c r="H273" s="186"/>
      <c r="I273" s="186"/>
      <c r="J273" s="186"/>
      <c r="K273" s="186"/>
      <c r="L273" s="186"/>
      <c r="M273" s="186"/>
      <c r="N273" s="186"/>
      <c r="O273" s="187"/>
      <c r="P273" s="186"/>
      <c r="Q273" s="186"/>
      <c r="R273" s="186"/>
      <c r="S273" s="186"/>
      <c r="T273" s="186"/>
      <c r="U273" s="186"/>
      <c r="V273" s="186"/>
      <c r="W273" s="186"/>
      <c r="X273" s="186"/>
      <c r="Y273" s="186"/>
    </row>
    <row r="274" spans="1:25" x14ac:dyDescent="0.2">
      <c r="A274" s="186"/>
      <c r="B274" s="186"/>
      <c r="C274" s="186"/>
      <c r="D274" s="186"/>
      <c r="E274" s="186"/>
      <c r="F274" s="186"/>
      <c r="G274" s="186"/>
      <c r="H274" s="186"/>
      <c r="I274" s="186"/>
      <c r="J274" s="186"/>
      <c r="K274" s="186"/>
      <c r="L274" s="186"/>
      <c r="M274" s="186"/>
      <c r="N274" s="186"/>
      <c r="O274" s="187"/>
      <c r="P274" s="186"/>
      <c r="Q274" s="186"/>
      <c r="R274" s="186"/>
      <c r="S274" s="186"/>
      <c r="T274" s="186"/>
      <c r="U274" s="186"/>
      <c r="V274" s="186"/>
      <c r="W274" s="186"/>
      <c r="X274" s="186"/>
      <c r="Y274" s="186"/>
    </row>
    <row r="275" spans="1:25" x14ac:dyDescent="0.2">
      <c r="A275" s="186"/>
      <c r="B275" s="186"/>
      <c r="C275" s="186"/>
      <c r="D275" s="186"/>
      <c r="E275" s="186"/>
      <c r="F275" s="186"/>
      <c r="G275" s="186"/>
      <c r="H275" s="186"/>
      <c r="I275" s="186"/>
      <c r="J275" s="186"/>
      <c r="K275" s="186"/>
      <c r="L275" s="186"/>
      <c r="M275" s="186"/>
      <c r="N275" s="186"/>
      <c r="O275" s="187"/>
      <c r="P275" s="186"/>
      <c r="Q275" s="186"/>
      <c r="R275" s="186"/>
      <c r="S275" s="186"/>
      <c r="T275" s="186"/>
      <c r="U275" s="186"/>
      <c r="V275" s="186"/>
      <c r="W275" s="186"/>
      <c r="X275" s="186"/>
      <c r="Y275" s="186"/>
    </row>
    <row r="276" spans="1:25" x14ac:dyDescent="0.2">
      <c r="A276" s="186"/>
      <c r="B276" s="186"/>
      <c r="C276" s="186"/>
      <c r="D276" s="186"/>
      <c r="E276" s="186"/>
      <c r="F276" s="186"/>
      <c r="G276" s="186"/>
      <c r="H276" s="186"/>
      <c r="I276" s="186"/>
      <c r="J276" s="186"/>
      <c r="K276" s="186"/>
      <c r="L276" s="186"/>
      <c r="M276" s="186"/>
      <c r="N276" s="186"/>
      <c r="O276" s="187"/>
      <c r="P276" s="186"/>
      <c r="Q276" s="186"/>
      <c r="R276" s="186"/>
      <c r="S276" s="186"/>
      <c r="T276" s="186"/>
      <c r="U276" s="186"/>
      <c r="V276" s="186"/>
      <c r="W276" s="186"/>
      <c r="X276" s="186"/>
      <c r="Y276" s="186"/>
    </row>
    <row r="277" spans="1:25" x14ac:dyDescent="0.2">
      <c r="A277" s="186"/>
      <c r="B277" s="186"/>
      <c r="C277" s="186"/>
      <c r="D277" s="186"/>
      <c r="E277" s="186"/>
      <c r="F277" s="186"/>
      <c r="G277" s="186"/>
      <c r="H277" s="186"/>
      <c r="I277" s="186"/>
      <c r="J277" s="186"/>
      <c r="K277" s="186"/>
      <c r="L277" s="186"/>
      <c r="M277" s="186"/>
      <c r="N277" s="186"/>
      <c r="O277" s="187"/>
      <c r="P277" s="186"/>
      <c r="Q277" s="186"/>
      <c r="R277" s="186"/>
      <c r="S277" s="186"/>
      <c r="T277" s="186"/>
      <c r="U277" s="186"/>
      <c r="V277" s="186"/>
      <c r="W277" s="186"/>
      <c r="X277" s="186"/>
      <c r="Y277" s="186"/>
    </row>
    <row r="278" spans="1:25" x14ac:dyDescent="0.2">
      <c r="A278" s="186"/>
      <c r="B278" s="186"/>
      <c r="C278" s="186"/>
      <c r="D278" s="186"/>
      <c r="E278" s="186"/>
      <c r="F278" s="186"/>
      <c r="G278" s="186"/>
      <c r="H278" s="186"/>
      <c r="I278" s="186"/>
      <c r="J278" s="186"/>
      <c r="K278" s="186"/>
      <c r="L278" s="186"/>
      <c r="M278" s="186"/>
      <c r="N278" s="186"/>
      <c r="O278" s="187"/>
      <c r="P278" s="186"/>
      <c r="Q278" s="186"/>
      <c r="R278" s="186"/>
      <c r="S278" s="186"/>
      <c r="T278" s="186"/>
      <c r="U278" s="186"/>
      <c r="V278" s="186"/>
      <c r="W278" s="186"/>
      <c r="X278" s="186"/>
      <c r="Y278" s="186"/>
    </row>
    <row r="279" spans="1:25" x14ac:dyDescent="0.2">
      <c r="A279" s="186"/>
      <c r="B279" s="186"/>
      <c r="C279" s="186"/>
      <c r="D279" s="186"/>
      <c r="E279" s="186"/>
      <c r="F279" s="186"/>
      <c r="G279" s="186"/>
      <c r="H279" s="186"/>
      <c r="I279" s="186"/>
      <c r="J279" s="186"/>
      <c r="K279" s="186"/>
      <c r="L279" s="186"/>
      <c r="M279" s="186"/>
      <c r="N279" s="186"/>
      <c r="O279" s="187"/>
      <c r="P279" s="186"/>
      <c r="Q279" s="186"/>
      <c r="R279" s="186"/>
      <c r="S279" s="186"/>
      <c r="T279" s="186"/>
      <c r="U279" s="186"/>
      <c r="V279" s="186"/>
      <c r="W279" s="186"/>
      <c r="X279" s="186"/>
      <c r="Y279" s="186"/>
    </row>
  </sheetData>
  <autoFilter ref="A1:L38" xr:uid="{00000000-0009-0000-0000-000000000000}"/>
  <mergeCells count="3">
    <mergeCell ref="F29:G29"/>
    <mergeCell ref="B35:B37"/>
    <mergeCell ref="B40:B42"/>
  </mergeCells>
  <phoneticPr fontId="18" type="noConversion"/>
  <conditionalFormatting sqref="C50:C1048576 C1:C47">
    <cfRule type="duplicateValues" dxfId="5" priority="4"/>
  </conditionalFormatting>
  <conditionalFormatting sqref="C48">
    <cfRule type="duplicateValues" dxfId="4" priority="2"/>
  </conditionalFormatting>
  <conditionalFormatting sqref="C49">
    <cfRule type="duplicateValues" dxfId="3" priority="1"/>
  </conditionalFormatting>
  <pageMargins left="0.70866141732283472" right="0.70866141732283472" top="0.74803149606299213" bottom="0.74803149606299213" header="0.31496062992125984" footer="0.31496062992125984"/>
  <pageSetup paperSize="9" scale="63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7"/>
  <sheetViews>
    <sheetView workbookViewId="0">
      <selection activeCell="I11" sqref="I11"/>
    </sheetView>
  </sheetViews>
  <sheetFormatPr defaultRowHeight="12.75" x14ac:dyDescent="0.2"/>
  <cols>
    <col min="1" max="1" width="4.85546875" style="137" customWidth="1"/>
    <col min="2" max="2" width="32.140625" style="137" customWidth="1"/>
    <col min="3" max="3" width="23.5703125" style="137" customWidth="1"/>
    <col min="4" max="4" width="7.42578125" style="137" customWidth="1"/>
    <col min="5" max="5" width="12.140625" style="137" customWidth="1"/>
    <col min="6" max="7" width="12.7109375" style="137" bestFit="1" customWidth="1"/>
    <col min="8" max="8" width="9.140625" style="137"/>
    <col min="9" max="9" width="70.28515625" style="137" bestFit="1" customWidth="1"/>
    <col min="10" max="16384" width="9.140625" style="137"/>
  </cols>
  <sheetData>
    <row r="1" spans="1:9" ht="25.5" x14ac:dyDescent="0.2">
      <c r="A1" s="134" t="s">
        <v>0</v>
      </c>
      <c r="B1" s="135" t="s">
        <v>1</v>
      </c>
      <c r="C1" s="135" t="s">
        <v>2</v>
      </c>
      <c r="D1" s="135" t="s">
        <v>3</v>
      </c>
      <c r="E1" s="136" t="s">
        <v>271</v>
      </c>
      <c r="F1" s="136" t="s">
        <v>272</v>
      </c>
      <c r="G1" s="136" t="s">
        <v>273</v>
      </c>
    </row>
    <row r="2" spans="1:9" ht="25.5" x14ac:dyDescent="0.2">
      <c r="A2" s="138">
        <v>1</v>
      </c>
      <c r="B2" s="139" t="s">
        <v>87</v>
      </c>
      <c r="C2" s="140" t="s">
        <v>8</v>
      </c>
      <c r="D2" s="135">
        <v>5</v>
      </c>
      <c r="E2" s="141">
        <v>11386.34</v>
      </c>
      <c r="F2" s="141">
        <f>ROUND(E2*1.2,2)</f>
        <v>13663.61</v>
      </c>
      <c r="G2" s="141">
        <f t="shared" ref="G2:G41" si="0">ROUND(D2*F2,2)</f>
        <v>68318.05</v>
      </c>
      <c r="I2" s="151" t="str">
        <f>CONCATENATE(B2," (черт.",C2,")")</f>
        <v>Патрубок бронзовое литье БрОЦ10-2 ИТШЛ.752252.098 (черт.552-35.1214)</v>
      </c>
    </row>
    <row r="3" spans="1:9" x14ac:dyDescent="0.2">
      <c r="A3" s="138">
        <v>2</v>
      </c>
      <c r="B3" s="139" t="s">
        <v>89</v>
      </c>
      <c r="C3" s="140" t="s">
        <v>9</v>
      </c>
      <c r="D3" s="135">
        <v>6</v>
      </c>
      <c r="E3" s="141">
        <v>21690.63</v>
      </c>
      <c r="F3" s="141">
        <f t="shared" ref="F3:F41" si="1">ROUND(E3*1.2,2)</f>
        <v>26028.76</v>
      </c>
      <c r="G3" s="141">
        <f t="shared" si="0"/>
        <v>156172.56</v>
      </c>
      <c r="I3" s="151" t="str">
        <f t="shared" ref="I3:I41" si="2">CONCATENATE(B3," (черт.",C3,")")</f>
        <v>Тройник бронзовое литье БрОЦ10-2 (черт.552-ЗМ.143)</v>
      </c>
    </row>
    <row r="4" spans="1:9" ht="25.5" x14ac:dyDescent="0.2">
      <c r="A4" s="138">
        <v>3</v>
      </c>
      <c r="B4" s="139" t="s">
        <v>88</v>
      </c>
      <c r="C4" s="140" t="s">
        <v>10</v>
      </c>
      <c r="D4" s="135">
        <v>2</v>
      </c>
      <c r="E4" s="141">
        <v>57949.96</v>
      </c>
      <c r="F4" s="141">
        <f t="shared" si="1"/>
        <v>69539.95</v>
      </c>
      <c r="G4" s="141">
        <f t="shared" si="0"/>
        <v>139079.9</v>
      </c>
      <c r="I4" s="151" t="str">
        <f t="shared" si="2"/>
        <v>Патрубок переходной Ду200/150 Бр08Ц4 ЛИТЬЕ (черт.510-77.038)</v>
      </c>
    </row>
    <row r="5" spans="1:9" x14ac:dyDescent="0.2">
      <c r="A5" s="138">
        <v>4</v>
      </c>
      <c r="B5" s="139" t="s">
        <v>91</v>
      </c>
      <c r="C5" s="140" t="s">
        <v>11</v>
      </c>
      <c r="D5" s="135">
        <v>7</v>
      </c>
      <c r="E5" s="141">
        <v>41424.209999999992</v>
      </c>
      <c r="F5" s="141">
        <f t="shared" si="1"/>
        <v>49709.05</v>
      </c>
      <c r="G5" s="141">
        <f t="shared" si="0"/>
        <v>347963.35</v>
      </c>
      <c r="I5" s="151" t="str">
        <f t="shared" si="2"/>
        <v>Тройник бронзовое литье Бр08Ц4 (черт.552-ЗМ.142)</v>
      </c>
    </row>
    <row r="6" spans="1:9" ht="25.5" x14ac:dyDescent="0.2">
      <c r="A6" s="138">
        <v>5</v>
      </c>
      <c r="B6" s="139" t="s">
        <v>90</v>
      </c>
      <c r="C6" s="140" t="s">
        <v>12</v>
      </c>
      <c r="D6" s="135">
        <v>3</v>
      </c>
      <c r="E6" s="141">
        <v>47058.209999999992</v>
      </c>
      <c r="F6" s="141">
        <f t="shared" si="1"/>
        <v>56469.85</v>
      </c>
      <c r="G6" s="141">
        <f t="shared" si="0"/>
        <v>169409.55</v>
      </c>
      <c r="I6" s="151" t="str">
        <f t="shared" si="2"/>
        <v>Тройник бронзовое литье БрОЦ10-2 ИТШЛ.752252.081-08 (черт.552-35.1197-08)</v>
      </c>
    </row>
    <row r="7" spans="1:9" x14ac:dyDescent="0.2">
      <c r="A7" s="138">
        <v>6</v>
      </c>
      <c r="B7" s="139" t="s">
        <v>92</v>
      </c>
      <c r="C7" s="140" t="s">
        <v>13</v>
      </c>
      <c r="D7" s="135">
        <v>8</v>
      </c>
      <c r="E7" s="141">
        <v>59648.35</v>
      </c>
      <c r="F7" s="141">
        <f t="shared" si="1"/>
        <v>71578.02</v>
      </c>
      <c r="G7" s="141">
        <f t="shared" si="0"/>
        <v>572624.16</v>
      </c>
      <c r="I7" s="151" t="str">
        <f t="shared" si="2"/>
        <v>Тройник бронзовое литье (черт.552-35.1200-05)</v>
      </c>
    </row>
    <row r="8" spans="1:9" ht="25.5" x14ac:dyDescent="0.2">
      <c r="A8" s="138">
        <v>7</v>
      </c>
      <c r="B8" s="139" t="s">
        <v>93</v>
      </c>
      <c r="C8" s="140" t="s">
        <v>14</v>
      </c>
      <c r="D8" s="135">
        <v>9</v>
      </c>
      <c r="E8" s="141">
        <v>57368.62</v>
      </c>
      <c r="F8" s="141">
        <f t="shared" si="1"/>
        <v>68842.34</v>
      </c>
      <c r="G8" s="141">
        <f t="shared" si="0"/>
        <v>619581.06000000006</v>
      </c>
      <c r="I8" s="151" t="str">
        <f t="shared" si="2"/>
        <v>Тройник бронзовое литье БрОЦ10-2 ИТШЛ.752252.083 (черт.552-35.1199)</v>
      </c>
    </row>
    <row r="9" spans="1:9" x14ac:dyDescent="0.2">
      <c r="A9" s="138">
        <v>8</v>
      </c>
      <c r="B9" s="139" t="s">
        <v>86</v>
      </c>
      <c r="C9" s="140" t="s">
        <v>15</v>
      </c>
      <c r="D9" s="138">
        <v>1</v>
      </c>
      <c r="E9" s="150">
        <f>95750.61-807.88</f>
        <v>94942.73</v>
      </c>
      <c r="F9" s="141">
        <f t="shared" si="1"/>
        <v>113931.28</v>
      </c>
      <c r="G9" s="141">
        <f t="shared" si="0"/>
        <v>113931.28</v>
      </c>
      <c r="I9" s="151" t="str">
        <f t="shared" si="2"/>
        <v>Патрубок бронзовое литье Бр08Ц4 (черт.552-35.1344 )</v>
      </c>
    </row>
    <row r="10" spans="1:9" x14ac:dyDescent="0.2">
      <c r="A10" s="138">
        <v>9</v>
      </c>
      <c r="B10" s="142" t="s">
        <v>104</v>
      </c>
      <c r="C10" s="143" t="s">
        <v>16</v>
      </c>
      <c r="D10" s="144">
        <v>5</v>
      </c>
      <c r="E10" s="141">
        <v>17925.912</v>
      </c>
      <c r="F10" s="141">
        <f t="shared" si="1"/>
        <v>21511.09</v>
      </c>
      <c r="G10" s="141">
        <f t="shared" si="0"/>
        <v>107555.45</v>
      </c>
      <c r="I10" s="151" t="str">
        <f t="shared" si="2"/>
        <v>Тройник бр.ИТШЛ.752251.001-10 (черт.552-03.368-10)</v>
      </c>
    </row>
    <row r="11" spans="1:9" x14ac:dyDescent="0.2">
      <c r="A11" s="138">
        <v>10</v>
      </c>
      <c r="B11" s="139" t="s">
        <v>89</v>
      </c>
      <c r="C11" s="140" t="s">
        <v>17</v>
      </c>
      <c r="D11" s="145">
        <v>4</v>
      </c>
      <c r="E11" s="141">
        <v>54391.409999999996</v>
      </c>
      <c r="F11" s="141">
        <f t="shared" si="1"/>
        <v>65269.69</v>
      </c>
      <c r="G11" s="141">
        <f t="shared" si="0"/>
        <v>261078.76</v>
      </c>
      <c r="I11" s="151" t="str">
        <f t="shared" si="2"/>
        <v>Тройник бронзовое литье БрОЦ10-2 (черт.552-35.1200)</v>
      </c>
    </row>
    <row r="12" spans="1:9" ht="25.5" x14ac:dyDescent="0.2">
      <c r="A12" s="138">
        <v>11</v>
      </c>
      <c r="B12" s="139" t="s">
        <v>296</v>
      </c>
      <c r="C12" s="140" t="s">
        <v>18</v>
      </c>
      <c r="D12" s="145">
        <v>4</v>
      </c>
      <c r="E12" s="141">
        <v>30447.809999999998</v>
      </c>
      <c r="F12" s="141">
        <f t="shared" si="1"/>
        <v>36537.370000000003</v>
      </c>
      <c r="G12" s="141">
        <f t="shared" si="0"/>
        <v>146149.48000000001</v>
      </c>
      <c r="I12" s="151" t="str">
        <f t="shared" si="2"/>
        <v>Тройник бронзовое литье БрОЦ8-4 ИТШЛ.752252.059 (черт.552-35.131)</v>
      </c>
    </row>
    <row r="13" spans="1:9" ht="25.5" x14ac:dyDescent="0.2">
      <c r="A13" s="138">
        <v>12</v>
      </c>
      <c r="B13" s="139" t="s">
        <v>94</v>
      </c>
      <c r="C13" s="140" t="s">
        <v>19</v>
      </c>
      <c r="D13" s="145">
        <v>3</v>
      </c>
      <c r="E13" s="141">
        <v>79412.609999999986</v>
      </c>
      <c r="F13" s="141">
        <f t="shared" si="1"/>
        <v>95295.13</v>
      </c>
      <c r="G13" s="141">
        <f t="shared" si="0"/>
        <v>285885.39</v>
      </c>
      <c r="I13" s="151" t="str">
        <f t="shared" si="2"/>
        <v>Тройник бронзовое литье БрОЦ10-2 ИТШЛ.752252.081-11 (черт.552-35.1197-11)</v>
      </c>
    </row>
    <row r="14" spans="1:9" x14ac:dyDescent="0.2">
      <c r="A14" s="138">
        <v>13</v>
      </c>
      <c r="B14" s="139" t="s">
        <v>89</v>
      </c>
      <c r="C14" s="140" t="s">
        <v>20</v>
      </c>
      <c r="D14" s="145">
        <v>7</v>
      </c>
      <c r="E14" s="141">
        <v>36533.009999999995</v>
      </c>
      <c r="F14" s="141">
        <f t="shared" si="1"/>
        <v>43839.61</v>
      </c>
      <c r="G14" s="141">
        <f t="shared" si="0"/>
        <v>306877.27</v>
      </c>
      <c r="I14" s="151" t="str">
        <f t="shared" si="2"/>
        <v>Тройник бронзовое литье БрОЦ10-2 (черт.552-ЗМ.147)</v>
      </c>
    </row>
    <row r="15" spans="1:9" x14ac:dyDescent="0.2">
      <c r="A15" s="138">
        <v>14</v>
      </c>
      <c r="B15" s="139" t="s">
        <v>89</v>
      </c>
      <c r="C15" s="140" t="s">
        <v>21</v>
      </c>
      <c r="D15" s="145">
        <v>5</v>
      </c>
      <c r="E15" s="141">
        <v>80864.62</v>
      </c>
      <c r="F15" s="141">
        <f t="shared" si="1"/>
        <v>97037.54</v>
      </c>
      <c r="G15" s="141">
        <f t="shared" si="0"/>
        <v>485187.7</v>
      </c>
      <c r="I15" s="151" t="str">
        <f t="shared" si="2"/>
        <v>Тройник бронзовое литье БрОЦ10-2 (черт.552-ЗМ.149 )</v>
      </c>
    </row>
    <row r="16" spans="1:9" x14ac:dyDescent="0.2">
      <c r="A16" s="138">
        <v>15</v>
      </c>
      <c r="B16" s="139" t="s">
        <v>95</v>
      </c>
      <c r="C16" s="140" t="s">
        <v>22</v>
      </c>
      <c r="D16" s="145">
        <v>4</v>
      </c>
      <c r="E16" s="141">
        <v>29976.33</v>
      </c>
      <c r="F16" s="141">
        <f t="shared" si="1"/>
        <v>35971.599999999999</v>
      </c>
      <c r="G16" s="141">
        <f t="shared" si="0"/>
        <v>143886.39999999999</v>
      </c>
      <c r="I16" s="151" t="str">
        <f t="shared" si="2"/>
        <v>Тройник бронзовое литье БрОЦ8-4 (черт.552-35.128)</v>
      </c>
    </row>
    <row r="17" spans="1:9" ht="25.5" x14ac:dyDescent="0.2">
      <c r="A17" s="138">
        <v>16</v>
      </c>
      <c r="B17" s="139" t="s">
        <v>96</v>
      </c>
      <c r="C17" s="140" t="s">
        <v>112</v>
      </c>
      <c r="D17" s="145">
        <v>1</v>
      </c>
      <c r="E17" s="141">
        <v>66119.010000000009</v>
      </c>
      <c r="F17" s="141">
        <f t="shared" si="1"/>
        <v>79342.81</v>
      </c>
      <c r="G17" s="141">
        <f t="shared" si="0"/>
        <v>79342.81</v>
      </c>
      <c r="I17" s="151" t="str">
        <f t="shared" si="2"/>
        <v>Тройник бронзовое литье БрОЦ10-2 ИТШЛ.752252.079-03 (черт.552-35.1196-03)</v>
      </c>
    </row>
    <row r="18" spans="1:9" ht="25.5" x14ac:dyDescent="0.2">
      <c r="A18" s="138">
        <v>17</v>
      </c>
      <c r="B18" s="139" t="s">
        <v>97</v>
      </c>
      <c r="C18" s="140" t="s">
        <v>111</v>
      </c>
      <c r="D18" s="145">
        <v>1</v>
      </c>
      <c r="E18" s="141">
        <v>69075.06</v>
      </c>
      <c r="F18" s="141">
        <f t="shared" si="1"/>
        <v>82890.070000000007</v>
      </c>
      <c r="G18" s="141">
        <f t="shared" si="0"/>
        <v>82890.070000000007</v>
      </c>
      <c r="I18" s="151" t="str">
        <f t="shared" si="2"/>
        <v>Тройник бронзовое литье БрОЦ10-2 ИТШЛ.752252.081-07 (черт.552-35.1197-07)</v>
      </c>
    </row>
    <row r="19" spans="1:9" ht="25.5" x14ac:dyDescent="0.2">
      <c r="A19" s="138">
        <v>18</v>
      </c>
      <c r="B19" s="139" t="s">
        <v>98</v>
      </c>
      <c r="C19" s="140" t="s">
        <v>23</v>
      </c>
      <c r="D19" s="145">
        <v>4</v>
      </c>
      <c r="E19" s="141">
        <v>28322.73</v>
      </c>
      <c r="F19" s="141">
        <f t="shared" si="1"/>
        <v>33987.279999999999</v>
      </c>
      <c r="G19" s="141">
        <f t="shared" si="0"/>
        <v>135949.12</v>
      </c>
      <c r="I19" s="151" t="str">
        <f t="shared" si="2"/>
        <v>Тройник бронзовое литье БрОЦ10-2 ИТШЛ.752252.082 (черт.552-35.1198)</v>
      </c>
    </row>
    <row r="20" spans="1:9" x14ac:dyDescent="0.2">
      <c r="A20" s="138">
        <v>19</v>
      </c>
      <c r="B20" s="139" t="s">
        <v>89</v>
      </c>
      <c r="C20" s="140" t="s">
        <v>24</v>
      </c>
      <c r="D20" s="145">
        <v>3</v>
      </c>
      <c r="E20" s="141">
        <v>62075.46</v>
      </c>
      <c r="F20" s="141">
        <f t="shared" si="1"/>
        <v>74490.55</v>
      </c>
      <c r="G20" s="141">
        <f t="shared" si="0"/>
        <v>223471.65</v>
      </c>
      <c r="I20" s="151" t="str">
        <f t="shared" si="2"/>
        <v>Тройник бронзовое литье БрОЦ10-2 (черт.552-35.1200-02)</v>
      </c>
    </row>
    <row r="21" spans="1:9" x14ac:dyDescent="0.2">
      <c r="A21" s="138">
        <v>20</v>
      </c>
      <c r="B21" s="139" t="s">
        <v>95</v>
      </c>
      <c r="C21" s="140" t="s">
        <v>25</v>
      </c>
      <c r="D21" s="145">
        <v>2</v>
      </c>
      <c r="E21" s="141">
        <v>26819.919999999998</v>
      </c>
      <c r="F21" s="141">
        <f t="shared" si="1"/>
        <v>32183.9</v>
      </c>
      <c r="G21" s="141">
        <f t="shared" si="0"/>
        <v>64367.8</v>
      </c>
      <c r="I21" s="151" t="str">
        <f t="shared" si="2"/>
        <v>Тройник бронзовое литье БрОЦ8-4 (черт.552-35.127)</v>
      </c>
    </row>
    <row r="22" spans="1:9" ht="25.5" x14ac:dyDescent="0.2">
      <c r="A22" s="138">
        <v>21</v>
      </c>
      <c r="B22" s="139" t="s">
        <v>99</v>
      </c>
      <c r="C22" s="140" t="s">
        <v>26</v>
      </c>
      <c r="D22" s="145">
        <v>1</v>
      </c>
      <c r="E22" s="141">
        <v>26503.899999999998</v>
      </c>
      <c r="F22" s="141">
        <f t="shared" si="1"/>
        <v>31804.68</v>
      </c>
      <c r="G22" s="141">
        <f t="shared" si="0"/>
        <v>31804.68</v>
      </c>
      <c r="I22" s="151" t="str">
        <f t="shared" si="2"/>
        <v>Тройник бронзовое литье БрОЦ8-4 ИТШЛ.752252.071 (черт.552-35.132 )</v>
      </c>
    </row>
    <row r="23" spans="1:9" ht="25.5" x14ac:dyDescent="0.2">
      <c r="A23" s="138">
        <v>22</v>
      </c>
      <c r="B23" s="139" t="s">
        <v>85</v>
      </c>
      <c r="C23" s="140" t="s">
        <v>27</v>
      </c>
      <c r="D23" s="145">
        <v>9</v>
      </c>
      <c r="E23" s="141">
        <v>18499.11</v>
      </c>
      <c r="F23" s="141">
        <f t="shared" si="1"/>
        <v>22198.93</v>
      </c>
      <c r="G23" s="141">
        <f t="shared" si="0"/>
        <v>199790.37</v>
      </c>
      <c r="I23" s="151" t="str">
        <f t="shared" si="2"/>
        <v>Патрубок бронзовое литье БрОЦ10-2 ИТШЛ.752252.098-03 (черт.552-35.1214-03 )</v>
      </c>
    </row>
    <row r="24" spans="1:9" x14ac:dyDescent="0.2">
      <c r="A24" s="138">
        <v>23</v>
      </c>
      <c r="B24" s="139" t="s">
        <v>297</v>
      </c>
      <c r="C24" s="140" t="s">
        <v>28</v>
      </c>
      <c r="D24" s="145">
        <v>8</v>
      </c>
      <c r="E24" s="141">
        <v>29576.35</v>
      </c>
      <c r="F24" s="141">
        <f t="shared" si="1"/>
        <v>35491.620000000003</v>
      </c>
      <c r="G24" s="141">
        <f t="shared" si="0"/>
        <v>283932.96000000002</v>
      </c>
      <c r="I24" s="151" t="str">
        <f t="shared" si="2"/>
        <v>Колено бронзовое литье БрОЦ10-2 (черт.552-ЗМ.135)</v>
      </c>
    </row>
    <row r="25" spans="1:9" x14ac:dyDescent="0.2">
      <c r="A25" s="138">
        <v>24</v>
      </c>
      <c r="B25" s="139" t="s">
        <v>89</v>
      </c>
      <c r="C25" s="140" t="s">
        <v>29</v>
      </c>
      <c r="D25" s="145">
        <v>2</v>
      </c>
      <c r="E25" s="141">
        <v>49081.420000000006</v>
      </c>
      <c r="F25" s="141">
        <f t="shared" si="1"/>
        <v>58897.7</v>
      </c>
      <c r="G25" s="141">
        <f t="shared" si="0"/>
        <v>117795.4</v>
      </c>
      <c r="I25" s="151" t="str">
        <f t="shared" si="2"/>
        <v>Тройник бронзовое литье БрОЦ10-2 (черт.552-35.1206-02)</v>
      </c>
    </row>
    <row r="26" spans="1:9" ht="25.5" x14ac:dyDescent="0.2">
      <c r="A26" s="138">
        <v>25</v>
      </c>
      <c r="B26" s="139" t="s">
        <v>102</v>
      </c>
      <c r="C26" s="140" t="s">
        <v>113</v>
      </c>
      <c r="D26" s="145">
        <v>2</v>
      </c>
      <c r="E26" s="141">
        <v>59769.81</v>
      </c>
      <c r="F26" s="141">
        <f t="shared" si="1"/>
        <v>71723.77</v>
      </c>
      <c r="G26" s="141">
        <f t="shared" si="0"/>
        <v>143447.54</v>
      </c>
      <c r="I26" s="151" t="str">
        <f t="shared" si="2"/>
        <v>Тройник бронзовое литье БрОЦ10-2  ИТШЛ.752252.007 (черт.552-ЗМ.199)</v>
      </c>
    </row>
    <row r="27" spans="1:9" ht="25.5" x14ac:dyDescent="0.2">
      <c r="A27" s="138">
        <v>26</v>
      </c>
      <c r="B27" s="139" t="s">
        <v>298</v>
      </c>
      <c r="C27" s="140" t="s">
        <v>30</v>
      </c>
      <c r="D27" s="145">
        <v>1</v>
      </c>
      <c r="E27" s="141">
        <v>35972.35</v>
      </c>
      <c r="F27" s="141">
        <f t="shared" si="1"/>
        <v>43166.82</v>
      </c>
      <c r="G27" s="141">
        <f t="shared" si="0"/>
        <v>43166.82</v>
      </c>
      <c r="I27" s="151" t="str">
        <f t="shared" si="2"/>
        <v>Тройник бронзовое литье БрОЦ10-2  ИТШЛ.752252.081-04 (черт.552-35.1197-04 )</v>
      </c>
    </row>
    <row r="28" spans="1:9" ht="25.5" x14ac:dyDescent="0.2">
      <c r="A28" s="138">
        <v>27</v>
      </c>
      <c r="B28" s="139" t="s">
        <v>100</v>
      </c>
      <c r="C28" s="140" t="s">
        <v>31</v>
      </c>
      <c r="D28" s="145">
        <v>6</v>
      </c>
      <c r="E28" s="141">
        <v>66256.27</v>
      </c>
      <c r="F28" s="141">
        <f t="shared" si="1"/>
        <v>79507.520000000004</v>
      </c>
      <c r="G28" s="141">
        <f t="shared" si="0"/>
        <v>477045.12</v>
      </c>
      <c r="I28" s="151" t="str">
        <f t="shared" si="2"/>
        <v>Тройник бронзовое литье БрОЦ10-2 ИТШЛ.752252.083-02 (черт.552-35.1199-02 )</v>
      </c>
    </row>
    <row r="29" spans="1:9" ht="25.5" x14ac:dyDescent="0.2">
      <c r="A29" s="138">
        <v>28</v>
      </c>
      <c r="B29" s="139" t="s">
        <v>295</v>
      </c>
      <c r="C29" s="140" t="s">
        <v>32</v>
      </c>
      <c r="D29" s="145">
        <v>2</v>
      </c>
      <c r="E29" s="141">
        <v>22737.51</v>
      </c>
      <c r="F29" s="141">
        <f t="shared" si="1"/>
        <v>27285.01</v>
      </c>
      <c r="G29" s="141">
        <f t="shared" si="0"/>
        <v>54570.02</v>
      </c>
      <c r="I29" s="151" t="str">
        <f t="shared" si="2"/>
        <v>Патрубок бронзовое литье БрОЦ10-2 ИТШЛ.752252.098-06 (черт.552-35.1214-06 )</v>
      </c>
    </row>
    <row r="30" spans="1:9" ht="25.5" x14ac:dyDescent="0.2">
      <c r="A30" s="138">
        <v>29</v>
      </c>
      <c r="B30" s="139" t="s">
        <v>83</v>
      </c>
      <c r="C30" s="140" t="s">
        <v>33</v>
      </c>
      <c r="D30" s="145">
        <v>7</v>
      </c>
      <c r="E30" s="141">
        <v>47371.4</v>
      </c>
      <c r="F30" s="141">
        <f t="shared" si="1"/>
        <v>56845.68</v>
      </c>
      <c r="G30" s="141">
        <f t="shared" si="0"/>
        <v>397919.76</v>
      </c>
      <c r="I30" s="151" t="str">
        <f t="shared" si="2"/>
        <v>Патрубок  бронзовое литье БрОЦ10-2 - 7 шт. (черт.552-35.1213-01)</v>
      </c>
    </row>
    <row r="31" spans="1:9" ht="25.5" x14ac:dyDescent="0.2">
      <c r="A31" s="138">
        <v>30</v>
      </c>
      <c r="B31" s="139" t="s">
        <v>294</v>
      </c>
      <c r="C31" s="140" t="s">
        <v>34</v>
      </c>
      <c r="D31" s="145">
        <v>1</v>
      </c>
      <c r="E31" s="141">
        <v>76238.13</v>
      </c>
      <c r="F31" s="141">
        <f t="shared" si="1"/>
        <v>91485.759999999995</v>
      </c>
      <c r="G31" s="141">
        <f t="shared" si="0"/>
        <v>91485.759999999995</v>
      </c>
      <c r="I31" s="151" t="str">
        <f t="shared" si="2"/>
        <v>Колено фланцевое  БрОЦ10-2 ИТШЛ.756041.012 (черт.552-03.402)</v>
      </c>
    </row>
    <row r="32" spans="1:9" ht="25.5" x14ac:dyDescent="0.2">
      <c r="A32" s="138">
        <v>31</v>
      </c>
      <c r="B32" s="139" t="s">
        <v>274</v>
      </c>
      <c r="C32" s="140" t="s">
        <v>275</v>
      </c>
      <c r="D32" s="145">
        <v>56</v>
      </c>
      <c r="E32" s="141">
        <v>8874.1816714285706</v>
      </c>
      <c r="F32" s="141">
        <f t="shared" si="1"/>
        <v>10649.02</v>
      </c>
      <c r="G32" s="141">
        <f t="shared" si="0"/>
        <v>596345.12</v>
      </c>
      <c r="I32" s="151" t="str">
        <f t="shared" si="2"/>
        <v>Соединение штуцерно-торцевое ИТШЛ.302615.086-02 (черт.556-01.070-3)</v>
      </c>
    </row>
    <row r="33" spans="1:9" ht="25.5" x14ac:dyDescent="0.2">
      <c r="A33" s="138">
        <v>32</v>
      </c>
      <c r="B33" s="139" t="s">
        <v>276</v>
      </c>
      <c r="C33" s="140" t="s">
        <v>277</v>
      </c>
      <c r="D33" s="145">
        <v>16</v>
      </c>
      <c r="E33" s="141">
        <v>9784.4031250000007</v>
      </c>
      <c r="F33" s="141">
        <f t="shared" si="1"/>
        <v>11741.28</v>
      </c>
      <c r="G33" s="141">
        <f t="shared" si="0"/>
        <v>187860.48000000001</v>
      </c>
      <c r="I33" s="151" t="str">
        <f t="shared" si="2"/>
        <v>Соединение накидное ИТШЛ.302615.102-06 (черт.556-01.076-07)</v>
      </c>
    </row>
    <row r="34" spans="1:9" ht="25.5" x14ac:dyDescent="0.2">
      <c r="A34" s="138">
        <v>33</v>
      </c>
      <c r="B34" s="139" t="s">
        <v>278</v>
      </c>
      <c r="C34" s="140" t="s">
        <v>279</v>
      </c>
      <c r="D34" s="145">
        <v>12</v>
      </c>
      <c r="E34" s="141">
        <v>6061.1450000000004</v>
      </c>
      <c r="F34" s="141">
        <f t="shared" si="1"/>
        <v>7273.37</v>
      </c>
      <c r="G34" s="141">
        <f t="shared" si="0"/>
        <v>87280.44</v>
      </c>
      <c r="I34" s="151" t="str">
        <f t="shared" si="2"/>
        <v>Штуцер промежуточный ИТШЛ.753081.015-02 (черт.556-35.2544-02)</v>
      </c>
    </row>
    <row r="35" spans="1:9" x14ac:dyDescent="0.2">
      <c r="A35" s="138">
        <v>34</v>
      </c>
      <c r="B35" s="139" t="s">
        <v>286</v>
      </c>
      <c r="C35" s="140" t="s">
        <v>287</v>
      </c>
      <c r="D35" s="145">
        <v>8</v>
      </c>
      <c r="E35" s="141">
        <v>7741.1050000000005</v>
      </c>
      <c r="F35" s="141">
        <f t="shared" si="1"/>
        <v>9289.33</v>
      </c>
      <c r="G35" s="141">
        <f t="shared" si="0"/>
        <v>74314.64</v>
      </c>
      <c r="I35" s="151" t="str">
        <f t="shared" si="2"/>
        <v>Штуцер  ИТШЛ.753081.012-05 (черт.556-35.2804-06)</v>
      </c>
    </row>
    <row r="36" spans="1:9" ht="25.5" x14ac:dyDescent="0.2">
      <c r="A36" s="138">
        <v>35</v>
      </c>
      <c r="B36" s="139" t="s">
        <v>288</v>
      </c>
      <c r="C36" s="140" t="s">
        <v>289</v>
      </c>
      <c r="D36" s="145">
        <v>8</v>
      </c>
      <c r="E36" s="141">
        <v>7027.6</v>
      </c>
      <c r="F36" s="141">
        <f t="shared" si="1"/>
        <v>8433.1200000000008</v>
      </c>
      <c r="G36" s="141">
        <f t="shared" si="0"/>
        <v>67464.960000000006</v>
      </c>
      <c r="I36" s="151" t="str">
        <f t="shared" si="2"/>
        <v>Штуцер ответвительный  ИТШЛ.753066.006-05 (черт.556-01.099-6)</v>
      </c>
    </row>
    <row r="37" spans="1:9" x14ac:dyDescent="0.2">
      <c r="A37" s="138">
        <v>36</v>
      </c>
      <c r="B37" s="139" t="s">
        <v>290</v>
      </c>
      <c r="C37" s="140" t="s">
        <v>291</v>
      </c>
      <c r="D37" s="145">
        <v>4</v>
      </c>
      <c r="E37" s="141">
        <v>5258.8915999999999</v>
      </c>
      <c r="F37" s="141">
        <f t="shared" si="1"/>
        <v>6310.67</v>
      </c>
      <c r="G37" s="141">
        <f t="shared" si="0"/>
        <v>25242.68</v>
      </c>
      <c r="I37" s="151" t="str">
        <f t="shared" si="2"/>
        <v>Штуцер ИТШЛ.753066.007-01 (черт.556-01.100-2)</v>
      </c>
    </row>
    <row r="38" spans="1:9" ht="25.5" x14ac:dyDescent="0.2">
      <c r="A38" s="138">
        <v>37</v>
      </c>
      <c r="B38" s="139" t="s">
        <v>292</v>
      </c>
      <c r="C38" s="140" t="s">
        <v>293</v>
      </c>
      <c r="D38" s="145">
        <v>16</v>
      </c>
      <c r="E38" s="141">
        <v>4789.6493</v>
      </c>
      <c r="F38" s="141">
        <f t="shared" si="1"/>
        <v>5747.58</v>
      </c>
      <c r="G38" s="141">
        <f t="shared" si="0"/>
        <v>91961.279999999999</v>
      </c>
      <c r="I38" s="151" t="str">
        <f t="shared" si="2"/>
        <v>Штуцер ответвительный ИТШЛ.753101.007-01 (черт.556-35.2291-01)</v>
      </c>
    </row>
    <row r="39" spans="1:9" x14ac:dyDescent="0.2">
      <c r="A39" s="138">
        <v>38</v>
      </c>
      <c r="B39" s="139" t="s">
        <v>284</v>
      </c>
      <c r="C39" s="140" t="s">
        <v>285</v>
      </c>
      <c r="D39" s="145">
        <v>20</v>
      </c>
      <c r="E39" s="141">
        <v>5898.5339999999997</v>
      </c>
      <c r="F39" s="141">
        <f t="shared" si="1"/>
        <v>7078.24</v>
      </c>
      <c r="G39" s="141">
        <f t="shared" si="0"/>
        <v>141564.79999999999</v>
      </c>
      <c r="I39" s="151" t="str">
        <f t="shared" si="2"/>
        <v>Штуцер ИТШЛ.753101.007-03 (черт.556-35.2291-03)</v>
      </c>
    </row>
    <row r="40" spans="1:9" x14ac:dyDescent="0.2">
      <c r="A40" s="138">
        <v>39</v>
      </c>
      <c r="B40" s="139" t="s">
        <v>283</v>
      </c>
      <c r="C40" s="140" t="s">
        <v>282</v>
      </c>
      <c r="D40" s="145">
        <v>20</v>
      </c>
      <c r="E40" s="141">
        <v>6100.5530000000008</v>
      </c>
      <c r="F40" s="141">
        <f t="shared" si="1"/>
        <v>7320.66</v>
      </c>
      <c r="G40" s="141">
        <f t="shared" si="0"/>
        <v>146413.20000000001</v>
      </c>
      <c r="I40" s="151" t="str">
        <f t="shared" si="2"/>
        <v>Штуцер ИТШЛ.753101.007-05 (черт.556-35.2291-05)</v>
      </c>
    </row>
    <row r="41" spans="1:9" ht="26.25" thickBot="1" x14ac:dyDescent="0.25">
      <c r="A41" s="138">
        <v>40</v>
      </c>
      <c r="B41" s="139" t="s">
        <v>280</v>
      </c>
      <c r="C41" s="140" t="s">
        <v>281</v>
      </c>
      <c r="D41" s="145">
        <v>24</v>
      </c>
      <c r="E41" s="141">
        <v>7634.4538000000011</v>
      </c>
      <c r="F41" s="141">
        <f t="shared" si="1"/>
        <v>9161.34</v>
      </c>
      <c r="G41" s="141">
        <f t="shared" si="0"/>
        <v>219872.16</v>
      </c>
      <c r="I41" s="151" t="str">
        <f t="shared" si="2"/>
        <v>Штуцер ввертной ИТШЛ.753012.016-02 (черт.556-01.092-03)</v>
      </c>
    </row>
    <row r="42" spans="1:9" ht="13.5" thickBot="1" x14ac:dyDescent="0.25">
      <c r="D42" s="137">
        <f>SUM(D2:D41)</f>
        <v>307</v>
      </c>
      <c r="G42" s="146">
        <f>SUM(G2:G41)</f>
        <v>7989000.0000000009</v>
      </c>
    </row>
    <row r="44" spans="1:9" x14ac:dyDescent="0.2">
      <c r="F44" s="149"/>
      <c r="G44" s="147"/>
    </row>
    <row r="45" spans="1:9" x14ac:dyDescent="0.2">
      <c r="G45" s="148"/>
    </row>
    <row r="47" spans="1:9" x14ac:dyDescent="0.2">
      <c r="G47" s="147"/>
    </row>
  </sheetData>
  <autoFilter ref="A1:D42" xr:uid="{00000000-0009-0000-0000-000001000000}"/>
  <conditionalFormatting sqref="C1:C1048576">
    <cfRule type="duplicateValues" dxfId="2" priority="1"/>
  </conditionalFormatting>
  <pageMargins left="0.70866141732283472" right="0.70866141732283472" top="0.74803149606299213" bottom="0.74803149606299213" header="0.31496062992125984" footer="0.31496062992125984"/>
  <pageSetup paperSize="9" scale="63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50"/>
  <sheetViews>
    <sheetView topLeftCell="E1" workbookViewId="0">
      <selection activeCell="E2" sqref="E2"/>
    </sheetView>
  </sheetViews>
  <sheetFormatPr defaultRowHeight="12.75" outlineLevelCol="1" x14ac:dyDescent="0.2"/>
  <cols>
    <col min="1" max="1" width="4.85546875" style="4" customWidth="1"/>
    <col min="2" max="2" width="32.140625" style="4" customWidth="1"/>
    <col min="3" max="3" width="23.5703125" style="4" customWidth="1"/>
    <col min="4" max="4" width="7.42578125" style="4" customWidth="1"/>
    <col min="5" max="5" width="9.7109375" style="4" customWidth="1"/>
    <col min="6" max="6" width="12.7109375" style="4" customWidth="1" outlineLevel="1"/>
    <col min="7" max="7" width="13.5703125" style="4" customWidth="1" outlineLevel="1"/>
    <col min="8" max="9" width="12.28515625" style="4" customWidth="1" outlineLevel="1"/>
    <col min="10" max="10" width="11.140625" style="53" customWidth="1" outlineLevel="1"/>
    <col min="11" max="11" width="9.140625" style="4" customWidth="1" outlineLevel="1"/>
    <col min="12" max="12" width="11.140625" style="4" customWidth="1" outlineLevel="1"/>
    <col min="13" max="13" width="9.140625" style="4" customWidth="1" outlineLevel="1"/>
    <col min="14" max="14" width="11" style="4" customWidth="1" outlineLevel="1"/>
    <col min="15" max="15" width="9.140625" style="4" customWidth="1" outlineLevel="1"/>
    <col min="16" max="16" width="10.28515625" style="4" customWidth="1"/>
    <col min="17" max="17" width="10" style="4" customWidth="1"/>
    <col min="18" max="18" width="10.5703125" style="4" customWidth="1"/>
    <col min="19" max="19" width="11.140625" style="4" customWidth="1"/>
    <col min="20" max="20" width="12.7109375" style="4" bestFit="1" customWidth="1"/>
    <col min="21" max="21" width="12.7109375" style="4" customWidth="1"/>
    <col min="22" max="26" width="9.140625" style="4"/>
    <col min="27" max="27" width="12.7109375" style="4" bestFit="1" customWidth="1"/>
    <col min="28" max="16384" width="9.140625" style="4"/>
  </cols>
  <sheetData>
    <row r="1" spans="1:27" ht="25.5" x14ac:dyDescent="0.2">
      <c r="A1" s="2" t="s">
        <v>0</v>
      </c>
      <c r="B1" s="3" t="s">
        <v>1</v>
      </c>
      <c r="C1" s="3" t="s">
        <v>2</v>
      </c>
      <c r="D1" s="3" t="s">
        <v>3</v>
      </c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60</v>
      </c>
      <c r="L1" s="5" t="s">
        <v>53</v>
      </c>
      <c r="M1" s="5" t="s">
        <v>269</v>
      </c>
      <c r="N1" s="5" t="s">
        <v>55</v>
      </c>
      <c r="O1" s="5" t="s">
        <v>56</v>
      </c>
      <c r="P1" s="5" t="s">
        <v>57</v>
      </c>
      <c r="Q1" s="5" t="s">
        <v>58</v>
      </c>
      <c r="R1" s="5" t="s">
        <v>271</v>
      </c>
      <c r="S1" s="5" t="s">
        <v>272</v>
      </c>
      <c r="T1" s="5" t="s">
        <v>273</v>
      </c>
      <c r="U1" s="129"/>
      <c r="W1" s="5" t="s">
        <v>267</v>
      </c>
      <c r="X1" s="5" t="s">
        <v>268</v>
      </c>
      <c r="Y1" s="5" t="s">
        <v>270</v>
      </c>
      <c r="Z1" s="152">
        <v>1</v>
      </c>
      <c r="AA1" s="133">
        <f>T45</f>
        <v>5786063.2600000007</v>
      </c>
    </row>
    <row r="2" spans="1:27" ht="25.5" x14ac:dyDescent="0.2">
      <c r="A2" s="6">
        <v>1</v>
      </c>
      <c r="B2" s="7" t="s">
        <v>87</v>
      </c>
      <c r="C2" s="8" t="s">
        <v>8</v>
      </c>
      <c r="D2" s="9">
        <v>5</v>
      </c>
      <c r="E2" s="122">
        <f t="shared" ref="E2:E30" si="0">ROUND(Y2*$Z$1,2)</f>
        <v>1.05</v>
      </c>
      <c r="F2" s="18">
        <f>ROUND(E2*272.87,2)</f>
        <v>286.51</v>
      </c>
      <c r="G2" s="18">
        <f>ROUND(F2*31.3%,2)</f>
        <v>89.68</v>
      </c>
      <c r="H2" s="18">
        <f>ROUND(F2*230.96%,2)</f>
        <v>661.72</v>
      </c>
      <c r="I2" s="18">
        <f>ROUND(F2*144.77%,2)</f>
        <v>414.78</v>
      </c>
      <c r="J2" s="18"/>
      <c r="K2" s="18"/>
      <c r="L2" s="52">
        <v>5015</v>
      </c>
      <c r="M2" s="18">
        <f>ROUND(500/1.2,2)</f>
        <v>416.67</v>
      </c>
      <c r="N2" s="18"/>
      <c r="O2" s="18"/>
      <c r="P2" s="18">
        <f>SUM(F2:O2)</f>
        <v>6884.3600000000006</v>
      </c>
      <c r="Q2" s="18">
        <f>ROUND((M2+N2)*1%+(P2-M2-N2)*20%,2)</f>
        <v>1297.7</v>
      </c>
      <c r="R2" s="18">
        <f>P2+Q2</f>
        <v>8182.06</v>
      </c>
      <c r="S2" s="18">
        <f>ROUND(R2*1.2,2)</f>
        <v>9818.4699999999993</v>
      </c>
      <c r="T2" s="18">
        <f>ROUND(D2*S2,2)</f>
        <v>49092.35</v>
      </c>
      <c r="U2" s="130"/>
      <c r="W2" s="122">
        <v>1.05</v>
      </c>
      <c r="X2" s="128"/>
      <c r="Y2" s="122">
        <f>SUM(W2:X2)</f>
        <v>1.05</v>
      </c>
    </row>
    <row r="3" spans="1:27" x14ac:dyDescent="0.2">
      <c r="A3" s="6">
        <v>2</v>
      </c>
      <c r="B3" s="7" t="s">
        <v>89</v>
      </c>
      <c r="C3" s="8" t="s">
        <v>9</v>
      </c>
      <c r="D3" s="9">
        <v>6</v>
      </c>
      <c r="E3" s="122">
        <f t="shared" si="0"/>
        <v>2.4</v>
      </c>
      <c r="F3" s="18">
        <f t="shared" ref="F3:F44" si="1">ROUND(E3*272.87,2)</f>
        <v>654.89</v>
      </c>
      <c r="G3" s="18">
        <f t="shared" ref="G3:G44" si="2">ROUND(F3*31.3%,2)</f>
        <v>204.98</v>
      </c>
      <c r="H3" s="18">
        <f t="shared" ref="H3:H44" si="3">ROUND(F3*230.96%,2)</f>
        <v>1512.53</v>
      </c>
      <c r="I3" s="18">
        <f t="shared" ref="I3:I44" si="4">ROUND(F3*144.77%,2)</f>
        <v>948.08</v>
      </c>
      <c r="J3" s="18"/>
      <c r="K3" s="18"/>
      <c r="L3" s="52">
        <v>8303</v>
      </c>
      <c r="M3" s="18">
        <f t="shared" ref="M3:M44" si="5">ROUND(500/1.2,2)</f>
        <v>416.67</v>
      </c>
      <c r="N3" s="18"/>
      <c r="O3" s="18"/>
      <c r="P3" s="18">
        <f t="shared" ref="P3:P44" si="6">SUM(F3:O3)</f>
        <v>12040.15</v>
      </c>
      <c r="Q3" s="18">
        <f t="shared" ref="Q3:Q44" si="7">ROUND((M3+N3)*1%+(P3-M3-N3)*20%,2)</f>
        <v>2328.86</v>
      </c>
      <c r="R3" s="18">
        <f t="shared" ref="R3:R44" si="8">P3+Q3</f>
        <v>14369.01</v>
      </c>
      <c r="S3" s="18">
        <f t="shared" ref="S3:S44" si="9">ROUND(R3*1.2,2)</f>
        <v>17242.810000000001</v>
      </c>
      <c r="T3" s="18">
        <f t="shared" ref="T3:T44" si="10">ROUND(D3*S3,2)</f>
        <v>103456.86</v>
      </c>
      <c r="U3" s="130"/>
      <c r="W3" s="122">
        <v>0.9</v>
      </c>
      <c r="X3" s="122">
        <v>1.5</v>
      </c>
      <c r="Y3" s="122">
        <f t="shared" ref="Y3:Y44" si="11">SUM(W3:X3)</f>
        <v>2.4</v>
      </c>
    </row>
    <row r="4" spans="1:27" ht="25.5" x14ac:dyDescent="0.2">
      <c r="A4" s="6">
        <v>3</v>
      </c>
      <c r="B4" s="7" t="s">
        <v>88</v>
      </c>
      <c r="C4" s="8" t="s">
        <v>10</v>
      </c>
      <c r="D4" s="9">
        <v>2</v>
      </c>
      <c r="E4" s="122">
        <f t="shared" si="0"/>
        <v>1.95</v>
      </c>
      <c r="F4" s="18">
        <f t="shared" si="1"/>
        <v>532.1</v>
      </c>
      <c r="G4" s="18">
        <f t="shared" si="2"/>
        <v>166.55</v>
      </c>
      <c r="H4" s="18">
        <f t="shared" si="3"/>
        <v>1228.94</v>
      </c>
      <c r="I4" s="18">
        <f t="shared" si="4"/>
        <v>770.32</v>
      </c>
      <c r="J4" s="18"/>
      <c r="K4" s="18"/>
      <c r="L4" s="52">
        <v>40290</v>
      </c>
      <c r="M4" s="18">
        <f t="shared" si="5"/>
        <v>416.67</v>
      </c>
      <c r="N4" s="18"/>
      <c r="O4" s="52"/>
      <c r="P4" s="18">
        <f t="shared" si="6"/>
        <v>43404.58</v>
      </c>
      <c r="Q4" s="18">
        <f t="shared" si="7"/>
        <v>8601.75</v>
      </c>
      <c r="R4" s="18">
        <f t="shared" si="8"/>
        <v>52006.33</v>
      </c>
      <c r="S4" s="18">
        <f t="shared" si="9"/>
        <v>62407.6</v>
      </c>
      <c r="T4" s="18">
        <f t="shared" si="10"/>
        <v>124815.2</v>
      </c>
      <c r="U4" s="130"/>
      <c r="W4" s="122">
        <v>1.45</v>
      </c>
      <c r="X4" s="122">
        <v>0.5</v>
      </c>
      <c r="Y4" s="122">
        <f t="shared" si="11"/>
        <v>1.95</v>
      </c>
    </row>
    <row r="5" spans="1:27" x14ac:dyDescent="0.2">
      <c r="A5" s="6">
        <v>4</v>
      </c>
      <c r="B5" s="7" t="s">
        <v>91</v>
      </c>
      <c r="C5" s="8" t="s">
        <v>11</v>
      </c>
      <c r="D5" s="9">
        <v>7</v>
      </c>
      <c r="E5" s="122">
        <f t="shared" si="0"/>
        <v>3.2</v>
      </c>
      <c r="F5" s="18">
        <f t="shared" si="1"/>
        <v>873.18</v>
      </c>
      <c r="G5" s="18">
        <f t="shared" si="2"/>
        <v>273.31</v>
      </c>
      <c r="H5" s="18">
        <f t="shared" si="3"/>
        <v>2016.7</v>
      </c>
      <c r="I5" s="18">
        <f t="shared" si="4"/>
        <v>1264.0999999999999</v>
      </c>
      <c r="J5" s="18"/>
      <c r="K5" s="18"/>
      <c r="L5" s="52">
        <v>21607</v>
      </c>
      <c r="M5" s="18">
        <f t="shared" si="5"/>
        <v>416.67</v>
      </c>
      <c r="N5" s="18"/>
      <c r="O5" s="18"/>
      <c r="P5" s="18">
        <f t="shared" si="6"/>
        <v>26450.959999999999</v>
      </c>
      <c r="Q5" s="18">
        <f t="shared" si="7"/>
        <v>5211.0200000000004</v>
      </c>
      <c r="R5" s="18">
        <f t="shared" si="8"/>
        <v>31661.98</v>
      </c>
      <c r="S5" s="18">
        <f t="shared" si="9"/>
        <v>37994.379999999997</v>
      </c>
      <c r="T5" s="18">
        <f t="shared" si="10"/>
        <v>265960.65999999997</v>
      </c>
      <c r="U5" s="130"/>
      <c r="W5" s="122">
        <v>1.7</v>
      </c>
      <c r="X5" s="122">
        <v>1.5</v>
      </c>
      <c r="Y5" s="122">
        <f t="shared" si="11"/>
        <v>3.2</v>
      </c>
    </row>
    <row r="6" spans="1:27" ht="25.5" x14ac:dyDescent="0.2">
      <c r="A6" s="6">
        <v>5</v>
      </c>
      <c r="B6" s="7" t="s">
        <v>90</v>
      </c>
      <c r="C6" s="8" t="s">
        <v>12</v>
      </c>
      <c r="D6" s="9">
        <v>3</v>
      </c>
      <c r="E6" s="122">
        <f t="shared" si="0"/>
        <v>3.2</v>
      </c>
      <c r="F6" s="18">
        <f t="shared" si="1"/>
        <v>873.18</v>
      </c>
      <c r="G6" s="18">
        <f t="shared" si="2"/>
        <v>273.31</v>
      </c>
      <c r="H6" s="18">
        <f t="shared" si="3"/>
        <v>2016.7</v>
      </c>
      <c r="I6" s="18">
        <f t="shared" si="4"/>
        <v>1264.0999999999999</v>
      </c>
      <c r="J6" s="18"/>
      <c r="K6" s="18"/>
      <c r="L6" s="52">
        <v>26302</v>
      </c>
      <c r="M6" s="18">
        <f t="shared" si="5"/>
        <v>416.67</v>
      </c>
      <c r="N6" s="18"/>
      <c r="O6" s="18"/>
      <c r="P6" s="18">
        <f t="shared" si="6"/>
        <v>31145.96</v>
      </c>
      <c r="Q6" s="18">
        <f t="shared" si="7"/>
        <v>6150.02</v>
      </c>
      <c r="R6" s="18">
        <f t="shared" si="8"/>
        <v>37295.979999999996</v>
      </c>
      <c r="S6" s="18">
        <f t="shared" si="9"/>
        <v>44755.18</v>
      </c>
      <c r="T6" s="18">
        <f t="shared" si="10"/>
        <v>134265.54</v>
      </c>
      <c r="U6" s="130"/>
      <c r="W6" s="122">
        <v>1.7</v>
      </c>
      <c r="X6" s="122">
        <v>1.5</v>
      </c>
      <c r="Y6" s="122">
        <f t="shared" si="11"/>
        <v>3.2</v>
      </c>
    </row>
    <row r="7" spans="1:27" x14ac:dyDescent="0.2">
      <c r="A7" s="6">
        <v>6</v>
      </c>
      <c r="B7" s="7" t="s">
        <v>92</v>
      </c>
      <c r="C7" s="8" t="s">
        <v>13</v>
      </c>
      <c r="D7" s="9">
        <v>8</v>
      </c>
      <c r="E7" s="122">
        <f t="shared" si="0"/>
        <v>2.8</v>
      </c>
      <c r="F7" s="18">
        <f t="shared" si="1"/>
        <v>764.04</v>
      </c>
      <c r="G7" s="18">
        <f t="shared" si="2"/>
        <v>239.14</v>
      </c>
      <c r="H7" s="18">
        <f t="shared" si="3"/>
        <v>1764.63</v>
      </c>
      <c r="I7" s="18">
        <f t="shared" si="4"/>
        <v>1106.0999999999999</v>
      </c>
      <c r="J7" s="18"/>
      <c r="K7" s="18"/>
      <c r="L7" s="52">
        <v>38371</v>
      </c>
      <c r="M7" s="18">
        <f t="shared" si="5"/>
        <v>416.67</v>
      </c>
      <c r="N7" s="18"/>
      <c r="O7" s="18"/>
      <c r="P7" s="18">
        <f t="shared" si="6"/>
        <v>42661.58</v>
      </c>
      <c r="Q7" s="18">
        <f t="shared" si="7"/>
        <v>8453.15</v>
      </c>
      <c r="R7" s="18">
        <f t="shared" si="8"/>
        <v>51114.73</v>
      </c>
      <c r="S7" s="18">
        <f t="shared" si="9"/>
        <v>61337.68</v>
      </c>
      <c r="T7" s="18">
        <f t="shared" si="10"/>
        <v>490701.44</v>
      </c>
      <c r="U7" s="130"/>
      <c r="W7" s="122">
        <v>1.8</v>
      </c>
      <c r="X7" s="122">
        <v>1</v>
      </c>
      <c r="Y7" s="122">
        <f t="shared" si="11"/>
        <v>2.8</v>
      </c>
    </row>
    <row r="8" spans="1:27" ht="25.5" x14ac:dyDescent="0.2">
      <c r="A8" s="6">
        <v>7</v>
      </c>
      <c r="B8" s="7" t="s">
        <v>93</v>
      </c>
      <c r="C8" s="8" t="s">
        <v>14</v>
      </c>
      <c r="D8" s="9">
        <v>9</v>
      </c>
      <c r="E8" s="122">
        <f t="shared" si="0"/>
        <v>3.8</v>
      </c>
      <c r="F8" s="18">
        <f t="shared" si="1"/>
        <v>1036.9100000000001</v>
      </c>
      <c r="G8" s="18">
        <f t="shared" si="2"/>
        <v>324.55</v>
      </c>
      <c r="H8" s="18">
        <f t="shared" si="3"/>
        <v>2394.85</v>
      </c>
      <c r="I8" s="18">
        <f t="shared" si="4"/>
        <v>1501.13</v>
      </c>
      <c r="J8" s="18"/>
      <c r="K8" s="18"/>
      <c r="L8" s="52">
        <v>32542</v>
      </c>
      <c r="M8" s="18">
        <f t="shared" si="5"/>
        <v>416.67</v>
      </c>
      <c r="N8" s="18"/>
      <c r="O8" s="18"/>
      <c r="P8" s="18">
        <f t="shared" si="6"/>
        <v>38216.11</v>
      </c>
      <c r="Q8" s="18">
        <f t="shared" si="7"/>
        <v>7564.05</v>
      </c>
      <c r="R8" s="18">
        <f t="shared" si="8"/>
        <v>45780.160000000003</v>
      </c>
      <c r="S8" s="18">
        <f t="shared" si="9"/>
        <v>54936.19</v>
      </c>
      <c r="T8" s="18">
        <f t="shared" si="10"/>
        <v>494425.71</v>
      </c>
      <c r="U8" s="130"/>
      <c r="W8" s="122">
        <v>1.8</v>
      </c>
      <c r="X8" s="122">
        <v>2</v>
      </c>
      <c r="Y8" s="122">
        <f t="shared" si="11"/>
        <v>3.8</v>
      </c>
    </row>
    <row r="9" spans="1:27" x14ac:dyDescent="0.2">
      <c r="A9" s="6">
        <v>8</v>
      </c>
      <c r="B9" s="7" t="s">
        <v>86</v>
      </c>
      <c r="C9" s="8" t="s">
        <v>15</v>
      </c>
      <c r="D9" s="6">
        <v>1</v>
      </c>
      <c r="E9" s="122">
        <f t="shared" si="0"/>
        <v>3.5</v>
      </c>
      <c r="F9" s="18">
        <f t="shared" si="1"/>
        <v>955.05</v>
      </c>
      <c r="G9" s="18">
        <f t="shared" si="2"/>
        <v>298.93</v>
      </c>
      <c r="H9" s="18">
        <f t="shared" si="3"/>
        <v>2205.7800000000002</v>
      </c>
      <c r="I9" s="18">
        <f t="shared" si="4"/>
        <v>1382.63</v>
      </c>
      <c r="J9" s="18"/>
      <c r="K9" s="18"/>
      <c r="L9" s="52">
        <v>65703</v>
      </c>
      <c r="M9" s="18">
        <f t="shared" si="5"/>
        <v>416.67</v>
      </c>
      <c r="N9" s="18"/>
      <c r="O9" s="52"/>
      <c r="P9" s="18">
        <f t="shared" si="6"/>
        <v>70962.06</v>
      </c>
      <c r="Q9" s="18">
        <f t="shared" si="7"/>
        <v>14113.24</v>
      </c>
      <c r="R9" s="18">
        <f t="shared" si="8"/>
        <v>85075.3</v>
      </c>
      <c r="S9" s="18">
        <f t="shared" si="9"/>
        <v>102090.36</v>
      </c>
      <c r="T9" s="18">
        <f t="shared" si="10"/>
        <v>102090.36</v>
      </c>
      <c r="U9" s="130"/>
      <c r="W9" s="122">
        <v>2</v>
      </c>
      <c r="X9" s="122">
        <v>1.5</v>
      </c>
      <c r="Y9" s="122">
        <f t="shared" si="11"/>
        <v>3.5</v>
      </c>
    </row>
    <row r="10" spans="1:27" x14ac:dyDescent="0.2">
      <c r="A10" s="29">
        <v>9</v>
      </c>
      <c r="B10" s="30" t="s">
        <v>104</v>
      </c>
      <c r="C10" s="31" t="s">
        <v>16</v>
      </c>
      <c r="D10" s="32">
        <v>5</v>
      </c>
      <c r="E10" s="122">
        <f t="shared" si="0"/>
        <v>2</v>
      </c>
      <c r="F10" s="18">
        <f t="shared" si="1"/>
        <v>545.74</v>
      </c>
      <c r="G10" s="18">
        <f t="shared" si="2"/>
        <v>170.82</v>
      </c>
      <c r="H10" s="18">
        <f t="shared" si="3"/>
        <v>1260.44</v>
      </c>
      <c r="I10" s="18">
        <f t="shared" si="4"/>
        <v>790.07</v>
      </c>
      <c r="J10" s="59">
        <f>мат!D9/5</f>
        <v>6742.9520000000002</v>
      </c>
      <c r="K10" s="18"/>
      <c r="L10" s="18"/>
      <c r="M10" s="18">
        <f t="shared" si="5"/>
        <v>416.67</v>
      </c>
      <c r="N10" s="18"/>
      <c r="O10" s="18"/>
      <c r="P10" s="18">
        <f t="shared" si="6"/>
        <v>9926.6920000000009</v>
      </c>
      <c r="Q10" s="18">
        <f t="shared" si="7"/>
        <v>1906.17</v>
      </c>
      <c r="R10" s="18">
        <f t="shared" si="8"/>
        <v>11832.862000000001</v>
      </c>
      <c r="S10" s="18">
        <f t="shared" si="9"/>
        <v>14199.43</v>
      </c>
      <c r="T10" s="18">
        <f t="shared" si="10"/>
        <v>70997.149999999994</v>
      </c>
      <c r="U10" s="130"/>
      <c r="W10" s="122">
        <v>2</v>
      </c>
      <c r="X10" s="128"/>
      <c r="Y10" s="122">
        <f t="shared" si="11"/>
        <v>2</v>
      </c>
    </row>
    <row r="11" spans="1:27" x14ac:dyDescent="0.2">
      <c r="A11" s="6">
        <v>10</v>
      </c>
      <c r="B11" s="7" t="s">
        <v>89</v>
      </c>
      <c r="C11" s="8" t="s">
        <v>17</v>
      </c>
      <c r="D11" s="12">
        <v>4</v>
      </c>
      <c r="E11" s="122">
        <f t="shared" si="0"/>
        <v>3.2</v>
      </c>
      <c r="F11" s="18">
        <f t="shared" si="1"/>
        <v>873.18</v>
      </c>
      <c r="G11" s="18">
        <f t="shared" si="2"/>
        <v>273.31</v>
      </c>
      <c r="H11" s="18">
        <f t="shared" si="3"/>
        <v>2016.7</v>
      </c>
      <c r="I11" s="18">
        <f t="shared" si="4"/>
        <v>1264.0999999999999</v>
      </c>
      <c r="J11" s="18"/>
      <c r="K11" s="18"/>
      <c r="L11" s="52">
        <v>32413</v>
      </c>
      <c r="M11" s="18">
        <f t="shared" si="5"/>
        <v>416.67</v>
      </c>
      <c r="N11" s="18"/>
      <c r="O11" s="18"/>
      <c r="P11" s="18">
        <f t="shared" si="6"/>
        <v>37256.959999999999</v>
      </c>
      <c r="Q11" s="18">
        <f t="shared" si="7"/>
        <v>7372.22</v>
      </c>
      <c r="R11" s="18">
        <f t="shared" si="8"/>
        <v>44629.18</v>
      </c>
      <c r="S11" s="18">
        <f t="shared" si="9"/>
        <v>53555.02</v>
      </c>
      <c r="T11" s="18">
        <f t="shared" si="10"/>
        <v>214220.08</v>
      </c>
      <c r="U11" s="130"/>
      <c r="W11" s="122">
        <v>2.2000000000000002</v>
      </c>
      <c r="X11" s="122">
        <v>1</v>
      </c>
      <c r="Y11" s="122">
        <f t="shared" si="11"/>
        <v>3.2</v>
      </c>
    </row>
    <row r="12" spans="1:27" ht="25.5" x14ac:dyDescent="0.2">
      <c r="A12" s="6">
        <v>11</v>
      </c>
      <c r="B12" s="7" t="s">
        <v>103</v>
      </c>
      <c r="C12" s="8" t="s">
        <v>18</v>
      </c>
      <c r="D12" s="12">
        <v>4</v>
      </c>
      <c r="E12" s="122">
        <f t="shared" si="0"/>
        <v>3.2</v>
      </c>
      <c r="F12" s="18">
        <f t="shared" si="1"/>
        <v>873.18</v>
      </c>
      <c r="G12" s="18">
        <f t="shared" si="2"/>
        <v>273.31</v>
      </c>
      <c r="H12" s="18">
        <f t="shared" si="3"/>
        <v>2016.7</v>
      </c>
      <c r="I12" s="18">
        <f t="shared" si="4"/>
        <v>1264.0999999999999</v>
      </c>
      <c r="J12" s="18"/>
      <c r="K12" s="18"/>
      <c r="L12" s="52">
        <v>12460</v>
      </c>
      <c r="M12" s="18">
        <f t="shared" si="5"/>
        <v>416.67</v>
      </c>
      <c r="N12" s="18"/>
      <c r="O12" s="18"/>
      <c r="P12" s="18">
        <f t="shared" si="6"/>
        <v>17303.96</v>
      </c>
      <c r="Q12" s="18">
        <f t="shared" si="7"/>
        <v>3381.62</v>
      </c>
      <c r="R12" s="18">
        <f t="shared" si="8"/>
        <v>20685.579999999998</v>
      </c>
      <c r="S12" s="18">
        <f t="shared" si="9"/>
        <v>24822.7</v>
      </c>
      <c r="T12" s="18">
        <f t="shared" si="10"/>
        <v>99290.8</v>
      </c>
      <c r="U12" s="130"/>
      <c r="W12" s="122">
        <v>1.7</v>
      </c>
      <c r="X12" s="122">
        <v>1.5</v>
      </c>
      <c r="Y12" s="122">
        <f t="shared" si="11"/>
        <v>3.2</v>
      </c>
    </row>
    <row r="13" spans="1:27" ht="25.5" x14ac:dyDescent="0.2">
      <c r="A13" s="6">
        <v>12</v>
      </c>
      <c r="B13" s="7" t="s">
        <v>94</v>
      </c>
      <c r="C13" s="8" t="s">
        <v>19</v>
      </c>
      <c r="D13" s="12">
        <v>3</v>
      </c>
      <c r="E13" s="122">
        <f t="shared" si="0"/>
        <v>3.5</v>
      </c>
      <c r="F13" s="18">
        <f t="shared" si="1"/>
        <v>955.05</v>
      </c>
      <c r="G13" s="18">
        <f t="shared" si="2"/>
        <v>298.93</v>
      </c>
      <c r="H13" s="18">
        <f t="shared" si="3"/>
        <v>2205.7800000000002</v>
      </c>
      <c r="I13" s="18">
        <f t="shared" si="4"/>
        <v>1382.63</v>
      </c>
      <c r="J13" s="18"/>
      <c r="K13" s="18"/>
      <c r="L13" s="52">
        <v>52088</v>
      </c>
      <c r="M13" s="18">
        <f t="shared" si="5"/>
        <v>416.67</v>
      </c>
      <c r="N13" s="18"/>
      <c r="O13" s="18"/>
      <c r="P13" s="18">
        <f t="shared" si="6"/>
        <v>57347.06</v>
      </c>
      <c r="Q13" s="18">
        <f t="shared" si="7"/>
        <v>11390.24</v>
      </c>
      <c r="R13" s="18">
        <f t="shared" si="8"/>
        <v>68737.3</v>
      </c>
      <c r="S13" s="18">
        <f t="shared" si="9"/>
        <v>82484.759999999995</v>
      </c>
      <c r="T13" s="18">
        <f t="shared" si="10"/>
        <v>247454.28</v>
      </c>
      <c r="U13" s="130"/>
      <c r="W13" s="122">
        <v>2</v>
      </c>
      <c r="X13" s="122">
        <v>1.5</v>
      </c>
      <c r="Y13" s="122">
        <f t="shared" si="11"/>
        <v>3.5</v>
      </c>
    </row>
    <row r="14" spans="1:27" x14ac:dyDescent="0.2">
      <c r="A14" s="6">
        <v>13</v>
      </c>
      <c r="B14" s="7" t="s">
        <v>89</v>
      </c>
      <c r="C14" s="8" t="s">
        <v>20</v>
      </c>
      <c r="D14" s="12">
        <v>7</v>
      </c>
      <c r="E14" s="122">
        <f t="shared" si="0"/>
        <v>3.2</v>
      </c>
      <c r="F14" s="18">
        <f t="shared" si="1"/>
        <v>873.18</v>
      </c>
      <c r="G14" s="18">
        <f t="shared" si="2"/>
        <v>273.31</v>
      </c>
      <c r="H14" s="18">
        <f t="shared" si="3"/>
        <v>2016.7</v>
      </c>
      <c r="I14" s="18">
        <f t="shared" si="4"/>
        <v>1264.0999999999999</v>
      </c>
      <c r="J14" s="18"/>
      <c r="K14" s="18"/>
      <c r="L14" s="52">
        <v>17531</v>
      </c>
      <c r="M14" s="18">
        <f t="shared" si="5"/>
        <v>416.67</v>
      </c>
      <c r="N14" s="18"/>
      <c r="O14" s="18"/>
      <c r="P14" s="18">
        <f t="shared" si="6"/>
        <v>22374.959999999999</v>
      </c>
      <c r="Q14" s="18">
        <f t="shared" si="7"/>
        <v>4395.82</v>
      </c>
      <c r="R14" s="18">
        <f t="shared" si="8"/>
        <v>26770.78</v>
      </c>
      <c r="S14" s="18">
        <f t="shared" si="9"/>
        <v>32124.94</v>
      </c>
      <c r="T14" s="18">
        <f t="shared" si="10"/>
        <v>224874.58</v>
      </c>
      <c r="U14" s="130"/>
      <c r="W14" s="122">
        <v>1.7</v>
      </c>
      <c r="X14" s="122">
        <v>1.5</v>
      </c>
      <c r="Y14" s="122">
        <f t="shared" si="11"/>
        <v>3.2</v>
      </c>
    </row>
    <row r="15" spans="1:27" x14ac:dyDescent="0.2">
      <c r="A15" s="6">
        <v>14</v>
      </c>
      <c r="B15" s="7" t="s">
        <v>89</v>
      </c>
      <c r="C15" s="8" t="s">
        <v>21</v>
      </c>
      <c r="D15" s="12">
        <v>5</v>
      </c>
      <c r="E15" s="122">
        <f t="shared" si="0"/>
        <v>3.8</v>
      </c>
      <c r="F15" s="18">
        <f t="shared" si="1"/>
        <v>1036.9100000000001</v>
      </c>
      <c r="G15" s="18">
        <f t="shared" si="2"/>
        <v>324.55</v>
      </c>
      <c r="H15" s="18">
        <f t="shared" si="3"/>
        <v>2394.85</v>
      </c>
      <c r="I15" s="18">
        <f t="shared" si="4"/>
        <v>1501.13</v>
      </c>
      <c r="J15" s="18"/>
      <c r="K15" s="18"/>
      <c r="L15" s="52">
        <v>52122</v>
      </c>
      <c r="M15" s="18">
        <f t="shared" si="5"/>
        <v>416.67</v>
      </c>
      <c r="N15" s="18"/>
      <c r="O15" s="18"/>
      <c r="P15" s="18">
        <f t="shared" si="6"/>
        <v>57796.11</v>
      </c>
      <c r="Q15" s="18">
        <f t="shared" si="7"/>
        <v>11480.05</v>
      </c>
      <c r="R15" s="18">
        <f t="shared" si="8"/>
        <v>69276.160000000003</v>
      </c>
      <c r="S15" s="18">
        <f t="shared" si="9"/>
        <v>83131.39</v>
      </c>
      <c r="T15" s="18">
        <f t="shared" si="10"/>
        <v>415656.95</v>
      </c>
      <c r="U15" s="130"/>
      <c r="W15" s="122">
        <v>1.8</v>
      </c>
      <c r="X15" s="122">
        <v>2</v>
      </c>
      <c r="Y15" s="122">
        <f t="shared" si="11"/>
        <v>3.8</v>
      </c>
    </row>
    <row r="16" spans="1:27" x14ac:dyDescent="0.2">
      <c r="A16" s="6">
        <v>15</v>
      </c>
      <c r="B16" s="7" t="s">
        <v>95</v>
      </c>
      <c r="C16" s="8" t="s">
        <v>22</v>
      </c>
      <c r="D16" s="12">
        <v>4</v>
      </c>
      <c r="E16" s="122">
        <f t="shared" si="0"/>
        <v>2.75</v>
      </c>
      <c r="F16" s="18">
        <f t="shared" si="1"/>
        <v>750.39</v>
      </c>
      <c r="G16" s="18">
        <f t="shared" si="2"/>
        <v>234.87</v>
      </c>
      <c r="H16" s="18">
        <f t="shared" si="3"/>
        <v>1733.1</v>
      </c>
      <c r="I16" s="18">
        <f t="shared" si="4"/>
        <v>1086.3399999999999</v>
      </c>
      <c r="J16" s="18"/>
      <c r="K16" s="18"/>
      <c r="L16" s="52">
        <v>13838</v>
      </c>
      <c r="M16" s="18">
        <f t="shared" si="5"/>
        <v>416.67</v>
      </c>
      <c r="N16" s="18"/>
      <c r="O16" s="18"/>
      <c r="P16" s="18">
        <f t="shared" si="6"/>
        <v>18059.37</v>
      </c>
      <c r="Q16" s="18">
        <f t="shared" si="7"/>
        <v>3532.71</v>
      </c>
      <c r="R16" s="18">
        <f t="shared" si="8"/>
        <v>21592.079999999998</v>
      </c>
      <c r="S16" s="18">
        <f t="shared" si="9"/>
        <v>25910.5</v>
      </c>
      <c r="T16" s="18">
        <f t="shared" si="10"/>
        <v>103642</v>
      </c>
      <c r="U16" s="130"/>
      <c r="W16" s="122">
        <v>1.45</v>
      </c>
      <c r="X16" s="122">
        <v>1.3</v>
      </c>
      <c r="Y16" s="122">
        <f t="shared" si="11"/>
        <v>2.75</v>
      </c>
    </row>
    <row r="17" spans="1:25" ht="25.5" x14ac:dyDescent="0.2">
      <c r="A17" s="6">
        <v>16</v>
      </c>
      <c r="B17" s="7" t="s">
        <v>96</v>
      </c>
      <c r="C17" s="8" t="s">
        <v>112</v>
      </c>
      <c r="D17" s="12">
        <v>1</v>
      </c>
      <c r="E17" s="122">
        <f t="shared" si="0"/>
        <v>3.5</v>
      </c>
      <c r="F17" s="18">
        <f t="shared" si="1"/>
        <v>955.05</v>
      </c>
      <c r="G17" s="18">
        <f t="shared" si="2"/>
        <v>298.93</v>
      </c>
      <c r="H17" s="18">
        <f t="shared" si="3"/>
        <v>2205.7800000000002</v>
      </c>
      <c r="I17" s="18">
        <f t="shared" si="4"/>
        <v>1382.63</v>
      </c>
      <c r="J17" s="18"/>
      <c r="K17" s="18"/>
      <c r="L17" s="52">
        <v>41010</v>
      </c>
      <c r="M17" s="18">
        <f t="shared" si="5"/>
        <v>416.67</v>
      </c>
      <c r="N17" s="18"/>
      <c r="O17" s="18"/>
      <c r="P17" s="18">
        <f t="shared" si="6"/>
        <v>46269.06</v>
      </c>
      <c r="Q17" s="18">
        <f t="shared" si="7"/>
        <v>9174.64</v>
      </c>
      <c r="R17" s="18">
        <f t="shared" si="8"/>
        <v>55443.7</v>
      </c>
      <c r="S17" s="18">
        <f t="shared" si="9"/>
        <v>66532.44</v>
      </c>
      <c r="T17" s="18">
        <f t="shared" si="10"/>
        <v>66532.44</v>
      </c>
      <c r="U17" s="130"/>
      <c r="W17" s="122">
        <v>2</v>
      </c>
      <c r="X17" s="122">
        <v>1.5</v>
      </c>
      <c r="Y17" s="122">
        <f t="shared" si="11"/>
        <v>3.5</v>
      </c>
    </row>
    <row r="18" spans="1:25" ht="25.5" x14ac:dyDescent="0.2">
      <c r="A18" s="6">
        <v>17</v>
      </c>
      <c r="B18" s="7" t="s">
        <v>97</v>
      </c>
      <c r="C18" s="8" t="s">
        <v>111</v>
      </c>
      <c r="D18" s="12">
        <v>1</v>
      </c>
      <c r="E18" s="122">
        <f t="shared" si="0"/>
        <v>3.3</v>
      </c>
      <c r="F18" s="18">
        <f t="shared" si="1"/>
        <v>900.47</v>
      </c>
      <c r="G18" s="18">
        <f t="shared" si="2"/>
        <v>281.85000000000002</v>
      </c>
      <c r="H18" s="18">
        <f t="shared" si="3"/>
        <v>2079.73</v>
      </c>
      <c r="I18" s="18">
        <f t="shared" si="4"/>
        <v>1303.6099999999999</v>
      </c>
      <c r="J18" s="18"/>
      <c r="K18" s="18"/>
      <c r="L18" s="52">
        <v>44262</v>
      </c>
      <c r="M18" s="18">
        <f t="shared" si="5"/>
        <v>416.67</v>
      </c>
      <c r="N18" s="18"/>
      <c r="O18" s="18"/>
      <c r="P18" s="18">
        <f t="shared" si="6"/>
        <v>49244.33</v>
      </c>
      <c r="Q18" s="18">
        <f t="shared" si="7"/>
        <v>9769.7000000000007</v>
      </c>
      <c r="R18" s="18">
        <f t="shared" si="8"/>
        <v>59014.03</v>
      </c>
      <c r="S18" s="18">
        <f t="shared" si="9"/>
        <v>70816.84</v>
      </c>
      <c r="T18" s="18">
        <f t="shared" si="10"/>
        <v>70816.84</v>
      </c>
      <c r="U18" s="130"/>
      <c r="W18" s="122">
        <v>1.8</v>
      </c>
      <c r="X18" s="122">
        <v>1.5</v>
      </c>
      <c r="Y18" s="122">
        <f t="shared" si="11"/>
        <v>3.3</v>
      </c>
    </row>
    <row r="19" spans="1:25" ht="25.5" x14ac:dyDescent="0.2">
      <c r="A19" s="6">
        <v>18</v>
      </c>
      <c r="B19" s="7" t="s">
        <v>98</v>
      </c>
      <c r="C19" s="8" t="s">
        <v>23</v>
      </c>
      <c r="D19" s="12">
        <v>4</v>
      </c>
      <c r="E19" s="122">
        <f t="shared" si="0"/>
        <v>2.75</v>
      </c>
      <c r="F19" s="18">
        <f t="shared" si="1"/>
        <v>750.39</v>
      </c>
      <c r="G19" s="18">
        <f t="shared" si="2"/>
        <v>234.87</v>
      </c>
      <c r="H19" s="18">
        <f t="shared" si="3"/>
        <v>1733.1</v>
      </c>
      <c r="I19" s="18">
        <f t="shared" si="4"/>
        <v>1086.3399999999999</v>
      </c>
      <c r="J19" s="18"/>
      <c r="K19" s="18"/>
      <c r="L19" s="52">
        <v>12460</v>
      </c>
      <c r="M19" s="18">
        <f t="shared" si="5"/>
        <v>416.67</v>
      </c>
      <c r="N19" s="18"/>
      <c r="O19" s="18"/>
      <c r="P19" s="18">
        <f t="shared" si="6"/>
        <v>16681.37</v>
      </c>
      <c r="Q19" s="18">
        <f t="shared" si="7"/>
        <v>3257.11</v>
      </c>
      <c r="R19" s="18">
        <f t="shared" si="8"/>
        <v>19938.48</v>
      </c>
      <c r="S19" s="18">
        <f t="shared" si="9"/>
        <v>23926.18</v>
      </c>
      <c r="T19" s="18">
        <f t="shared" si="10"/>
        <v>95704.72</v>
      </c>
      <c r="U19" s="130"/>
      <c r="W19" s="122">
        <v>1.05</v>
      </c>
      <c r="X19" s="122">
        <v>1.7</v>
      </c>
      <c r="Y19" s="122">
        <f t="shared" si="11"/>
        <v>2.75</v>
      </c>
    </row>
    <row r="20" spans="1:25" x14ac:dyDescent="0.2">
      <c r="A20" s="6">
        <v>19</v>
      </c>
      <c r="B20" s="7" t="s">
        <v>89</v>
      </c>
      <c r="C20" s="8" t="s">
        <v>24</v>
      </c>
      <c r="D20" s="12">
        <v>3</v>
      </c>
      <c r="E20" s="122">
        <f t="shared" si="0"/>
        <v>3.3</v>
      </c>
      <c r="F20" s="18">
        <f t="shared" si="1"/>
        <v>900.47</v>
      </c>
      <c r="G20" s="18">
        <f t="shared" si="2"/>
        <v>281.85000000000002</v>
      </c>
      <c r="H20" s="18">
        <f t="shared" si="3"/>
        <v>2079.73</v>
      </c>
      <c r="I20" s="18">
        <f t="shared" si="4"/>
        <v>1303.6099999999999</v>
      </c>
      <c r="J20" s="18"/>
      <c r="K20" s="18"/>
      <c r="L20" s="52">
        <v>38429</v>
      </c>
      <c r="M20" s="18">
        <f t="shared" si="5"/>
        <v>416.67</v>
      </c>
      <c r="N20" s="18"/>
      <c r="O20" s="18"/>
      <c r="P20" s="18">
        <f t="shared" si="6"/>
        <v>43411.33</v>
      </c>
      <c r="Q20" s="18">
        <f t="shared" si="7"/>
        <v>8603.1</v>
      </c>
      <c r="R20" s="18">
        <f t="shared" si="8"/>
        <v>52014.43</v>
      </c>
      <c r="S20" s="18">
        <f t="shared" si="9"/>
        <v>62417.32</v>
      </c>
      <c r="T20" s="18">
        <f t="shared" si="10"/>
        <v>187251.96</v>
      </c>
      <c r="U20" s="130"/>
      <c r="W20" s="122">
        <v>2.2999999999999998</v>
      </c>
      <c r="X20" s="122">
        <v>1</v>
      </c>
      <c r="Y20" s="122">
        <f t="shared" si="11"/>
        <v>3.3</v>
      </c>
    </row>
    <row r="21" spans="1:25" x14ac:dyDescent="0.2">
      <c r="A21" s="6">
        <v>20</v>
      </c>
      <c r="B21" s="7" t="s">
        <v>95</v>
      </c>
      <c r="C21" s="8" t="s">
        <v>25</v>
      </c>
      <c r="D21" s="12">
        <v>2</v>
      </c>
      <c r="E21" s="122">
        <f t="shared" si="0"/>
        <v>1.9</v>
      </c>
      <c r="F21" s="18">
        <f t="shared" si="1"/>
        <v>518.45000000000005</v>
      </c>
      <c r="G21" s="18">
        <f t="shared" si="2"/>
        <v>162.27000000000001</v>
      </c>
      <c r="H21" s="18">
        <f t="shared" si="3"/>
        <v>1197.4100000000001</v>
      </c>
      <c r="I21" s="18">
        <f t="shared" si="4"/>
        <v>750.56</v>
      </c>
      <c r="J21" s="18"/>
      <c r="K21" s="18"/>
      <c r="L21" s="52">
        <v>14542</v>
      </c>
      <c r="M21" s="18">
        <f t="shared" si="5"/>
        <v>416.67</v>
      </c>
      <c r="N21" s="18"/>
      <c r="O21" s="18"/>
      <c r="P21" s="18">
        <f t="shared" si="6"/>
        <v>17587.359999999997</v>
      </c>
      <c r="Q21" s="18">
        <f t="shared" si="7"/>
        <v>3438.3</v>
      </c>
      <c r="R21" s="18">
        <f t="shared" si="8"/>
        <v>21025.659999999996</v>
      </c>
      <c r="S21" s="18">
        <f t="shared" si="9"/>
        <v>25230.79</v>
      </c>
      <c r="T21" s="18">
        <f t="shared" si="10"/>
        <v>50461.58</v>
      </c>
      <c r="U21" s="130"/>
      <c r="W21" s="122">
        <v>0.9</v>
      </c>
      <c r="X21" s="122">
        <v>1</v>
      </c>
      <c r="Y21" s="122">
        <f t="shared" si="11"/>
        <v>1.9</v>
      </c>
    </row>
    <row r="22" spans="1:25" ht="25.5" x14ac:dyDescent="0.2">
      <c r="A22" s="6">
        <v>21</v>
      </c>
      <c r="B22" s="7" t="s">
        <v>99</v>
      </c>
      <c r="C22" s="8" t="s">
        <v>26</v>
      </c>
      <c r="D22" s="12">
        <v>1</v>
      </c>
      <c r="E22" s="122">
        <f t="shared" si="0"/>
        <v>2.1</v>
      </c>
      <c r="F22" s="18">
        <f t="shared" si="1"/>
        <v>573.03</v>
      </c>
      <c r="G22" s="18">
        <f t="shared" si="2"/>
        <v>179.36</v>
      </c>
      <c r="H22" s="18">
        <f t="shared" si="3"/>
        <v>1323.47</v>
      </c>
      <c r="I22" s="18">
        <f t="shared" si="4"/>
        <v>829.58</v>
      </c>
      <c r="J22" s="18"/>
      <c r="K22" s="18"/>
      <c r="L22" s="52">
        <v>13490</v>
      </c>
      <c r="M22" s="18">
        <f t="shared" si="5"/>
        <v>416.67</v>
      </c>
      <c r="N22" s="18"/>
      <c r="O22" s="18"/>
      <c r="P22" s="18">
        <f t="shared" si="6"/>
        <v>16812.109999999997</v>
      </c>
      <c r="Q22" s="18">
        <f t="shared" si="7"/>
        <v>3283.25</v>
      </c>
      <c r="R22" s="18">
        <f t="shared" si="8"/>
        <v>20095.359999999997</v>
      </c>
      <c r="S22" s="18">
        <f t="shared" si="9"/>
        <v>24114.43</v>
      </c>
      <c r="T22" s="18">
        <f t="shared" si="10"/>
        <v>24114.43</v>
      </c>
      <c r="U22" s="130"/>
      <c r="W22" s="122">
        <v>1.1000000000000001</v>
      </c>
      <c r="X22" s="122">
        <v>1</v>
      </c>
      <c r="Y22" s="122">
        <f t="shared" si="11"/>
        <v>2.1</v>
      </c>
    </row>
    <row r="23" spans="1:25" ht="25.5" x14ac:dyDescent="0.2">
      <c r="A23" s="6">
        <v>22</v>
      </c>
      <c r="B23" s="7" t="s">
        <v>85</v>
      </c>
      <c r="C23" s="8" t="s">
        <v>27</v>
      </c>
      <c r="D23" s="12">
        <v>9</v>
      </c>
      <c r="E23" s="122">
        <f t="shared" si="0"/>
        <v>1.3</v>
      </c>
      <c r="F23" s="18">
        <f t="shared" si="1"/>
        <v>354.73</v>
      </c>
      <c r="G23" s="18">
        <f t="shared" si="2"/>
        <v>111.03</v>
      </c>
      <c r="H23" s="18">
        <f t="shared" si="3"/>
        <v>819.28</v>
      </c>
      <c r="I23" s="18">
        <f t="shared" si="4"/>
        <v>513.54</v>
      </c>
      <c r="J23" s="18"/>
      <c r="K23" s="18"/>
      <c r="L23" s="52">
        <v>9960</v>
      </c>
      <c r="M23" s="18">
        <f t="shared" si="5"/>
        <v>416.67</v>
      </c>
      <c r="N23" s="18"/>
      <c r="O23" s="18"/>
      <c r="P23" s="18">
        <f t="shared" si="6"/>
        <v>12175.25</v>
      </c>
      <c r="Q23" s="18">
        <f t="shared" si="7"/>
        <v>2355.88</v>
      </c>
      <c r="R23" s="18">
        <f t="shared" si="8"/>
        <v>14531.130000000001</v>
      </c>
      <c r="S23" s="18">
        <f t="shared" si="9"/>
        <v>17437.36</v>
      </c>
      <c r="T23" s="18">
        <f t="shared" si="10"/>
        <v>156936.24</v>
      </c>
      <c r="U23" s="130"/>
      <c r="W23" s="122">
        <v>1.3</v>
      </c>
      <c r="X23" s="128"/>
      <c r="Y23" s="122">
        <f t="shared" si="11"/>
        <v>1.3</v>
      </c>
    </row>
    <row r="24" spans="1:25" ht="25.5" x14ac:dyDescent="0.2">
      <c r="A24" s="6">
        <v>23</v>
      </c>
      <c r="B24" s="7" t="s">
        <v>81</v>
      </c>
      <c r="C24" s="8" t="s">
        <v>28</v>
      </c>
      <c r="D24" s="12">
        <v>8</v>
      </c>
      <c r="E24" s="122">
        <f t="shared" si="0"/>
        <v>3.1</v>
      </c>
      <c r="F24" s="18">
        <f t="shared" si="1"/>
        <v>845.9</v>
      </c>
      <c r="G24" s="18">
        <f t="shared" si="2"/>
        <v>264.77</v>
      </c>
      <c r="H24" s="18">
        <f t="shared" si="3"/>
        <v>1953.69</v>
      </c>
      <c r="I24" s="18">
        <f t="shared" si="4"/>
        <v>1224.6099999999999</v>
      </c>
      <c r="J24" s="18"/>
      <c r="K24" s="18"/>
      <c r="L24" s="52">
        <v>12135</v>
      </c>
      <c r="M24" s="18">
        <f t="shared" si="5"/>
        <v>416.67</v>
      </c>
      <c r="N24" s="18"/>
      <c r="O24" s="18"/>
      <c r="P24" s="18">
        <f t="shared" si="6"/>
        <v>16840.64</v>
      </c>
      <c r="Q24" s="18">
        <f t="shared" si="7"/>
        <v>3288.96</v>
      </c>
      <c r="R24" s="18">
        <f t="shared" si="8"/>
        <v>20129.599999999999</v>
      </c>
      <c r="S24" s="18">
        <f t="shared" si="9"/>
        <v>24155.52</v>
      </c>
      <c r="T24" s="18">
        <f t="shared" si="10"/>
        <v>193244.16</v>
      </c>
      <c r="U24" s="130"/>
      <c r="W24" s="122">
        <v>1.6</v>
      </c>
      <c r="X24" s="122">
        <v>1.5</v>
      </c>
      <c r="Y24" s="122">
        <f t="shared" si="11"/>
        <v>3.1</v>
      </c>
    </row>
    <row r="25" spans="1:25" x14ac:dyDescent="0.2">
      <c r="A25" s="6">
        <v>24</v>
      </c>
      <c r="B25" s="13" t="s">
        <v>89</v>
      </c>
      <c r="C25" s="14" t="s">
        <v>29</v>
      </c>
      <c r="D25" s="15">
        <v>2</v>
      </c>
      <c r="E25" s="122">
        <f t="shared" si="0"/>
        <v>3.8</v>
      </c>
      <c r="F25" s="18">
        <f t="shared" si="1"/>
        <v>1036.9100000000001</v>
      </c>
      <c r="G25" s="18">
        <f t="shared" si="2"/>
        <v>324.55</v>
      </c>
      <c r="H25" s="18">
        <f t="shared" si="3"/>
        <v>2394.85</v>
      </c>
      <c r="I25" s="18">
        <f t="shared" si="4"/>
        <v>1501.13</v>
      </c>
      <c r="J25" s="18"/>
      <c r="K25" s="18"/>
      <c r="L25" s="52">
        <v>25636</v>
      </c>
      <c r="M25" s="18">
        <f t="shared" si="5"/>
        <v>416.67</v>
      </c>
      <c r="N25" s="18"/>
      <c r="O25" s="18"/>
      <c r="P25" s="18">
        <f t="shared" si="6"/>
        <v>31310.11</v>
      </c>
      <c r="Q25" s="18">
        <f t="shared" si="7"/>
        <v>6182.85</v>
      </c>
      <c r="R25" s="18">
        <f t="shared" si="8"/>
        <v>37492.959999999999</v>
      </c>
      <c r="S25" s="18">
        <f t="shared" si="9"/>
        <v>44991.55</v>
      </c>
      <c r="T25" s="18">
        <f t="shared" si="10"/>
        <v>89983.1</v>
      </c>
      <c r="U25" s="130"/>
      <c r="W25" s="122">
        <v>2.2999999999999998</v>
      </c>
      <c r="X25" s="122">
        <v>1.5</v>
      </c>
      <c r="Y25" s="122">
        <f t="shared" si="11"/>
        <v>3.8</v>
      </c>
    </row>
    <row r="26" spans="1:25" ht="25.5" x14ac:dyDescent="0.2">
      <c r="A26" s="6">
        <v>25</v>
      </c>
      <c r="B26" s="7" t="s">
        <v>102</v>
      </c>
      <c r="C26" s="8" t="s">
        <v>113</v>
      </c>
      <c r="D26" s="12">
        <v>2</v>
      </c>
      <c r="E26" s="122">
        <f t="shared" si="0"/>
        <v>3.5</v>
      </c>
      <c r="F26" s="18">
        <f t="shared" si="1"/>
        <v>955.05</v>
      </c>
      <c r="G26" s="18">
        <f t="shared" si="2"/>
        <v>298.93</v>
      </c>
      <c r="H26" s="18">
        <f t="shared" si="3"/>
        <v>2205.7800000000002</v>
      </c>
      <c r="I26" s="18">
        <f t="shared" si="4"/>
        <v>1382.63</v>
      </c>
      <c r="J26" s="18"/>
      <c r="K26" s="18"/>
      <c r="L26" s="52">
        <v>35719</v>
      </c>
      <c r="M26" s="18">
        <f t="shared" si="5"/>
        <v>416.67</v>
      </c>
      <c r="N26" s="18"/>
      <c r="O26" s="18"/>
      <c r="P26" s="18">
        <f t="shared" si="6"/>
        <v>40978.06</v>
      </c>
      <c r="Q26" s="18">
        <f t="shared" si="7"/>
        <v>8116.44</v>
      </c>
      <c r="R26" s="18">
        <f t="shared" si="8"/>
        <v>49094.5</v>
      </c>
      <c r="S26" s="18">
        <f t="shared" si="9"/>
        <v>58913.4</v>
      </c>
      <c r="T26" s="18">
        <f t="shared" si="10"/>
        <v>117826.8</v>
      </c>
      <c r="U26" s="130"/>
      <c r="W26" s="122">
        <v>2</v>
      </c>
      <c r="X26" s="122">
        <v>1.5</v>
      </c>
      <c r="Y26" s="122">
        <f t="shared" si="11"/>
        <v>3.5</v>
      </c>
    </row>
    <row r="27" spans="1:25" ht="25.5" x14ac:dyDescent="0.2">
      <c r="A27" s="6">
        <v>26</v>
      </c>
      <c r="B27" s="7" t="s">
        <v>101</v>
      </c>
      <c r="C27" s="8" t="s">
        <v>30</v>
      </c>
      <c r="D27" s="12">
        <v>1</v>
      </c>
      <c r="E27" s="122">
        <f t="shared" si="0"/>
        <v>2.8</v>
      </c>
      <c r="F27" s="18">
        <f t="shared" si="1"/>
        <v>764.04</v>
      </c>
      <c r="G27" s="18">
        <f t="shared" si="2"/>
        <v>239.14</v>
      </c>
      <c r="H27" s="18">
        <f t="shared" si="3"/>
        <v>1764.63</v>
      </c>
      <c r="I27" s="18">
        <f t="shared" si="4"/>
        <v>1106.0999999999999</v>
      </c>
      <c r="J27" s="18"/>
      <c r="K27" s="18"/>
      <c r="L27" s="52">
        <v>18641</v>
      </c>
      <c r="M27" s="18">
        <f t="shared" si="5"/>
        <v>416.67</v>
      </c>
      <c r="N27" s="18"/>
      <c r="O27" s="18"/>
      <c r="P27" s="18">
        <f t="shared" si="6"/>
        <v>22931.579999999998</v>
      </c>
      <c r="Q27" s="18">
        <f t="shared" si="7"/>
        <v>4507.1499999999996</v>
      </c>
      <c r="R27" s="18">
        <f t="shared" si="8"/>
        <v>27438.729999999996</v>
      </c>
      <c r="S27" s="18">
        <f t="shared" si="9"/>
        <v>32926.480000000003</v>
      </c>
      <c r="T27" s="18">
        <f t="shared" si="10"/>
        <v>32926.480000000003</v>
      </c>
      <c r="U27" s="130"/>
      <c r="W27" s="122">
        <v>1.3</v>
      </c>
      <c r="X27" s="122">
        <v>1.5</v>
      </c>
      <c r="Y27" s="122">
        <f t="shared" si="11"/>
        <v>2.8</v>
      </c>
    </row>
    <row r="28" spans="1:25" ht="25.5" x14ac:dyDescent="0.2">
      <c r="A28" s="6">
        <v>27</v>
      </c>
      <c r="B28" s="7" t="s">
        <v>100</v>
      </c>
      <c r="C28" s="8" t="s">
        <v>31</v>
      </c>
      <c r="D28" s="12">
        <v>6</v>
      </c>
      <c r="E28" s="122">
        <f t="shared" si="0"/>
        <v>3.6</v>
      </c>
      <c r="F28" s="18">
        <f t="shared" si="1"/>
        <v>982.33</v>
      </c>
      <c r="G28" s="18">
        <f t="shared" si="2"/>
        <v>307.47000000000003</v>
      </c>
      <c r="H28" s="18">
        <f t="shared" si="3"/>
        <v>2268.79</v>
      </c>
      <c r="I28" s="18">
        <f t="shared" si="4"/>
        <v>1422.12</v>
      </c>
      <c r="J28" s="18"/>
      <c r="K28" s="18"/>
      <c r="L28" s="52">
        <v>40737</v>
      </c>
      <c r="M28" s="18">
        <f t="shared" si="5"/>
        <v>416.67</v>
      </c>
      <c r="N28" s="18"/>
      <c r="O28" s="18"/>
      <c r="P28" s="18">
        <f t="shared" si="6"/>
        <v>46134.38</v>
      </c>
      <c r="Q28" s="18">
        <f t="shared" si="7"/>
        <v>9147.7099999999991</v>
      </c>
      <c r="R28" s="18">
        <f t="shared" si="8"/>
        <v>55282.09</v>
      </c>
      <c r="S28" s="18">
        <f t="shared" si="9"/>
        <v>66338.509999999995</v>
      </c>
      <c r="T28" s="18">
        <f t="shared" si="10"/>
        <v>398031.06</v>
      </c>
      <c r="U28" s="130"/>
      <c r="W28" s="122">
        <v>1.6</v>
      </c>
      <c r="X28" s="122">
        <v>2</v>
      </c>
      <c r="Y28" s="122">
        <f t="shared" si="11"/>
        <v>3.6</v>
      </c>
    </row>
    <row r="29" spans="1:25" ht="25.5" x14ac:dyDescent="0.2">
      <c r="A29" s="6">
        <v>28</v>
      </c>
      <c r="B29" s="7" t="s">
        <v>84</v>
      </c>
      <c r="C29" s="8" t="s">
        <v>32</v>
      </c>
      <c r="D29" s="12">
        <v>2</v>
      </c>
      <c r="E29" s="122">
        <f t="shared" si="0"/>
        <v>1.6</v>
      </c>
      <c r="F29" s="18">
        <f t="shared" si="1"/>
        <v>436.59</v>
      </c>
      <c r="G29" s="18">
        <f t="shared" si="2"/>
        <v>136.65</v>
      </c>
      <c r="H29" s="18">
        <f t="shared" si="3"/>
        <v>1008.35</v>
      </c>
      <c r="I29" s="18">
        <f t="shared" si="4"/>
        <v>632.04999999999995</v>
      </c>
      <c r="J29" s="18"/>
      <c r="K29" s="18"/>
      <c r="L29" s="52">
        <v>12316</v>
      </c>
      <c r="M29" s="18">
        <f t="shared" si="5"/>
        <v>416.67</v>
      </c>
      <c r="N29" s="18"/>
      <c r="O29" s="18"/>
      <c r="P29" s="18">
        <f t="shared" si="6"/>
        <v>14946.31</v>
      </c>
      <c r="Q29" s="18">
        <f t="shared" si="7"/>
        <v>2910.09</v>
      </c>
      <c r="R29" s="18">
        <f t="shared" si="8"/>
        <v>17856.400000000001</v>
      </c>
      <c r="S29" s="18">
        <f t="shared" si="9"/>
        <v>21427.68</v>
      </c>
      <c r="T29" s="18">
        <f t="shared" si="10"/>
        <v>42855.360000000001</v>
      </c>
      <c r="U29" s="130"/>
      <c r="W29" s="122">
        <v>1.6</v>
      </c>
      <c r="X29" s="128"/>
      <c r="Y29" s="122">
        <f t="shared" si="11"/>
        <v>1.6</v>
      </c>
    </row>
    <row r="30" spans="1:25" ht="25.5" x14ac:dyDescent="0.2">
      <c r="A30" s="6">
        <v>29</v>
      </c>
      <c r="B30" s="7" t="s">
        <v>83</v>
      </c>
      <c r="C30" s="8" t="s">
        <v>33</v>
      </c>
      <c r="D30" s="12">
        <v>7</v>
      </c>
      <c r="E30" s="122">
        <f t="shared" si="0"/>
        <v>2.6</v>
      </c>
      <c r="F30" s="18">
        <f t="shared" si="1"/>
        <v>709.46</v>
      </c>
      <c r="G30" s="18">
        <f t="shared" si="2"/>
        <v>222.06</v>
      </c>
      <c r="H30" s="18">
        <f t="shared" si="3"/>
        <v>1638.57</v>
      </c>
      <c r="I30" s="18">
        <f t="shared" si="4"/>
        <v>1027.0899999999999</v>
      </c>
      <c r="J30" s="18"/>
      <c r="K30" s="18"/>
      <c r="L30" s="52">
        <v>28915</v>
      </c>
      <c r="M30" s="18">
        <f t="shared" si="5"/>
        <v>416.67</v>
      </c>
      <c r="N30" s="18"/>
      <c r="O30" s="52"/>
      <c r="P30" s="18">
        <f t="shared" si="6"/>
        <v>32928.85</v>
      </c>
      <c r="Q30" s="18">
        <f t="shared" si="7"/>
        <v>6506.6</v>
      </c>
      <c r="R30" s="18">
        <f t="shared" si="8"/>
        <v>39435.449999999997</v>
      </c>
      <c r="S30" s="18">
        <f t="shared" si="9"/>
        <v>47322.54</v>
      </c>
      <c r="T30" s="18">
        <f t="shared" si="10"/>
        <v>331257.78000000003</v>
      </c>
      <c r="U30" s="130"/>
      <c r="W30" s="122">
        <v>1.6</v>
      </c>
      <c r="X30" s="122">
        <v>1</v>
      </c>
      <c r="Y30" s="122">
        <f t="shared" si="11"/>
        <v>2.6</v>
      </c>
    </row>
    <row r="31" spans="1:25" s="124" customFormat="1" x14ac:dyDescent="0.2">
      <c r="A31" s="117"/>
      <c r="B31" s="118"/>
      <c r="C31" s="119"/>
      <c r="D31" s="120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31"/>
      <c r="W31" s="125"/>
      <c r="X31" s="125"/>
      <c r="Y31" s="125"/>
    </row>
    <row r="32" spans="1:25" ht="25.5" x14ac:dyDescent="0.2">
      <c r="A32" s="6">
        <v>31</v>
      </c>
      <c r="B32" s="7" t="s">
        <v>82</v>
      </c>
      <c r="C32" s="8" t="s">
        <v>34</v>
      </c>
      <c r="D32" s="12">
        <v>1</v>
      </c>
      <c r="E32" s="122">
        <f>ROUND(Y32*$Z$1,2)</f>
        <v>4.3</v>
      </c>
      <c r="F32" s="18">
        <f t="shared" si="1"/>
        <v>1173.3399999999999</v>
      </c>
      <c r="G32" s="18">
        <f t="shared" si="2"/>
        <v>367.26</v>
      </c>
      <c r="H32" s="18">
        <f t="shared" si="3"/>
        <v>2709.95</v>
      </c>
      <c r="I32" s="18">
        <f t="shared" si="4"/>
        <v>1698.64</v>
      </c>
      <c r="J32" s="18"/>
      <c r="K32" s="18"/>
      <c r="L32" s="52">
        <v>46302</v>
      </c>
      <c r="M32" s="18">
        <f t="shared" si="5"/>
        <v>416.67</v>
      </c>
      <c r="N32" s="18"/>
      <c r="O32" s="18"/>
      <c r="P32" s="18">
        <f t="shared" si="6"/>
        <v>52667.86</v>
      </c>
      <c r="Q32" s="18">
        <f t="shared" si="7"/>
        <v>10454.4</v>
      </c>
      <c r="R32" s="18">
        <f t="shared" si="8"/>
        <v>63122.26</v>
      </c>
      <c r="S32" s="18">
        <f t="shared" si="9"/>
        <v>75746.710000000006</v>
      </c>
      <c r="T32" s="18">
        <f t="shared" si="10"/>
        <v>75746.710000000006</v>
      </c>
      <c r="U32" s="130"/>
      <c r="W32" s="122">
        <v>2.2999999999999998</v>
      </c>
      <c r="X32" s="122">
        <v>2</v>
      </c>
      <c r="Y32" s="122">
        <f t="shared" si="11"/>
        <v>4.3</v>
      </c>
    </row>
    <row r="33" spans="1:26" ht="25.5" x14ac:dyDescent="0.2">
      <c r="A33" s="24">
        <v>32</v>
      </c>
      <c r="B33" s="25" t="s">
        <v>274</v>
      </c>
      <c r="C33" s="26" t="s">
        <v>275</v>
      </c>
      <c r="D33" s="27">
        <v>56</v>
      </c>
      <c r="E33" s="122">
        <f>ROUND(Y33*$Z$1,2)</f>
        <v>1.7</v>
      </c>
      <c r="F33" s="18">
        <f t="shared" si="1"/>
        <v>463.88</v>
      </c>
      <c r="G33" s="18">
        <f t="shared" si="2"/>
        <v>145.19</v>
      </c>
      <c r="H33" s="18">
        <f t="shared" si="3"/>
        <v>1071.3800000000001</v>
      </c>
      <c r="I33" s="18">
        <f t="shared" si="4"/>
        <v>671.56</v>
      </c>
      <c r="J33" s="68">
        <f>мат!D10/56+мат!D19/56*0.87</f>
        <v>375.83167142857144</v>
      </c>
      <c r="K33" s="93"/>
      <c r="L33" s="18"/>
      <c r="M33" s="18">
        <f t="shared" si="5"/>
        <v>416.67</v>
      </c>
      <c r="N33" s="18"/>
      <c r="O33" s="18"/>
      <c r="P33" s="18">
        <f t="shared" si="6"/>
        <v>3144.5116714285718</v>
      </c>
      <c r="Q33" s="18">
        <f t="shared" si="7"/>
        <v>549.74</v>
      </c>
      <c r="R33" s="18">
        <f t="shared" si="8"/>
        <v>3694.2516714285721</v>
      </c>
      <c r="S33" s="18">
        <f t="shared" si="9"/>
        <v>4433.1000000000004</v>
      </c>
      <c r="T33" s="18">
        <f t="shared" si="10"/>
        <v>248253.6</v>
      </c>
      <c r="U33" s="130"/>
      <c r="W33" s="122">
        <v>1.7</v>
      </c>
      <c r="X33" s="128"/>
      <c r="Y33" s="122">
        <f t="shared" si="11"/>
        <v>1.7</v>
      </c>
    </row>
    <row r="34" spans="1:26" ht="25.5" x14ac:dyDescent="0.2">
      <c r="A34" s="24">
        <v>33</v>
      </c>
      <c r="B34" s="25" t="s">
        <v>276</v>
      </c>
      <c r="C34" s="26" t="s">
        <v>277</v>
      </c>
      <c r="D34" s="27">
        <v>16</v>
      </c>
      <c r="E34" s="122">
        <f>ROUND(Y34*$Z$1,2)</f>
        <v>1.8</v>
      </c>
      <c r="F34" s="18">
        <f t="shared" si="1"/>
        <v>491.17</v>
      </c>
      <c r="G34" s="18">
        <f t="shared" si="2"/>
        <v>153.74</v>
      </c>
      <c r="H34" s="18">
        <f t="shared" si="3"/>
        <v>1134.4100000000001</v>
      </c>
      <c r="I34" s="18">
        <f t="shared" si="4"/>
        <v>711.07</v>
      </c>
      <c r="J34" s="73">
        <f>мат!D11/16+мат!D20/16*0.625</f>
        <v>733.09312499999999</v>
      </c>
      <c r="K34" s="104"/>
      <c r="L34" s="18"/>
      <c r="M34" s="18">
        <f t="shared" si="5"/>
        <v>416.67</v>
      </c>
      <c r="N34" s="18"/>
      <c r="O34" s="18"/>
      <c r="P34" s="18">
        <f t="shared" si="6"/>
        <v>3640.1531250000003</v>
      </c>
      <c r="Q34" s="18">
        <f t="shared" si="7"/>
        <v>648.86</v>
      </c>
      <c r="R34" s="18">
        <f t="shared" si="8"/>
        <v>4289.0131250000004</v>
      </c>
      <c r="S34" s="18">
        <f t="shared" si="9"/>
        <v>5146.82</v>
      </c>
      <c r="T34" s="18">
        <f t="shared" si="10"/>
        <v>82349.119999999995</v>
      </c>
      <c r="U34" s="130"/>
      <c r="W34" s="122">
        <v>1.8</v>
      </c>
      <c r="X34" s="128"/>
      <c r="Y34" s="122">
        <f t="shared" si="11"/>
        <v>1.8</v>
      </c>
    </row>
    <row r="35" spans="1:26" ht="25.5" x14ac:dyDescent="0.2">
      <c r="A35" s="24">
        <v>34</v>
      </c>
      <c r="B35" s="25" t="s">
        <v>278</v>
      </c>
      <c r="C35" s="26" t="s">
        <v>279</v>
      </c>
      <c r="D35" s="27">
        <v>12</v>
      </c>
      <c r="E35" s="122">
        <f>ROUND(Y35*$Z$1,2)</f>
        <v>1.07</v>
      </c>
      <c r="F35" s="18">
        <f t="shared" si="1"/>
        <v>291.97000000000003</v>
      </c>
      <c r="G35" s="18">
        <f t="shared" si="2"/>
        <v>91.39</v>
      </c>
      <c r="H35" s="18">
        <f t="shared" si="3"/>
        <v>674.33</v>
      </c>
      <c r="I35" s="18">
        <f t="shared" si="4"/>
        <v>422.68</v>
      </c>
      <c r="J35" s="78">
        <f>мат!D12/12</f>
        <v>494.33500000000004</v>
      </c>
      <c r="K35" s="18"/>
      <c r="L35" s="18"/>
      <c r="M35" s="18">
        <f t="shared" si="5"/>
        <v>416.67</v>
      </c>
      <c r="N35" s="18"/>
      <c r="O35" s="18"/>
      <c r="P35" s="18">
        <f t="shared" si="6"/>
        <v>2391.375</v>
      </c>
      <c r="Q35" s="18">
        <f t="shared" si="7"/>
        <v>399.11</v>
      </c>
      <c r="R35" s="18">
        <f t="shared" si="8"/>
        <v>2790.4850000000001</v>
      </c>
      <c r="S35" s="18">
        <f t="shared" si="9"/>
        <v>3348.58</v>
      </c>
      <c r="T35" s="18">
        <f t="shared" si="10"/>
        <v>40182.959999999999</v>
      </c>
      <c r="U35" s="130"/>
      <c r="W35" s="122">
        <v>1.07</v>
      </c>
      <c r="X35" s="128"/>
      <c r="Y35" s="122">
        <f t="shared" si="11"/>
        <v>1.07</v>
      </c>
    </row>
    <row r="36" spans="1:26" s="124" customFormat="1" x14ac:dyDescent="0.2">
      <c r="A36" s="117"/>
      <c r="B36" s="118"/>
      <c r="C36" s="119"/>
      <c r="D36" s="120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31"/>
      <c r="W36" s="125"/>
      <c r="X36" s="125"/>
      <c r="Y36" s="125"/>
      <c r="Z36" s="125"/>
    </row>
    <row r="37" spans="1:26" x14ac:dyDescent="0.2">
      <c r="A37" s="24">
        <v>36</v>
      </c>
      <c r="B37" s="25" t="s">
        <v>286</v>
      </c>
      <c r="C37" s="26" t="s">
        <v>287</v>
      </c>
      <c r="D37" s="27">
        <v>8</v>
      </c>
      <c r="E37" s="122">
        <f>ROUND(Y37*$Z$1,2)</f>
        <v>1.2</v>
      </c>
      <c r="F37" s="18">
        <f t="shared" si="1"/>
        <v>327.44</v>
      </c>
      <c r="G37" s="18">
        <f t="shared" si="2"/>
        <v>102.49</v>
      </c>
      <c r="H37" s="18">
        <f t="shared" si="3"/>
        <v>756.26</v>
      </c>
      <c r="I37" s="18">
        <f t="shared" si="4"/>
        <v>474.03</v>
      </c>
      <c r="J37" s="116">
        <f>мат!D24/8</f>
        <v>1396.2049999999999</v>
      </c>
      <c r="K37" s="18"/>
      <c r="L37" s="18"/>
      <c r="M37" s="18">
        <f t="shared" si="5"/>
        <v>416.67</v>
      </c>
      <c r="N37" s="18"/>
      <c r="O37" s="18"/>
      <c r="P37" s="18">
        <f t="shared" si="6"/>
        <v>3473.0950000000003</v>
      </c>
      <c r="Q37" s="18">
        <f t="shared" si="7"/>
        <v>615.45000000000005</v>
      </c>
      <c r="R37" s="18">
        <f t="shared" si="8"/>
        <v>4088.5450000000001</v>
      </c>
      <c r="S37" s="18">
        <f t="shared" si="9"/>
        <v>4906.25</v>
      </c>
      <c r="T37" s="18">
        <f t="shared" si="10"/>
        <v>39250</v>
      </c>
      <c r="U37" s="130"/>
      <c r="W37" s="122">
        <v>1.2</v>
      </c>
      <c r="X37" s="128"/>
      <c r="Y37" s="122">
        <f t="shared" si="11"/>
        <v>1.2</v>
      </c>
    </row>
    <row r="38" spans="1:26" ht="25.5" x14ac:dyDescent="0.2">
      <c r="A38" s="24">
        <v>37</v>
      </c>
      <c r="B38" s="25" t="s">
        <v>288</v>
      </c>
      <c r="C38" s="26" t="s">
        <v>289</v>
      </c>
      <c r="D38" s="27">
        <v>8</v>
      </c>
      <c r="E38" s="122">
        <f>ROUND(Y38*$Z$1,2)</f>
        <v>1.3</v>
      </c>
      <c r="F38" s="18">
        <f t="shared" si="1"/>
        <v>354.73</v>
      </c>
      <c r="G38" s="18">
        <f t="shared" si="2"/>
        <v>111.03</v>
      </c>
      <c r="H38" s="18">
        <f t="shared" si="3"/>
        <v>819.28</v>
      </c>
      <c r="I38" s="18">
        <f t="shared" si="4"/>
        <v>513.54</v>
      </c>
      <c r="J38" s="88">
        <f>ROUND(мат!D31/8,2)</f>
        <v>400.41</v>
      </c>
      <c r="K38" s="18"/>
      <c r="L38" s="18"/>
      <c r="M38" s="18">
        <f t="shared" si="5"/>
        <v>416.67</v>
      </c>
      <c r="N38" s="18"/>
      <c r="O38" s="18"/>
      <c r="P38" s="18">
        <f t="shared" si="6"/>
        <v>2615.66</v>
      </c>
      <c r="Q38" s="18">
        <f t="shared" si="7"/>
        <v>443.96</v>
      </c>
      <c r="R38" s="18">
        <f t="shared" si="8"/>
        <v>3059.62</v>
      </c>
      <c r="S38" s="18">
        <f t="shared" si="9"/>
        <v>3671.54</v>
      </c>
      <c r="T38" s="18">
        <f t="shared" si="10"/>
        <v>29372.32</v>
      </c>
      <c r="U38" s="130"/>
      <c r="W38" s="122">
        <v>1.3</v>
      </c>
      <c r="X38" s="128"/>
      <c r="Y38" s="122">
        <f t="shared" si="11"/>
        <v>1.3</v>
      </c>
    </row>
    <row r="39" spans="1:26" x14ac:dyDescent="0.2">
      <c r="A39" s="24">
        <v>38</v>
      </c>
      <c r="B39" s="25" t="s">
        <v>290</v>
      </c>
      <c r="C39" s="26" t="s">
        <v>291</v>
      </c>
      <c r="D39" s="27">
        <v>4</v>
      </c>
      <c r="E39" s="122">
        <f>ROUND(Y39*$Z$1,2)</f>
        <v>1</v>
      </c>
      <c r="F39" s="18">
        <f t="shared" si="1"/>
        <v>272.87</v>
      </c>
      <c r="G39" s="18">
        <f t="shared" si="2"/>
        <v>85.41</v>
      </c>
      <c r="H39" s="18">
        <f t="shared" si="3"/>
        <v>630.22</v>
      </c>
      <c r="I39" s="18">
        <f t="shared" si="4"/>
        <v>395.03</v>
      </c>
      <c r="J39" s="93">
        <f>мат!D19/4*0.13</f>
        <v>102.48160000000001</v>
      </c>
      <c r="K39" s="93"/>
      <c r="L39" s="18"/>
      <c r="M39" s="18">
        <f t="shared" si="5"/>
        <v>416.67</v>
      </c>
      <c r="N39" s="18"/>
      <c r="O39" s="18"/>
      <c r="P39" s="18">
        <f t="shared" si="6"/>
        <v>1902.6816000000001</v>
      </c>
      <c r="Q39" s="18">
        <f t="shared" si="7"/>
        <v>301.37</v>
      </c>
      <c r="R39" s="18">
        <f t="shared" si="8"/>
        <v>2204.0516000000002</v>
      </c>
      <c r="S39" s="18">
        <f t="shared" si="9"/>
        <v>2644.86</v>
      </c>
      <c r="T39" s="18">
        <f t="shared" si="10"/>
        <v>10579.44</v>
      </c>
      <c r="U39" s="130"/>
      <c r="W39" s="122">
        <v>1</v>
      </c>
      <c r="X39" s="128"/>
      <c r="Y39" s="122">
        <f t="shared" si="11"/>
        <v>1</v>
      </c>
    </row>
    <row r="40" spans="1:26" ht="25.5" x14ac:dyDescent="0.2">
      <c r="A40" s="24">
        <v>39</v>
      </c>
      <c r="B40" s="25" t="s">
        <v>292</v>
      </c>
      <c r="C40" s="26" t="s">
        <v>293</v>
      </c>
      <c r="D40" s="27">
        <v>16</v>
      </c>
      <c r="E40" s="122">
        <f>ROUND(Y40*$Z$1,2)</f>
        <v>0.9</v>
      </c>
      <c r="F40" s="18">
        <f t="shared" si="1"/>
        <v>245.58</v>
      </c>
      <c r="G40" s="18">
        <f t="shared" si="2"/>
        <v>76.87</v>
      </c>
      <c r="H40" s="18">
        <f t="shared" si="3"/>
        <v>567.19000000000005</v>
      </c>
      <c r="I40" s="18">
        <f t="shared" si="4"/>
        <v>355.53</v>
      </c>
      <c r="J40" s="99">
        <f>0.39*мат!D28/16</f>
        <v>112.6593</v>
      </c>
      <c r="K40" s="18"/>
      <c r="L40" s="18"/>
      <c r="M40" s="18">
        <f t="shared" si="5"/>
        <v>416.67</v>
      </c>
      <c r="N40" s="18"/>
      <c r="O40" s="18"/>
      <c r="P40" s="18">
        <f t="shared" si="6"/>
        <v>1774.4993000000002</v>
      </c>
      <c r="Q40" s="18">
        <f t="shared" si="7"/>
        <v>275.73</v>
      </c>
      <c r="R40" s="18">
        <f t="shared" si="8"/>
        <v>2050.2293</v>
      </c>
      <c r="S40" s="18">
        <f t="shared" si="9"/>
        <v>2460.2800000000002</v>
      </c>
      <c r="T40" s="18">
        <f t="shared" si="10"/>
        <v>39364.480000000003</v>
      </c>
      <c r="U40" s="130"/>
      <c r="W40" s="122">
        <v>0.9</v>
      </c>
      <c r="X40" s="128"/>
      <c r="Y40" s="122">
        <f t="shared" si="11"/>
        <v>0.9</v>
      </c>
    </row>
    <row r="41" spans="1:26" s="124" customFormat="1" x14ac:dyDescent="0.2">
      <c r="A41" s="117"/>
      <c r="B41" s="118"/>
      <c r="C41" s="119"/>
      <c r="D41" s="120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31"/>
      <c r="W41" s="125"/>
      <c r="X41" s="125"/>
      <c r="Y41" s="125"/>
    </row>
    <row r="42" spans="1:26" x14ac:dyDescent="0.2">
      <c r="A42" s="24">
        <v>41</v>
      </c>
      <c r="B42" s="25" t="s">
        <v>284</v>
      </c>
      <c r="C42" s="26" t="s">
        <v>285</v>
      </c>
      <c r="D42" s="27">
        <v>20</v>
      </c>
      <c r="E42" s="122">
        <f>ROUND(Y42*$Z$1,2)</f>
        <v>1</v>
      </c>
      <c r="F42" s="18">
        <f t="shared" si="1"/>
        <v>272.87</v>
      </c>
      <c r="G42" s="18">
        <f t="shared" si="2"/>
        <v>85.41</v>
      </c>
      <c r="H42" s="18">
        <f t="shared" si="3"/>
        <v>630.22</v>
      </c>
      <c r="I42" s="18">
        <f t="shared" si="4"/>
        <v>395.03</v>
      </c>
      <c r="J42" s="109">
        <f>мат!D21/20</f>
        <v>635.51400000000001</v>
      </c>
      <c r="K42" s="18"/>
      <c r="L42" s="18"/>
      <c r="M42" s="18">
        <f t="shared" si="5"/>
        <v>416.67</v>
      </c>
      <c r="N42" s="18"/>
      <c r="O42" s="18"/>
      <c r="P42" s="18">
        <f t="shared" si="6"/>
        <v>2435.7139999999999</v>
      </c>
      <c r="Q42" s="18">
        <f t="shared" si="7"/>
        <v>407.98</v>
      </c>
      <c r="R42" s="18">
        <f t="shared" si="8"/>
        <v>2843.694</v>
      </c>
      <c r="S42" s="18">
        <f t="shared" si="9"/>
        <v>3412.43</v>
      </c>
      <c r="T42" s="18">
        <f t="shared" si="10"/>
        <v>68248.600000000006</v>
      </c>
      <c r="U42" s="130"/>
      <c r="W42" s="122">
        <v>1</v>
      </c>
      <c r="X42" s="128"/>
      <c r="Y42" s="122">
        <f t="shared" si="11"/>
        <v>1</v>
      </c>
    </row>
    <row r="43" spans="1:26" x14ac:dyDescent="0.2">
      <c r="A43" s="24">
        <v>42</v>
      </c>
      <c r="B43" s="25" t="s">
        <v>283</v>
      </c>
      <c r="C43" s="26" t="s">
        <v>282</v>
      </c>
      <c r="D43" s="27">
        <v>20</v>
      </c>
      <c r="E43" s="122">
        <f>ROUND(Y43*$Z$1,2)</f>
        <v>1.1000000000000001</v>
      </c>
      <c r="F43" s="18">
        <f t="shared" si="1"/>
        <v>300.16000000000003</v>
      </c>
      <c r="G43" s="18">
        <f t="shared" si="2"/>
        <v>93.95</v>
      </c>
      <c r="H43" s="18">
        <f t="shared" si="3"/>
        <v>693.25</v>
      </c>
      <c r="I43" s="18">
        <f t="shared" si="4"/>
        <v>434.54</v>
      </c>
      <c r="J43" s="83">
        <f>мат!D23/20</f>
        <v>416.49300000000005</v>
      </c>
      <c r="K43" s="18"/>
      <c r="L43" s="18"/>
      <c r="M43" s="18">
        <f t="shared" si="5"/>
        <v>416.67</v>
      </c>
      <c r="N43" s="18"/>
      <c r="O43" s="18"/>
      <c r="P43" s="18">
        <f t="shared" si="6"/>
        <v>2355.0630000000001</v>
      </c>
      <c r="Q43" s="18">
        <f t="shared" si="7"/>
        <v>391.85</v>
      </c>
      <c r="R43" s="18">
        <f t="shared" si="8"/>
        <v>2746.913</v>
      </c>
      <c r="S43" s="18">
        <f t="shared" si="9"/>
        <v>3296.3</v>
      </c>
      <c r="T43" s="18">
        <f t="shared" si="10"/>
        <v>65926</v>
      </c>
      <c r="U43" s="130"/>
      <c r="W43" s="122">
        <v>1.1000000000000001</v>
      </c>
      <c r="X43" s="128"/>
      <c r="Y43" s="122">
        <f t="shared" si="11"/>
        <v>1.1000000000000001</v>
      </c>
    </row>
    <row r="44" spans="1:26" ht="26.25" thickBot="1" x14ac:dyDescent="0.25">
      <c r="A44" s="24">
        <v>43</v>
      </c>
      <c r="B44" s="25" t="s">
        <v>280</v>
      </c>
      <c r="C44" s="26" t="s">
        <v>281</v>
      </c>
      <c r="D44" s="27">
        <v>24</v>
      </c>
      <c r="E44" s="122">
        <f>ROUND(Y44*$Z$1,2)</f>
        <v>1.5</v>
      </c>
      <c r="F44" s="18">
        <f t="shared" si="1"/>
        <v>409.31</v>
      </c>
      <c r="G44" s="18">
        <f t="shared" si="2"/>
        <v>128.11000000000001</v>
      </c>
      <c r="H44" s="18">
        <f t="shared" si="3"/>
        <v>945.34</v>
      </c>
      <c r="I44" s="18">
        <f t="shared" si="4"/>
        <v>592.55999999999995</v>
      </c>
      <c r="J44" s="99">
        <f>0.61*мат!D28/24</f>
        <v>117.4738</v>
      </c>
      <c r="K44" s="18"/>
      <c r="L44" s="18"/>
      <c r="M44" s="18">
        <f t="shared" si="5"/>
        <v>416.67</v>
      </c>
      <c r="N44" s="18"/>
      <c r="O44" s="18"/>
      <c r="P44" s="18">
        <f t="shared" si="6"/>
        <v>2609.4638000000004</v>
      </c>
      <c r="Q44" s="18">
        <f t="shared" si="7"/>
        <v>442.73</v>
      </c>
      <c r="R44" s="18">
        <f t="shared" si="8"/>
        <v>3052.1938000000005</v>
      </c>
      <c r="S44" s="18">
        <f t="shared" si="9"/>
        <v>3662.63</v>
      </c>
      <c r="T44" s="18">
        <f t="shared" si="10"/>
        <v>87903.12</v>
      </c>
      <c r="U44" s="130"/>
      <c r="W44" s="122">
        <v>1.5</v>
      </c>
      <c r="X44" s="128"/>
      <c r="Y44" s="122">
        <f t="shared" si="11"/>
        <v>1.5</v>
      </c>
    </row>
    <row r="45" spans="1:26" ht="13.5" thickBot="1" x14ac:dyDescent="0.25">
      <c r="D45" s="4">
        <f>SUM(D2:D44)</f>
        <v>307</v>
      </c>
      <c r="E45" s="17">
        <f>SUMPRODUCT(D2:D44,E2:E44)</f>
        <v>602.19000000000005</v>
      </c>
      <c r="T45" s="54">
        <f>SUM(T2:T44)</f>
        <v>5786063.2600000007</v>
      </c>
      <c r="U45" s="132"/>
      <c r="Y45" s="11">
        <f>SUMPRODUCT(Y2:Y44,D2:D44)</f>
        <v>602.19000000000005</v>
      </c>
    </row>
    <row r="47" spans="1:26" x14ac:dyDescent="0.2">
      <c r="T47" s="11"/>
      <c r="U47" s="11"/>
    </row>
    <row r="48" spans="1:26" x14ac:dyDescent="0.2">
      <c r="T48" s="17">
        <v>7989000</v>
      </c>
    </row>
    <row r="49" spans="5:20" x14ac:dyDescent="0.2">
      <c r="E49" s="17"/>
    </row>
    <row r="50" spans="5:20" x14ac:dyDescent="0.2">
      <c r="T50" s="11">
        <f>T48-T45</f>
        <v>2202936.7399999993</v>
      </c>
    </row>
  </sheetData>
  <autoFilter ref="A1:G45" xr:uid="{00000000-0009-0000-0000-000002000000}"/>
  <conditionalFormatting sqref="C1:C1048576">
    <cfRule type="duplicateValues" dxfId="1" priority="1"/>
  </conditionalFormatting>
  <pageMargins left="0.70866141732283472" right="0.70866141732283472" top="0.74803149606299213" bottom="0.74803149606299213" header="0.31496062992125984" footer="0.31496062992125984"/>
  <pageSetup paperSize="9" scale="63" fitToHeight="2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D48"/>
  <sheetViews>
    <sheetView topLeftCell="A16" workbookViewId="0">
      <selection activeCell="E9" sqref="E9"/>
    </sheetView>
  </sheetViews>
  <sheetFormatPr defaultRowHeight="12.75" outlineLevelCol="1" x14ac:dyDescent="0.2"/>
  <cols>
    <col min="1" max="1" width="4.85546875" style="4" customWidth="1"/>
    <col min="2" max="2" width="32.140625" style="4" customWidth="1"/>
    <col min="3" max="3" width="23.5703125" style="4" customWidth="1"/>
    <col min="4" max="4" width="7.42578125" style="4" customWidth="1"/>
    <col min="5" max="5" width="11.140625" style="4" customWidth="1"/>
    <col min="6" max="6" width="11.42578125" style="4" hidden="1" customWidth="1" outlineLevel="1"/>
    <col min="7" max="7" width="11.7109375" style="4" hidden="1" customWidth="1" outlineLevel="1"/>
    <col min="8" max="8" width="20" style="4" hidden="1" customWidth="1" outlineLevel="1"/>
    <col min="9" max="9" width="5.5703125" style="4" customWidth="1" collapsed="1"/>
    <col min="10" max="10" width="20" style="4" customWidth="1"/>
    <col min="11" max="11" width="9.140625" style="4"/>
    <col min="12" max="12" width="13.140625" style="4" bestFit="1" customWidth="1"/>
    <col min="13" max="13" width="12.7109375" style="4" hidden="1" customWidth="1" outlineLevel="1"/>
    <col min="14" max="14" width="13.5703125" style="4" hidden="1" customWidth="1" outlineLevel="1"/>
    <col min="15" max="16" width="12.28515625" style="4" hidden="1" customWidth="1" outlineLevel="1"/>
    <col min="17" max="17" width="11.140625" style="53" hidden="1" customWidth="1" outlineLevel="1"/>
    <col min="18" max="18" width="9.140625" style="4" hidden="1" customWidth="1" outlineLevel="1"/>
    <col min="19" max="19" width="11.140625" style="4" hidden="1" customWidth="1" outlineLevel="1"/>
    <col min="20" max="20" width="9.140625" style="4" hidden="1" customWidth="1" outlineLevel="1"/>
    <col min="21" max="21" width="11" style="4" hidden="1" customWidth="1" outlineLevel="1"/>
    <col min="22" max="22" width="9.140625" style="4" hidden="1" customWidth="1" outlineLevel="1"/>
    <col min="23" max="23" width="10.28515625" style="4" customWidth="1" collapsed="1"/>
    <col min="24" max="24" width="10" style="4" customWidth="1"/>
    <col min="25" max="25" width="10.5703125" style="4" customWidth="1"/>
    <col min="26" max="26" width="12.7109375" style="4" bestFit="1" customWidth="1"/>
    <col min="27" max="16384" width="9.140625" style="4"/>
  </cols>
  <sheetData>
    <row r="1" spans="1:30" ht="38.2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3"/>
      <c r="J1" s="33" t="s">
        <v>110</v>
      </c>
      <c r="K1" s="4">
        <v>3.9409999999999998</v>
      </c>
      <c r="L1" s="5" t="s">
        <v>47</v>
      </c>
      <c r="M1" s="5" t="s">
        <v>48</v>
      </c>
      <c r="N1" s="5" t="s">
        <v>49</v>
      </c>
      <c r="O1" s="5" t="s">
        <v>50</v>
      </c>
      <c r="P1" s="5" t="s">
        <v>51</v>
      </c>
      <c r="Q1" s="5" t="s">
        <v>52</v>
      </c>
      <c r="R1" s="5" t="s">
        <v>60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59</v>
      </c>
      <c r="AB1" s="5" t="s">
        <v>267</v>
      </c>
    </row>
    <row r="2" spans="1:30" ht="25.5" x14ac:dyDescent="0.2">
      <c r="A2" s="6">
        <v>1</v>
      </c>
      <c r="B2" s="7" t="s">
        <v>87</v>
      </c>
      <c r="C2" s="8" t="s">
        <v>8</v>
      </c>
      <c r="D2" s="9">
        <v>5</v>
      </c>
      <c r="E2" s="10">
        <v>26446.28</v>
      </c>
      <c r="F2" s="10">
        <f>ROUND(E2*1.2,2)</f>
        <v>31735.54</v>
      </c>
      <c r="G2" s="10">
        <f>ROUND(E2*D2,2)</f>
        <v>132231.4</v>
      </c>
      <c r="H2" s="10">
        <f t="shared" ref="H2" si="0">E2*D2*1.2</f>
        <v>158677.68</v>
      </c>
      <c r="I2" s="34"/>
      <c r="J2" s="34">
        <v>31500</v>
      </c>
      <c r="L2" s="122">
        <f>ROUND($K$1*AB2,2)</f>
        <v>4.1399999999999997</v>
      </c>
      <c r="M2" s="18">
        <f>ROUND(L2*272.87,2)</f>
        <v>1129.68</v>
      </c>
      <c r="N2" s="18">
        <f>ROUND(M2*31.3%,2)</f>
        <v>353.59</v>
      </c>
      <c r="O2" s="18">
        <f>ROUND(M2*230.96%,2)</f>
        <v>2609.11</v>
      </c>
      <c r="P2" s="18">
        <f>ROUND(M2*144.77%,2)</f>
        <v>1635.44</v>
      </c>
      <c r="Q2" s="18"/>
      <c r="R2" s="18"/>
      <c r="S2" s="52">
        <v>5015</v>
      </c>
      <c r="T2" s="18"/>
      <c r="U2" s="18"/>
      <c r="V2" s="18"/>
      <c r="W2" s="18">
        <f>SUM(M2:V2)</f>
        <v>10742.82</v>
      </c>
      <c r="X2" s="18">
        <f>ROUND((T2+U2)*1%+(W2-T2-U2)*20%,2)</f>
        <v>2148.56</v>
      </c>
      <c r="Y2" s="18">
        <f>W2+X2</f>
        <v>12891.38</v>
      </c>
      <c r="Z2" s="18">
        <f>ROUND(Y2*1.2*D2,2)</f>
        <v>77348.28</v>
      </c>
      <c r="AB2" s="122">
        <v>1.05</v>
      </c>
      <c r="AD2" s="127">
        <f>Y2/E2</f>
        <v>0.48745532452957469</v>
      </c>
    </row>
    <row r="3" spans="1:30" x14ac:dyDescent="0.2">
      <c r="A3" s="6">
        <v>2</v>
      </c>
      <c r="B3" s="7" t="s">
        <v>89</v>
      </c>
      <c r="C3" s="8" t="s">
        <v>9</v>
      </c>
      <c r="D3" s="9">
        <v>6</v>
      </c>
      <c r="E3" s="10">
        <v>26859.5</v>
      </c>
      <c r="F3" s="10">
        <f t="shared" ref="F3:F44" si="1">ROUND(E3*1.2,2)</f>
        <v>32231.4</v>
      </c>
      <c r="G3" s="10">
        <f t="shared" ref="G3:G44" si="2">ROUND(E3*D3,2)</f>
        <v>161157</v>
      </c>
      <c r="H3" s="10">
        <f t="shared" ref="H3:H44" si="3">E3*D3*1.2</f>
        <v>193388.4</v>
      </c>
      <c r="I3" s="34"/>
      <c r="J3" s="34">
        <v>33075</v>
      </c>
      <c r="L3" s="122">
        <f t="shared" ref="L3:L44" si="4">ROUND($K$1*AB3,2)</f>
        <v>3.55</v>
      </c>
      <c r="M3" s="18">
        <f t="shared" ref="M3:M44" si="5">ROUND(L3*272.87,2)</f>
        <v>968.69</v>
      </c>
      <c r="N3" s="18">
        <f t="shared" ref="N3:N44" si="6">ROUND(M3*31.3%,2)</f>
        <v>303.2</v>
      </c>
      <c r="O3" s="18">
        <f t="shared" ref="O3:O9" si="7">ROUND(M3*230.96%,2)</f>
        <v>2237.29</v>
      </c>
      <c r="P3" s="18">
        <f t="shared" ref="P3:P9" si="8">ROUND(M3*144.77%,2)</f>
        <v>1402.37</v>
      </c>
      <c r="Q3" s="18"/>
      <c r="R3" s="18"/>
      <c r="S3" s="52">
        <v>8303</v>
      </c>
      <c r="T3" s="18"/>
      <c r="U3" s="18"/>
      <c r="V3" s="18"/>
      <c r="W3" s="18">
        <f t="shared" ref="W3:W9" si="9">SUM(M3:V3)</f>
        <v>13214.55</v>
      </c>
      <c r="X3" s="18">
        <f t="shared" ref="X3:X9" si="10">ROUND((T3+U3)*1%+(W3-T3-U3)*20%,2)</f>
        <v>2642.91</v>
      </c>
      <c r="Y3" s="18">
        <f t="shared" ref="Y3:Y9" si="11">W3+X3</f>
        <v>15857.46</v>
      </c>
      <c r="Z3" s="18">
        <f t="shared" ref="Z3:Z44" si="12">ROUND(Y3*1.2*D3,2)</f>
        <v>114173.71</v>
      </c>
      <c r="AB3" s="122">
        <v>0.9</v>
      </c>
      <c r="AD3" s="127">
        <f t="shared" ref="AD3:AD44" si="13">Y3/E3</f>
        <v>0.59038552467469607</v>
      </c>
    </row>
    <row r="4" spans="1:30" ht="25.5" x14ac:dyDescent="0.2">
      <c r="A4" s="6">
        <v>3</v>
      </c>
      <c r="B4" s="7" t="s">
        <v>88</v>
      </c>
      <c r="C4" s="8" t="s">
        <v>10</v>
      </c>
      <c r="D4" s="9">
        <v>2</v>
      </c>
      <c r="E4" s="10">
        <v>100000</v>
      </c>
      <c r="F4" s="10">
        <f t="shared" si="1"/>
        <v>120000</v>
      </c>
      <c r="G4" s="10">
        <f t="shared" si="2"/>
        <v>200000</v>
      </c>
      <c r="H4" s="10">
        <f t="shared" si="3"/>
        <v>240000</v>
      </c>
      <c r="I4" s="34"/>
      <c r="J4" s="36"/>
      <c r="L4" s="122">
        <f t="shared" si="4"/>
        <v>5.71</v>
      </c>
      <c r="M4" s="18">
        <f t="shared" si="5"/>
        <v>1558.09</v>
      </c>
      <c r="N4" s="18">
        <f t="shared" si="6"/>
        <v>487.68</v>
      </c>
      <c r="O4" s="18">
        <f t="shared" si="7"/>
        <v>3598.56</v>
      </c>
      <c r="P4" s="18">
        <f t="shared" si="8"/>
        <v>2255.65</v>
      </c>
      <c r="Q4" s="18"/>
      <c r="R4" s="18"/>
      <c r="S4" s="52">
        <v>40290</v>
      </c>
      <c r="T4" s="18"/>
      <c r="U4" s="18"/>
      <c r="V4" s="52"/>
      <c r="W4" s="18">
        <f t="shared" si="9"/>
        <v>48189.979999999996</v>
      </c>
      <c r="X4" s="18">
        <f t="shared" si="10"/>
        <v>9638</v>
      </c>
      <c r="Y4" s="18">
        <f t="shared" si="11"/>
        <v>57827.979999999996</v>
      </c>
      <c r="Z4" s="18">
        <f t="shared" si="12"/>
        <v>138787.15</v>
      </c>
      <c r="AB4" s="122">
        <v>1.45</v>
      </c>
      <c r="AD4" s="127">
        <f t="shared" si="13"/>
        <v>0.57827980000000001</v>
      </c>
    </row>
    <row r="5" spans="1:30" x14ac:dyDescent="0.2">
      <c r="A5" s="6">
        <v>4</v>
      </c>
      <c r="B5" s="7" t="s">
        <v>91</v>
      </c>
      <c r="C5" s="8" t="s">
        <v>11</v>
      </c>
      <c r="D5" s="9">
        <v>7</v>
      </c>
      <c r="E5" s="10">
        <v>55289.26</v>
      </c>
      <c r="F5" s="10">
        <f t="shared" si="1"/>
        <v>66347.11</v>
      </c>
      <c r="G5" s="10">
        <f t="shared" si="2"/>
        <v>387024.82</v>
      </c>
      <c r="H5" s="10">
        <f t="shared" si="3"/>
        <v>464429.78399999999</v>
      </c>
      <c r="I5" s="34"/>
      <c r="J5" s="36"/>
      <c r="L5" s="122">
        <f t="shared" si="4"/>
        <v>6.7</v>
      </c>
      <c r="M5" s="18">
        <f t="shared" si="5"/>
        <v>1828.23</v>
      </c>
      <c r="N5" s="18">
        <f t="shared" si="6"/>
        <v>572.24</v>
      </c>
      <c r="O5" s="18">
        <f t="shared" si="7"/>
        <v>4222.4799999999996</v>
      </c>
      <c r="P5" s="18">
        <f t="shared" si="8"/>
        <v>2646.73</v>
      </c>
      <c r="Q5" s="18"/>
      <c r="R5" s="18"/>
      <c r="S5" s="52">
        <v>21607</v>
      </c>
      <c r="T5" s="18"/>
      <c r="U5" s="18"/>
      <c r="V5" s="18"/>
      <c r="W5" s="18">
        <f t="shared" si="9"/>
        <v>30876.68</v>
      </c>
      <c r="X5" s="18">
        <f t="shared" si="10"/>
        <v>6175.34</v>
      </c>
      <c r="Y5" s="18">
        <f t="shared" si="11"/>
        <v>37052.020000000004</v>
      </c>
      <c r="Z5" s="18">
        <f t="shared" si="12"/>
        <v>311236.96999999997</v>
      </c>
      <c r="AB5" s="122">
        <v>1.7</v>
      </c>
      <c r="AD5" s="127">
        <f t="shared" si="13"/>
        <v>0.67014859667139703</v>
      </c>
    </row>
    <row r="6" spans="1:30" ht="25.5" x14ac:dyDescent="0.2">
      <c r="A6" s="6">
        <v>5</v>
      </c>
      <c r="B6" s="7" t="s">
        <v>90</v>
      </c>
      <c r="C6" s="8" t="s">
        <v>12</v>
      </c>
      <c r="D6" s="9">
        <v>3</v>
      </c>
      <c r="E6" s="10">
        <v>61322.31</v>
      </c>
      <c r="F6" s="10">
        <f t="shared" si="1"/>
        <v>73586.77</v>
      </c>
      <c r="G6" s="10">
        <f t="shared" si="2"/>
        <v>183966.93</v>
      </c>
      <c r="H6" s="10">
        <f t="shared" si="3"/>
        <v>220760.31599999999</v>
      </c>
      <c r="I6" s="34"/>
      <c r="J6" s="36"/>
      <c r="L6" s="122">
        <f t="shared" si="4"/>
        <v>6.7</v>
      </c>
      <c r="M6" s="18">
        <f t="shared" si="5"/>
        <v>1828.23</v>
      </c>
      <c r="N6" s="18">
        <f t="shared" si="6"/>
        <v>572.24</v>
      </c>
      <c r="O6" s="18">
        <f t="shared" si="7"/>
        <v>4222.4799999999996</v>
      </c>
      <c r="P6" s="18">
        <f t="shared" si="8"/>
        <v>2646.73</v>
      </c>
      <c r="Q6" s="18"/>
      <c r="R6" s="18"/>
      <c r="S6" s="52">
        <v>26302</v>
      </c>
      <c r="T6" s="18"/>
      <c r="U6" s="18"/>
      <c r="V6" s="18"/>
      <c r="W6" s="18">
        <f t="shared" si="9"/>
        <v>35571.68</v>
      </c>
      <c r="X6" s="18">
        <f t="shared" si="10"/>
        <v>7114.34</v>
      </c>
      <c r="Y6" s="18">
        <f t="shared" si="11"/>
        <v>42686.020000000004</v>
      </c>
      <c r="Z6" s="18">
        <f t="shared" si="12"/>
        <v>153669.67000000001</v>
      </c>
      <c r="AB6" s="122">
        <v>1.7</v>
      </c>
      <c r="AD6" s="127">
        <f t="shared" si="13"/>
        <v>0.69609282494413538</v>
      </c>
    </row>
    <row r="7" spans="1:30" x14ac:dyDescent="0.2">
      <c r="A7" s="6">
        <v>6</v>
      </c>
      <c r="B7" s="7" t="s">
        <v>92</v>
      </c>
      <c r="C7" s="8" t="s">
        <v>13</v>
      </c>
      <c r="D7" s="9">
        <v>8</v>
      </c>
      <c r="E7" s="10">
        <v>89669.42</v>
      </c>
      <c r="F7" s="10">
        <f t="shared" si="1"/>
        <v>107603.3</v>
      </c>
      <c r="G7" s="10">
        <f t="shared" si="2"/>
        <v>717355.36</v>
      </c>
      <c r="H7" s="10">
        <f t="shared" si="3"/>
        <v>860826.43199999991</v>
      </c>
      <c r="I7" s="34"/>
      <c r="J7" s="37"/>
      <c r="L7" s="122">
        <f t="shared" si="4"/>
        <v>7.09</v>
      </c>
      <c r="M7" s="18">
        <f t="shared" si="5"/>
        <v>1934.65</v>
      </c>
      <c r="N7" s="18">
        <f t="shared" si="6"/>
        <v>605.54999999999995</v>
      </c>
      <c r="O7" s="18">
        <f t="shared" si="7"/>
        <v>4468.2700000000004</v>
      </c>
      <c r="P7" s="18">
        <f t="shared" si="8"/>
        <v>2800.79</v>
      </c>
      <c r="Q7" s="18"/>
      <c r="R7" s="18"/>
      <c r="S7" s="52">
        <v>38371</v>
      </c>
      <c r="T7" s="18"/>
      <c r="U7" s="18"/>
      <c r="V7" s="18"/>
      <c r="W7" s="18">
        <f t="shared" si="9"/>
        <v>48180.26</v>
      </c>
      <c r="X7" s="18">
        <f t="shared" si="10"/>
        <v>9636.0499999999993</v>
      </c>
      <c r="Y7" s="18">
        <f t="shared" si="11"/>
        <v>57816.31</v>
      </c>
      <c r="Z7" s="18">
        <f t="shared" si="12"/>
        <v>555036.57999999996</v>
      </c>
      <c r="AB7" s="122">
        <v>1.8</v>
      </c>
      <c r="AD7" s="127">
        <f t="shared" si="13"/>
        <v>0.64477176277040715</v>
      </c>
    </row>
    <row r="8" spans="1:30" ht="25.5" x14ac:dyDescent="0.2">
      <c r="A8" s="6">
        <v>7</v>
      </c>
      <c r="B8" s="7" t="s">
        <v>93</v>
      </c>
      <c r="C8" s="8" t="s">
        <v>14</v>
      </c>
      <c r="D8" s="9">
        <v>9</v>
      </c>
      <c r="E8" s="10">
        <v>93388.43</v>
      </c>
      <c r="F8" s="10">
        <f t="shared" si="1"/>
        <v>112066.12</v>
      </c>
      <c r="G8" s="10">
        <f t="shared" si="2"/>
        <v>840495.87</v>
      </c>
      <c r="H8" s="10">
        <f t="shared" si="3"/>
        <v>1008595.0439999998</v>
      </c>
      <c r="I8" s="34"/>
      <c r="J8" s="34">
        <v>119563.5</v>
      </c>
      <c r="L8" s="122">
        <f t="shared" si="4"/>
        <v>7.09</v>
      </c>
      <c r="M8" s="18">
        <f t="shared" si="5"/>
        <v>1934.65</v>
      </c>
      <c r="N8" s="18">
        <f t="shared" si="6"/>
        <v>605.54999999999995</v>
      </c>
      <c r="O8" s="18">
        <f t="shared" si="7"/>
        <v>4468.2700000000004</v>
      </c>
      <c r="P8" s="18">
        <f t="shared" si="8"/>
        <v>2800.79</v>
      </c>
      <c r="Q8" s="18"/>
      <c r="R8" s="18"/>
      <c r="S8" s="52">
        <v>32542</v>
      </c>
      <c r="T8" s="18"/>
      <c r="U8" s="18"/>
      <c r="V8" s="18"/>
      <c r="W8" s="18">
        <f t="shared" si="9"/>
        <v>42351.26</v>
      </c>
      <c r="X8" s="18">
        <f t="shared" si="10"/>
        <v>8470.25</v>
      </c>
      <c r="Y8" s="18">
        <f t="shared" si="11"/>
        <v>50821.51</v>
      </c>
      <c r="Z8" s="18">
        <f t="shared" si="12"/>
        <v>548872.31000000006</v>
      </c>
      <c r="AB8" s="122">
        <v>1.8</v>
      </c>
      <c r="AD8" s="127">
        <f t="shared" si="13"/>
        <v>0.54419492864373031</v>
      </c>
    </row>
    <row r="9" spans="1:30" x14ac:dyDescent="0.2">
      <c r="A9" s="6">
        <v>8</v>
      </c>
      <c r="B9" s="7" t="s">
        <v>86</v>
      </c>
      <c r="C9" s="8" t="s">
        <v>15</v>
      </c>
      <c r="D9" s="6">
        <v>1</v>
      </c>
      <c r="E9" s="10">
        <v>69421.490000000005</v>
      </c>
      <c r="F9" s="10">
        <f t="shared" si="1"/>
        <v>83305.789999999994</v>
      </c>
      <c r="G9" s="10">
        <f t="shared" si="2"/>
        <v>69421.490000000005</v>
      </c>
      <c r="H9" s="10">
        <f t="shared" si="3"/>
        <v>83305.788</v>
      </c>
      <c r="I9" s="34"/>
      <c r="J9" s="36"/>
      <c r="L9" s="122">
        <f t="shared" si="4"/>
        <v>7.88</v>
      </c>
      <c r="M9" s="18">
        <f t="shared" si="5"/>
        <v>2150.2199999999998</v>
      </c>
      <c r="N9" s="18">
        <f t="shared" si="6"/>
        <v>673.02</v>
      </c>
      <c r="O9" s="18">
        <f t="shared" si="7"/>
        <v>4966.1499999999996</v>
      </c>
      <c r="P9" s="18">
        <f t="shared" si="8"/>
        <v>3112.87</v>
      </c>
      <c r="Q9" s="18"/>
      <c r="R9" s="18"/>
      <c r="S9" s="52">
        <v>65703</v>
      </c>
      <c r="T9" s="18"/>
      <c r="U9" s="18"/>
      <c r="V9" s="52"/>
      <c r="W9" s="18">
        <f t="shared" si="9"/>
        <v>76605.259999999995</v>
      </c>
      <c r="X9" s="18">
        <f t="shared" si="10"/>
        <v>15321.05</v>
      </c>
      <c r="Y9" s="18">
        <f t="shared" si="11"/>
        <v>91926.31</v>
      </c>
      <c r="Z9" s="18">
        <f t="shared" si="12"/>
        <v>110311.57</v>
      </c>
      <c r="AB9" s="122">
        <v>2</v>
      </c>
      <c r="AD9" s="127">
        <f t="shared" si="13"/>
        <v>1.3241765626177138</v>
      </c>
    </row>
    <row r="10" spans="1:30" x14ac:dyDescent="0.2">
      <c r="A10" s="29">
        <v>9</v>
      </c>
      <c r="B10" s="30" t="s">
        <v>104</v>
      </c>
      <c r="C10" s="31" t="s">
        <v>16</v>
      </c>
      <c r="D10" s="32">
        <v>5</v>
      </c>
      <c r="E10" s="28">
        <v>52892.56</v>
      </c>
      <c r="F10" s="28">
        <f t="shared" si="1"/>
        <v>63471.07</v>
      </c>
      <c r="G10" s="28">
        <f t="shared" si="2"/>
        <v>264462.8</v>
      </c>
      <c r="H10" s="28">
        <f t="shared" si="3"/>
        <v>317355.36</v>
      </c>
      <c r="I10" s="35"/>
      <c r="J10" s="35">
        <v>64050</v>
      </c>
      <c r="L10" s="122">
        <f t="shared" si="4"/>
        <v>7.88</v>
      </c>
      <c r="M10" s="18">
        <f t="shared" si="5"/>
        <v>2150.2199999999998</v>
      </c>
      <c r="N10" s="18">
        <f t="shared" si="6"/>
        <v>673.02</v>
      </c>
      <c r="O10" s="18">
        <f t="shared" ref="O10:O44" si="14">ROUND(M10*230.96%,2)</f>
        <v>4966.1499999999996</v>
      </c>
      <c r="P10" s="18">
        <f t="shared" ref="P10:P44" si="15">ROUND(M10*144.77%,2)</f>
        <v>3112.87</v>
      </c>
      <c r="Q10" s="59">
        <f>мат!D9/5</f>
        <v>6742.9520000000002</v>
      </c>
      <c r="R10" s="18"/>
      <c r="S10" s="18"/>
      <c r="T10" s="18"/>
      <c r="U10" s="18"/>
      <c r="V10" s="18"/>
      <c r="W10" s="18">
        <f t="shared" ref="W10:W44" si="16">SUM(M10:V10)</f>
        <v>17645.212</v>
      </c>
      <c r="X10" s="18">
        <f t="shared" ref="X10:X44" si="17">ROUND((T10+U10)*1%+(W10-T10-U10)*20%,2)</f>
        <v>3529.04</v>
      </c>
      <c r="Y10" s="18">
        <f t="shared" ref="Y10:Y44" si="18">W10+X10</f>
        <v>21174.252</v>
      </c>
      <c r="Z10" s="18">
        <f t="shared" si="12"/>
        <v>127045.51</v>
      </c>
      <c r="AB10" s="122">
        <v>2</v>
      </c>
      <c r="AD10" s="127">
        <f t="shared" si="13"/>
        <v>0.40032571688721441</v>
      </c>
    </row>
    <row r="11" spans="1:30" x14ac:dyDescent="0.2">
      <c r="A11" s="6">
        <v>10</v>
      </c>
      <c r="B11" s="7" t="s">
        <v>89</v>
      </c>
      <c r="C11" s="8" t="s">
        <v>17</v>
      </c>
      <c r="D11" s="12">
        <v>4</v>
      </c>
      <c r="E11" s="10">
        <v>69421.490000000005</v>
      </c>
      <c r="F11" s="10">
        <f t="shared" si="1"/>
        <v>83305.789999999994</v>
      </c>
      <c r="G11" s="10">
        <f t="shared" si="2"/>
        <v>277685.96000000002</v>
      </c>
      <c r="H11" s="10">
        <f t="shared" si="3"/>
        <v>333223.152</v>
      </c>
      <c r="I11" s="34"/>
      <c r="J11" s="37"/>
      <c r="L11" s="122">
        <f t="shared" si="4"/>
        <v>8.67</v>
      </c>
      <c r="M11" s="18">
        <f t="shared" si="5"/>
        <v>2365.7800000000002</v>
      </c>
      <c r="N11" s="18">
        <f t="shared" si="6"/>
        <v>740.49</v>
      </c>
      <c r="O11" s="18">
        <f t="shared" si="14"/>
        <v>5464.01</v>
      </c>
      <c r="P11" s="18">
        <f t="shared" si="15"/>
        <v>3424.94</v>
      </c>
      <c r="Q11" s="18"/>
      <c r="R11" s="18"/>
      <c r="S11" s="52">
        <v>32413</v>
      </c>
      <c r="T11" s="18"/>
      <c r="U11" s="18"/>
      <c r="V11" s="18"/>
      <c r="W11" s="18">
        <f t="shared" si="16"/>
        <v>44408.22</v>
      </c>
      <c r="X11" s="18">
        <f t="shared" si="17"/>
        <v>8881.64</v>
      </c>
      <c r="Y11" s="18">
        <f t="shared" si="18"/>
        <v>53289.86</v>
      </c>
      <c r="Z11" s="18">
        <f t="shared" si="12"/>
        <v>255791.33</v>
      </c>
      <c r="AB11" s="122">
        <v>2.2000000000000002</v>
      </c>
      <c r="AD11" s="127">
        <f t="shared" si="13"/>
        <v>0.76762771873666202</v>
      </c>
    </row>
    <row r="12" spans="1:30" ht="25.5" x14ac:dyDescent="0.2">
      <c r="A12" s="6">
        <v>11</v>
      </c>
      <c r="B12" s="7" t="s">
        <v>103</v>
      </c>
      <c r="C12" s="8" t="s">
        <v>18</v>
      </c>
      <c r="D12" s="12">
        <v>4</v>
      </c>
      <c r="E12" s="10">
        <v>38842.980000000003</v>
      </c>
      <c r="F12" s="10">
        <f t="shared" si="1"/>
        <v>46611.58</v>
      </c>
      <c r="G12" s="10">
        <f t="shared" si="2"/>
        <v>155371.92000000001</v>
      </c>
      <c r="H12" s="10">
        <f t="shared" si="3"/>
        <v>186446.304</v>
      </c>
      <c r="I12" s="34"/>
      <c r="J12" s="36"/>
      <c r="L12" s="122">
        <f t="shared" si="4"/>
        <v>6.7</v>
      </c>
      <c r="M12" s="18">
        <f t="shared" si="5"/>
        <v>1828.23</v>
      </c>
      <c r="N12" s="18">
        <f t="shared" si="6"/>
        <v>572.24</v>
      </c>
      <c r="O12" s="18">
        <f t="shared" si="14"/>
        <v>4222.4799999999996</v>
      </c>
      <c r="P12" s="18">
        <f t="shared" si="15"/>
        <v>2646.73</v>
      </c>
      <c r="Q12" s="18"/>
      <c r="R12" s="18"/>
      <c r="S12" s="52">
        <v>12460</v>
      </c>
      <c r="T12" s="18"/>
      <c r="U12" s="18"/>
      <c r="V12" s="18"/>
      <c r="W12" s="18">
        <f t="shared" si="16"/>
        <v>21729.68</v>
      </c>
      <c r="X12" s="18">
        <f t="shared" si="17"/>
        <v>4345.9399999999996</v>
      </c>
      <c r="Y12" s="18">
        <f t="shared" si="18"/>
        <v>26075.62</v>
      </c>
      <c r="Z12" s="18">
        <f t="shared" si="12"/>
        <v>125162.98</v>
      </c>
      <c r="AB12" s="122">
        <v>1.7</v>
      </c>
      <c r="AD12" s="127">
        <f t="shared" si="13"/>
        <v>0.67130843205129975</v>
      </c>
    </row>
    <row r="13" spans="1:30" ht="25.5" x14ac:dyDescent="0.2">
      <c r="A13" s="6">
        <v>12</v>
      </c>
      <c r="B13" s="7" t="s">
        <v>94</v>
      </c>
      <c r="C13" s="8" t="s">
        <v>19</v>
      </c>
      <c r="D13" s="12">
        <v>3</v>
      </c>
      <c r="E13" s="10">
        <v>105785.12</v>
      </c>
      <c r="F13" s="10">
        <f t="shared" si="1"/>
        <v>126942.14</v>
      </c>
      <c r="G13" s="10">
        <f t="shared" si="2"/>
        <v>317355.36</v>
      </c>
      <c r="H13" s="10">
        <f t="shared" si="3"/>
        <v>380826.43199999997</v>
      </c>
      <c r="I13" s="34"/>
      <c r="J13" s="36"/>
      <c r="L13" s="122">
        <f t="shared" si="4"/>
        <v>7.88</v>
      </c>
      <c r="M13" s="18">
        <f t="shared" si="5"/>
        <v>2150.2199999999998</v>
      </c>
      <c r="N13" s="18">
        <f t="shared" si="6"/>
        <v>673.02</v>
      </c>
      <c r="O13" s="18">
        <f t="shared" si="14"/>
        <v>4966.1499999999996</v>
      </c>
      <c r="P13" s="18">
        <f t="shared" si="15"/>
        <v>3112.87</v>
      </c>
      <c r="Q13" s="18"/>
      <c r="R13" s="18"/>
      <c r="S13" s="52">
        <v>52088</v>
      </c>
      <c r="T13" s="18"/>
      <c r="U13" s="18"/>
      <c r="V13" s="18"/>
      <c r="W13" s="18">
        <f t="shared" si="16"/>
        <v>62990.259999999995</v>
      </c>
      <c r="X13" s="18">
        <f t="shared" si="17"/>
        <v>12598.05</v>
      </c>
      <c r="Y13" s="18">
        <f t="shared" si="18"/>
        <v>75588.31</v>
      </c>
      <c r="Z13" s="18">
        <f t="shared" si="12"/>
        <v>272117.92</v>
      </c>
      <c r="AB13" s="122">
        <v>2</v>
      </c>
      <c r="AD13" s="127">
        <f t="shared" si="13"/>
        <v>0.71454576976421635</v>
      </c>
    </row>
    <row r="14" spans="1:30" x14ac:dyDescent="0.2">
      <c r="A14" s="6">
        <v>13</v>
      </c>
      <c r="B14" s="7" t="s">
        <v>89</v>
      </c>
      <c r="C14" s="8" t="s">
        <v>20</v>
      </c>
      <c r="D14" s="12">
        <v>7</v>
      </c>
      <c r="E14" s="10">
        <v>52892.56</v>
      </c>
      <c r="F14" s="10">
        <f t="shared" si="1"/>
        <v>63471.07</v>
      </c>
      <c r="G14" s="10">
        <f t="shared" si="2"/>
        <v>370247.92</v>
      </c>
      <c r="H14" s="10">
        <f t="shared" si="3"/>
        <v>444297.50399999996</v>
      </c>
      <c r="I14" s="34"/>
      <c r="J14" s="36"/>
      <c r="L14" s="122">
        <f t="shared" si="4"/>
        <v>6.7</v>
      </c>
      <c r="M14" s="18">
        <f t="shared" si="5"/>
        <v>1828.23</v>
      </c>
      <c r="N14" s="18">
        <f t="shared" si="6"/>
        <v>572.24</v>
      </c>
      <c r="O14" s="18">
        <f t="shared" si="14"/>
        <v>4222.4799999999996</v>
      </c>
      <c r="P14" s="18">
        <f t="shared" si="15"/>
        <v>2646.73</v>
      </c>
      <c r="Q14" s="18"/>
      <c r="R14" s="18"/>
      <c r="S14" s="52">
        <v>17531</v>
      </c>
      <c r="T14" s="18"/>
      <c r="U14" s="18"/>
      <c r="V14" s="18"/>
      <c r="W14" s="18">
        <f t="shared" si="16"/>
        <v>26800.68</v>
      </c>
      <c r="X14" s="18">
        <f t="shared" si="17"/>
        <v>5360.14</v>
      </c>
      <c r="Y14" s="18">
        <f t="shared" si="18"/>
        <v>32160.82</v>
      </c>
      <c r="Z14" s="18">
        <f t="shared" si="12"/>
        <v>270150.89</v>
      </c>
      <c r="AB14" s="122">
        <v>1.7</v>
      </c>
      <c r="AD14" s="127">
        <f t="shared" si="13"/>
        <v>0.60804052592651969</v>
      </c>
    </row>
    <row r="15" spans="1:30" x14ac:dyDescent="0.2">
      <c r="A15" s="6">
        <v>14</v>
      </c>
      <c r="B15" s="7" t="s">
        <v>89</v>
      </c>
      <c r="C15" s="8" t="s">
        <v>21</v>
      </c>
      <c r="D15" s="12">
        <v>5</v>
      </c>
      <c r="E15" s="10">
        <v>96033.06</v>
      </c>
      <c r="F15" s="10">
        <f t="shared" si="1"/>
        <v>115239.67</v>
      </c>
      <c r="G15" s="10">
        <f t="shared" si="2"/>
        <v>480165.3</v>
      </c>
      <c r="H15" s="10">
        <f t="shared" si="3"/>
        <v>576198.36</v>
      </c>
      <c r="I15" s="34"/>
      <c r="J15" s="36"/>
      <c r="L15" s="122">
        <f t="shared" si="4"/>
        <v>7.09</v>
      </c>
      <c r="M15" s="18">
        <f t="shared" si="5"/>
        <v>1934.65</v>
      </c>
      <c r="N15" s="18">
        <f t="shared" si="6"/>
        <v>605.54999999999995</v>
      </c>
      <c r="O15" s="18">
        <f t="shared" si="14"/>
        <v>4468.2700000000004</v>
      </c>
      <c r="P15" s="18">
        <f t="shared" si="15"/>
        <v>2800.79</v>
      </c>
      <c r="Q15" s="18"/>
      <c r="R15" s="18"/>
      <c r="S15" s="52">
        <v>52122</v>
      </c>
      <c r="T15" s="18"/>
      <c r="U15" s="18"/>
      <c r="V15" s="18"/>
      <c r="W15" s="18">
        <f t="shared" si="16"/>
        <v>61931.26</v>
      </c>
      <c r="X15" s="18">
        <f t="shared" si="17"/>
        <v>12386.25</v>
      </c>
      <c r="Y15" s="18">
        <f t="shared" si="18"/>
        <v>74317.510000000009</v>
      </c>
      <c r="Z15" s="18">
        <f t="shared" si="12"/>
        <v>445905.06</v>
      </c>
      <c r="AB15" s="122">
        <v>1.8</v>
      </c>
      <c r="AD15" s="127">
        <f t="shared" si="13"/>
        <v>0.77387422623000879</v>
      </c>
    </row>
    <row r="16" spans="1:30" x14ac:dyDescent="0.2">
      <c r="A16" s="6">
        <v>15</v>
      </c>
      <c r="B16" s="7" t="s">
        <v>95</v>
      </c>
      <c r="C16" s="8" t="s">
        <v>22</v>
      </c>
      <c r="D16" s="12">
        <v>4</v>
      </c>
      <c r="E16" s="10">
        <v>36363.64</v>
      </c>
      <c r="F16" s="10">
        <f t="shared" si="1"/>
        <v>43636.37</v>
      </c>
      <c r="G16" s="10">
        <f t="shared" si="2"/>
        <v>145454.56</v>
      </c>
      <c r="H16" s="10">
        <f t="shared" si="3"/>
        <v>174545.47199999998</v>
      </c>
      <c r="I16" s="34"/>
      <c r="J16" s="34">
        <v>101623.2</v>
      </c>
      <c r="L16" s="122">
        <f t="shared" si="4"/>
        <v>5.71</v>
      </c>
      <c r="M16" s="18">
        <f t="shared" si="5"/>
        <v>1558.09</v>
      </c>
      <c r="N16" s="18">
        <f t="shared" si="6"/>
        <v>487.68</v>
      </c>
      <c r="O16" s="18">
        <f t="shared" si="14"/>
        <v>3598.56</v>
      </c>
      <c r="P16" s="18">
        <f t="shared" si="15"/>
        <v>2255.65</v>
      </c>
      <c r="Q16" s="18"/>
      <c r="R16" s="18"/>
      <c r="S16" s="52">
        <v>13838</v>
      </c>
      <c r="T16" s="18"/>
      <c r="U16" s="18"/>
      <c r="V16" s="18"/>
      <c r="W16" s="18">
        <f t="shared" si="16"/>
        <v>21737.98</v>
      </c>
      <c r="X16" s="18">
        <f t="shared" si="17"/>
        <v>4347.6000000000004</v>
      </c>
      <c r="Y16" s="18">
        <f t="shared" si="18"/>
        <v>26085.58</v>
      </c>
      <c r="Z16" s="18">
        <f t="shared" si="12"/>
        <v>125210.78</v>
      </c>
      <c r="AB16" s="122">
        <v>1.45</v>
      </c>
      <c r="AD16" s="127">
        <f t="shared" si="13"/>
        <v>0.71735337826466228</v>
      </c>
    </row>
    <row r="17" spans="1:30" ht="25.5" x14ac:dyDescent="0.2">
      <c r="A17" s="6">
        <v>16</v>
      </c>
      <c r="B17" s="7" t="s">
        <v>96</v>
      </c>
      <c r="C17" s="8" t="s">
        <v>112</v>
      </c>
      <c r="D17" s="12">
        <v>1</v>
      </c>
      <c r="E17" s="10">
        <v>97520.66</v>
      </c>
      <c r="F17" s="10">
        <f t="shared" si="1"/>
        <v>117024.79</v>
      </c>
      <c r="G17" s="10">
        <f t="shared" si="2"/>
        <v>97520.66</v>
      </c>
      <c r="H17" s="10">
        <f t="shared" si="3"/>
        <v>117024.792</v>
      </c>
      <c r="I17" s="34"/>
      <c r="J17" s="36"/>
      <c r="L17" s="122">
        <f t="shared" si="4"/>
        <v>7.88</v>
      </c>
      <c r="M17" s="18">
        <f t="shared" si="5"/>
        <v>2150.2199999999998</v>
      </c>
      <c r="N17" s="18">
        <f t="shared" si="6"/>
        <v>673.02</v>
      </c>
      <c r="O17" s="18">
        <f t="shared" si="14"/>
        <v>4966.1499999999996</v>
      </c>
      <c r="P17" s="18">
        <f t="shared" si="15"/>
        <v>3112.87</v>
      </c>
      <c r="Q17" s="18"/>
      <c r="R17" s="18"/>
      <c r="S17" s="52">
        <v>41010</v>
      </c>
      <c r="T17" s="18"/>
      <c r="U17" s="18"/>
      <c r="V17" s="18"/>
      <c r="W17" s="18">
        <f t="shared" si="16"/>
        <v>51912.259999999995</v>
      </c>
      <c r="X17" s="18">
        <f t="shared" si="17"/>
        <v>10382.450000000001</v>
      </c>
      <c r="Y17" s="18">
        <f t="shared" si="18"/>
        <v>62294.709999999992</v>
      </c>
      <c r="Z17" s="18">
        <f t="shared" si="12"/>
        <v>74753.649999999994</v>
      </c>
      <c r="AA17" s="4">
        <f>81600*1.2</f>
        <v>97920</v>
      </c>
      <c r="AB17" s="122">
        <v>2</v>
      </c>
      <c r="AD17" s="127">
        <f t="shared" si="13"/>
        <v>0.63878474571439514</v>
      </c>
    </row>
    <row r="18" spans="1:30" ht="25.5" x14ac:dyDescent="0.2">
      <c r="A18" s="6">
        <v>17</v>
      </c>
      <c r="B18" s="7" t="s">
        <v>97</v>
      </c>
      <c r="C18" s="8" t="s">
        <v>111</v>
      </c>
      <c r="D18" s="12">
        <v>1</v>
      </c>
      <c r="E18" s="10">
        <v>65289.26</v>
      </c>
      <c r="F18" s="10">
        <f t="shared" si="1"/>
        <v>78347.11</v>
      </c>
      <c r="G18" s="10">
        <f t="shared" si="2"/>
        <v>65289.26</v>
      </c>
      <c r="H18" s="10">
        <f t="shared" si="3"/>
        <v>78347.111999999994</v>
      </c>
      <c r="I18" s="34"/>
      <c r="J18" s="36"/>
      <c r="L18" s="122">
        <f t="shared" si="4"/>
        <v>7.09</v>
      </c>
      <c r="M18" s="18">
        <f t="shared" si="5"/>
        <v>1934.65</v>
      </c>
      <c r="N18" s="18">
        <f t="shared" si="6"/>
        <v>605.54999999999995</v>
      </c>
      <c r="O18" s="18">
        <f t="shared" si="14"/>
        <v>4468.2700000000004</v>
      </c>
      <c r="P18" s="18">
        <f t="shared" si="15"/>
        <v>2800.79</v>
      </c>
      <c r="Q18" s="18"/>
      <c r="R18" s="18"/>
      <c r="S18" s="52">
        <v>44262</v>
      </c>
      <c r="T18" s="18"/>
      <c r="U18" s="18"/>
      <c r="V18" s="18"/>
      <c r="W18" s="18">
        <f t="shared" si="16"/>
        <v>54071.26</v>
      </c>
      <c r="X18" s="18">
        <f t="shared" si="17"/>
        <v>10814.25</v>
      </c>
      <c r="Y18" s="18">
        <f t="shared" si="18"/>
        <v>64885.51</v>
      </c>
      <c r="Z18" s="18">
        <f t="shared" si="12"/>
        <v>77862.61</v>
      </c>
      <c r="AB18" s="122">
        <v>1.8</v>
      </c>
      <c r="AD18" s="127">
        <f t="shared" si="13"/>
        <v>0.9938159813727403</v>
      </c>
    </row>
    <row r="19" spans="1:30" ht="25.5" x14ac:dyDescent="0.2">
      <c r="A19" s="6">
        <v>18</v>
      </c>
      <c r="B19" s="7" t="s">
        <v>98</v>
      </c>
      <c r="C19" s="8" t="s">
        <v>23</v>
      </c>
      <c r="D19" s="12">
        <v>4</v>
      </c>
      <c r="E19" s="10">
        <v>40909.089999999997</v>
      </c>
      <c r="F19" s="10">
        <f t="shared" si="1"/>
        <v>49090.91</v>
      </c>
      <c r="G19" s="10">
        <f t="shared" si="2"/>
        <v>163636.35999999999</v>
      </c>
      <c r="H19" s="10">
        <f t="shared" si="3"/>
        <v>196363.63199999998</v>
      </c>
      <c r="I19" s="34"/>
      <c r="J19" s="34">
        <v>47250</v>
      </c>
      <c r="L19" s="122">
        <f t="shared" si="4"/>
        <v>4.1399999999999997</v>
      </c>
      <c r="M19" s="18">
        <f t="shared" si="5"/>
        <v>1129.68</v>
      </c>
      <c r="N19" s="18">
        <f t="shared" si="6"/>
        <v>353.59</v>
      </c>
      <c r="O19" s="18">
        <f t="shared" si="14"/>
        <v>2609.11</v>
      </c>
      <c r="P19" s="18">
        <f t="shared" si="15"/>
        <v>1635.44</v>
      </c>
      <c r="Q19" s="18"/>
      <c r="R19" s="18"/>
      <c r="S19" s="52">
        <v>12460</v>
      </c>
      <c r="T19" s="18"/>
      <c r="U19" s="18"/>
      <c r="V19" s="18"/>
      <c r="W19" s="18">
        <f t="shared" si="16"/>
        <v>18187.82</v>
      </c>
      <c r="X19" s="18">
        <f t="shared" si="17"/>
        <v>3637.56</v>
      </c>
      <c r="Y19" s="18">
        <f t="shared" si="18"/>
        <v>21825.38</v>
      </c>
      <c r="Z19" s="18">
        <f t="shared" si="12"/>
        <v>104761.82</v>
      </c>
      <c r="AB19" s="122">
        <v>1.05</v>
      </c>
      <c r="AD19" s="127">
        <f t="shared" si="13"/>
        <v>0.53350930074465119</v>
      </c>
    </row>
    <row r="20" spans="1:30" x14ac:dyDescent="0.2">
      <c r="A20" s="6">
        <v>19</v>
      </c>
      <c r="B20" s="7" t="s">
        <v>89</v>
      </c>
      <c r="C20" s="8" t="s">
        <v>24</v>
      </c>
      <c r="D20" s="12">
        <v>3</v>
      </c>
      <c r="E20" s="10">
        <v>100000</v>
      </c>
      <c r="F20" s="10">
        <f t="shared" si="1"/>
        <v>120000</v>
      </c>
      <c r="G20" s="10">
        <f t="shared" si="2"/>
        <v>300000</v>
      </c>
      <c r="H20" s="10">
        <f t="shared" si="3"/>
        <v>360000</v>
      </c>
      <c r="I20" s="34"/>
      <c r="J20" s="34">
        <v>111300</v>
      </c>
      <c r="L20" s="122">
        <f t="shared" si="4"/>
        <v>9.06</v>
      </c>
      <c r="M20" s="18">
        <f t="shared" si="5"/>
        <v>2472.1999999999998</v>
      </c>
      <c r="N20" s="18">
        <f t="shared" si="6"/>
        <v>773.8</v>
      </c>
      <c r="O20" s="18">
        <f t="shared" si="14"/>
        <v>5709.79</v>
      </c>
      <c r="P20" s="18">
        <f t="shared" si="15"/>
        <v>3579</v>
      </c>
      <c r="Q20" s="18"/>
      <c r="R20" s="18"/>
      <c r="S20" s="52">
        <v>38429</v>
      </c>
      <c r="T20" s="18"/>
      <c r="U20" s="18"/>
      <c r="V20" s="18"/>
      <c r="W20" s="18">
        <f t="shared" si="16"/>
        <v>50963.79</v>
      </c>
      <c r="X20" s="18">
        <f t="shared" si="17"/>
        <v>10192.76</v>
      </c>
      <c r="Y20" s="18">
        <f t="shared" si="18"/>
        <v>61156.55</v>
      </c>
      <c r="Z20" s="18">
        <f t="shared" si="12"/>
        <v>220163.58</v>
      </c>
      <c r="AB20" s="122">
        <v>2.2999999999999998</v>
      </c>
      <c r="AD20" s="127">
        <f t="shared" si="13"/>
        <v>0.61156549999999998</v>
      </c>
    </row>
    <row r="21" spans="1:30" x14ac:dyDescent="0.2">
      <c r="A21" s="6">
        <v>20</v>
      </c>
      <c r="B21" s="7" t="s">
        <v>95</v>
      </c>
      <c r="C21" s="8" t="s">
        <v>25</v>
      </c>
      <c r="D21" s="12">
        <v>2</v>
      </c>
      <c r="E21" s="10">
        <v>42975.21</v>
      </c>
      <c r="F21" s="10">
        <f t="shared" si="1"/>
        <v>51570.25</v>
      </c>
      <c r="G21" s="10">
        <f t="shared" si="2"/>
        <v>85950.42</v>
      </c>
      <c r="H21" s="10">
        <f t="shared" si="3"/>
        <v>103140.504</v>
      </c>
      <c r="I21" s="34"/>
      <c r="J21" s="36"/>
      <c r="L21" s="122">
        <f t="shared" si="4"/>
        <v>3.55</v>
      </c>
      <c r="M21" s="18">
        <f t="shared" si="5"/>
        <v>968.69</v>
      </c>
      <c r="N21" s="18">
        <f t="shared" si="6"/>
        <v>303.2</v>
      </c>
      <c r="O21" s="18">
        <f t="shared" si="14"/>
        <v>2237.29</v>
      </c>
      <c r="P21" s="18">
        <f t="shared" si="15"/>
        <v>1402.37</v>
      </c>
      <c r="Q21" s="18"/>
      <c r="R21" s="18"/>
      <c r="S21" s="52">
        <v>14542</v>
      </c>
      <c r="T21" s="18"/>
      <c r="U21" s="18"/>
      <c r="V21" s="18"/>
      <c r="W21" s="18">
        <f t="shared" si="16"/>
        <v>19453.55</v>
      </c>
      <c r="X21" s="18">
        <f t="shared" si="17"/>
        <v>3890.71</v>
      </c>
      <c r="Y21" s="18">
        <f t="shared" si="18"/>
        <v>23344.26</v>
      </c>
      <c r="Z21" s="18">
        <f t="shared" si="12"/>
        <v>56026.22</v>
      </c>
      <c r="AB21" s="122">
        <v>0.9</v>
      </c>
      <c r="AD21" s="127">
        <f t="shared" si="13"/>
        <v>0.54320293024746125</v>
      </c>
    </row>
    <row r="22" spans="1:30" ht="25.5" x14ac:dyDescent="0.2">
      <c r="A22" s="6">
        <v>21</v>
      </c>
      <c r="B22" s="7" t="s">
        <v>99</v>
      </c>
      <c r="C22" s="8" t="s">
        <v>26</v>
      </c>
      <c r="D22" s="12">
        <v>1</v>
      </c>
      <c r="E22" s="10">
        <v>51239.67</v>
      </c>
      <c r="F22" s="10">
        <f t="shared" si="1"/>
        <v>61487.6</v>
      </c>
      <c r="G22" s="10">
        <f t="shared" si="2"/>
        <v>51239.67</v>
      </c>
      <c r="H22" s="10">
        <f t="shared" si="3"/>
        <v>61487.603999999992</v>
      </c>
      <c r="I22" s="34"/>
      <c r="J22" s="36"/>
      <c r="L22" s="122">
        <f t="shared" si="4"/>
        <v>4.34</v>
      </c>
      <c r="M22" s="18">
        <f t="shared" si="5"/>
        <v>1184.26</v>
      </c>
      <c r="N22" s="18">
        <f t="shared" si="6"/>
        <v>370.67</v>
      </c>
      <c r="O22" s="18">
        <f t="shared" si="14"/>
        <v>2735.17</v>
      </c>
      <c r="P22" s="18">
        <f t="shared" si="15"/>
        <v>1714.45</v>
      </c>
      <c r="Q22" s="18"/>
      <c r="R22" s="18"/>
      <c r="S22" s="52">
        <v>13490</v>
      </c>
      <c r="T22" s="18"/>
      <c r="U22" s="18"/>
      <c r="V22" s="18"/>
      <c r="W22" s="18">
        <f t="shared" si="16"/>
        <v>19494.55</v>
      </c>
      <c r="X22" s="18">
        <f t="shared" si="17"/>
        <v>3898.91</v>
      </c>
      <c r="Y22" s="18">
        <f t="shared" si="18"/>
        <v>23393.46</v>
      </c>
      <c r="Z22" s="18">
        <f t="shared" si="12"/>
        <v>28072.15</v>
      </c>
      <c r="AB22" s="122">
        <v>1.1000000000000001</v>
      </c>
      <c r="AD22" s="127">
        <f t="shared" si="13"/>
        <v>0.45654977871637348</v>
      </c>
    </row>
    <row r="23" spans="1:30" ht="25.5" x14ac:dyDescent="0.2">
      <c r="A23" s="6">
        <v>22</v>
      </c>
      <c r="B23" s="7" t="s">
        <v>85</v>
      </c>
      <c r="C23" s="8" t="s">
        <v>27</v>
      </c>
      <c r="D23" s="12">
        <v>9</v>
      </c>
      <c r="E23" s="10">
        <v>21487.599999999999</v>
      </c>
      <c r="F23" s="10">
        <f t="shared" si="1"/>
        <v>25785.119999999999</v>
      </c>
      <c r="G23" s="10">
        <f t="shared" si="2"/>
        <v>193388.4</v>
      </c>
      <c r="H23" s="10">
        <f t="shared" si="3"/>
        <v>232066.08</v>
      </c>
      <c r="I23" s="34"/>
      <c r="J23" s="34">
        <v>24391.5</v>
      </c>
      <c r="L23" s="122">
        <f t="shared" si="4"/>
        <v>5.12</v>
      </c>
      <c r="M23" s="18">
        <f t="shared" si="5"/>
        <v>1397.09</v>
      </c>
      <c r="N23" s="18">
        <f t="shared" si="6"/>
        <v>437.29</v>
      </c>
      <c r="O23" s="18">
        <f t="shared" si="14"/>
        <v>3226.72</v>
      </c>
      <c r="P23" s="18">
        <f t="shared" si="15"/>
        <v>2022.57</v>
      </c>
      <c r="Q23" s="18"/>
      <c r="R23" s="18"/>
      <c r="S23" s="52">
        <v>9960</v>
      </c>
      <c r="T23" s="18"/>
      <c r="U23" s="18"/>
      <c r="V23" s="18"/>
      <c r="W23" s="18">
        <f t="shared" si="16"/>
        <v>17043.669999999998</v>
      </c>
      <c r="X23" s="18">
        <f t="shared" si="17"/>
        <v>3408.73</v>
      </c>
      <c r="Y23" s="18">
        <f t="shared" si="18"/>
        <v>20452.399999999998</v>
      </c>
      <c r="Z23" s="18">
        <f t="shared" si="12"/>
        <v>220885.92</v>
      </c>
      <c r="AB23" s="122">
        <v>1.3</v>
      </c>
      <c r="AD23" s="127">
        <f t="shared" si="13"/>
        <v>0.95182337720359644</v>
      </c>
    </row>
    <row r="24" spans="1:30" ht="25.5" x14ac:dyDescent="0.2">
      <c r="A24" s="6">
        <v>23</v>
      </c>
      <c r="B24" s="7" t="s">
        <v>81</v>
      </c>
      <c r="C24" s="8" t="s">
        <v>28</v>
      </c>
      <c r="D24" s="12">
        <v>8</v>
      </c>
      <c r="E24" s="10">
        <v>38842.980000000003</v>
      </c>
      <c r="F24" s="10">
        <f t="shared" si="1"/>
        <v>46611.58</v>
      </c>
      <c r="G24" s="10">
        <f t="shared" si="2"/>
        <v>310743.84000000003</v>
      </c>
      <c r="H24" s="10">
        <f t="shared" si="3"/>
        <v>372892.60800000001</v>
      </c>
      <c r="I24" s="34"/>
      <c r="J24" s="36"/>
      <c r="L24" s="122">
        <f t="shared" si="4"/>
        <v>6.31</v>
      </c>
      <c r="M24" s="18">
        <f t="shared" si="5"/>
        <v>1721.81</v>
      </c>
      <c r="N24" s="18">
        <f t="shared" si="6"/>
        <v>538.92999999999995</v>
      </c>
      <c r="O24" s="18">
        <f t="shared" si="14"/>
        <v>3976.69</v>
      </c>
      <c r="P24" s="18">
        <f t="shared" si="15"/>
        <v>2492.66</v>
      </c>
      <c r="Q24" s="18"/>
      <c r="R24" s="18"/>
      <c r="S24" s="52">
        <v>12135</v>
      </c>
      <c r="T24" s="18"/>
      <c r="U24" s="18"/>
      <c r="V24" s="18"/>
      <c r="W24" s="18">
        <f t="shared" si="16"/>
        <v>20865.09</v>
      </c>
      <c r="X24" s="18">
        <f t="shared" si="17"/>
        <v>4173.0200000000004</v>
      </c>
      <c r="Y24" s="18">
        <f t="shared" si="18"/>
        <v>25038.11</v>
      </c>
      <c r="Z24" s="18">
        <f t="shared" si="12"/>
        <v>240365.86</v>
      </c>
      <c r="AB24" s="122">
        <v>1.6</v>
      </c>
      <c r="AD24" s="127">
        <f t="shared" si="13"/>
        <v>0.64459807151768478</v>
      </c>
    </row>
    <row r="25" spans="1:30" x14ac:dyDescent="0.2">
      <c r="A25" s="6">
        <v>24</v>
      </c>
      <c r="B25" s="13" t="s">
        <v>89</v>
      </c>
      <c r="C25" s="14" t="s">
        <v>29</v>
      </c>
      <c r="D25" s="15">
        <v>2</v>
      </c>
      <c r="E25" s="16">
        <v>65289.26</v>
      </c>
      <c r="F25" s="10">
        <f t="shared" si="1"/>
        <v>78347.11</v>
      </c>
      <c r="G25" s="10">
        <f t="shared" si="2"/>
        <v>130578.52</v>
      </c>
      <c r="H25" s="10">
        <f t="shared" si="3"/>
        <v>156694.22399999999</v>
      </c>
      <c r="I25" s="34"/>
      <c r="J25" s="36"/>
      <c r="L25" s="122">
        <f t="shared" si="4"/>
        <v>9.06</v>
      </c>
      <c r="M25" s="18">
        <f t="shared" si="5"/>
        <v>2472.1999999999998</v>
      </c>
      <c r="N25" s="18">
        <f t="shared" si="6"/>
        <v>773.8</v>
      </c>
      <c r="O25" s="18">
        <f t="shared" si="14"/>
        <v>5709.79</v>
      </c>
      <c r="P25" s="18">
        <f t="shared" si="15"/>
        <v>3579</v>
      </c>
      <c r="Q25" s="18"/>
      <c r="R25" s="18"/>
      <c r="S25" s="52">
        <v>25636</v>
      </c>
      <c r="T25" s="18"/>
      <c r="U25" s="18"/>
      <c r="V25" s="18"/>
      <c r="W25" s="18">
        <f t="shared" si="16"/>
        <v>38170.79</v>
      </c>
      <c r="X25" s="18">
        <f t="shared" si="17"/>
        <v>7634.16</v>
      </c>
      <c r="Y25" s="18">
        <f t="shared" si="18"/>
        <v>45804.95</v>
      </c>
      <c r="Z25" s="18">
        <f t="shared" si="12"/>
        <v>109931.88</v>
      </c>
      <c r="AB25" s="122">
        <v>2.2999999999999998</v>
      </c>
      <c r="AD25" s="127">
        <f t="shared" si="13"/>
        <v>0.70156944649089292</v>
      </c>
    </row>
    <row r="26" spans="1:30" ht="25.5" x14ac:dyDescent="0.2">
      <c r="A26" s="6">
        <v>25</v>
      </c>
      <c r="B26" s="7" t="s">
        <v>102</v>
      </c>
      <c r="C26" s="8" t="s">
        <v>113</v>
      </c>
      <c r="D26" s="12">
        <v>2</v>
      </c>
      <c r="E26" s="10">
        <v>64462.81</v>
      </c>
      <c r="F26" s="10">
        <f t="shared" si="1"/>
        <v>77355.37</v>
      </c>
      <c r="G26" s="10">
        <f t="shared" si="2"/>
        <v>128925.62</v>
      </c>
      <c r="H26" s="10">
        <f t="shared" si="3"/>
        <v>154710.74399999998</v>
      </c>
      <c r="I26" s="34"/>
      <c r="J26" s="34">
        <v>78750</v>
      </c>
      <c r="L26" s="122">
        <f t="shared" si="4"/>
        <v>7.88</v>
      </c>
      <c r="M26" s="18">
        <f t="shared" si="5"/>
        <v>2150.2199999999998</v>
      </c>
      <c r="N26" s="18">
        <f t="shared" si="6"/>
        <v>673.02</v>
      </c>
      <c r="O26" s="18">
        <f t="shared" si="14"/>
        <v>4966.1499999999996</v>
      </c>
      <c r="P26" s="18">
        <f t="shared" si="15"/>
        <v>3112.87</v>
      </c>
      <c r="Q26" s="18"/>
      <c r="R26" s="18"/>
      <c r="S26" s="52">
        <v>35719</v>
      </c>
      <c r="T26" s="18"/>
      <c r="U26" s="18"/>
      <c r="V26" s="18"/>
      <c r="W26" s="18">
        <f t="shared" si="16"/>
        <v>46621.259999999995</v>
      </c>
      <c r="X26" s="18">
        <f t="shared" si="17"/>
        <v>9324.25</v>
      </c>
      <c r="Y26" s="18">
        <f t="shared" si="18"/>
        <v>55945.509999999995</v>
      </c>
      <c r="Z26" s="18">
        <f t="shared" si="12"/>
        <v>134269.22</v>
      </c>
      <c r="AB26" s="122">
        <v>2</v>
      </c>
      <c r="AD26" s="127">
        <f t="shared" si="13"/>
        <v>0.86787265401554781</v>
      </c>
    </row>
    <row r="27" spans="1:30" ht="25.5" x14ac:dyDescent="0.2">
      <c r="A27" s="6">
        <v>26</v>
      </c>
      <c r="B27" s="7" t="s">
        <v>101</v>
      </c>
      <c r="C27" s="8" t="s">
        <v>30</v>
      </c>
      <c r="D27" s="12">
        <v>1</v>
      </c>
      <c r="E27" s="10">
        <v>57024.79</v>
      </c>
      <c r="F27" s="10">
        <f t="shared" si="1"/>
        <v>68429.75</v>
      </c>
      <c r="G27" s="10">
        <f t="shared" si="2"/>
        <v>57024.79</v>
      </c>
      <c r="H27" s="10">
        <f t="shared" si="3"/>
        <v>68429.747999999992</v>
      </c>
      <c r="I27" s="34"/>
      <c r="J27" s="34">
        <v>45150</v>
      </c>
      <c r="L27" s="122">
        <f t="shared" si="4"/>
        <v>5.12</v>
      </c>
      <c r="M27" s="18">
        <f t="shared" si="5"/>
        <v>1397.09</v>
      </c>
      <c r="N27" s="18">
        <f t="shared" si="6"/>
        <v>437.29</v>
      </c>
      <c r="O27" s="18">
        <f t="shared" si="14"/>
        <v>3226.72</v>
      </c>
      <c r="P27" s="18">
        <f t="shared" si="15"/>
        <v>2022.57</v>
      </c>
      <c r="Q27" s="18"/>
      <c r="R27" s="18"/>
      <c r="S27" s="52">
        <v>18641</v>
      </c>
      <c r="T27" s="18"/>
      <c r="U27" s="18"/>
      <c r="V27" s="18"/>
      <c r="W27" s="18">
        <f t="shared" si="16"/>
        <v>25724.67</v>
      </c>
      <c r="X27" s="18">
        <f t="shared" si="17"/>
        <v>5144.93</v>
      </c>
      <c r="Y27" s="18">
        <f t="shared" si="18"/>
        <v>30869.599999999999</v>
      </c>
      <c r="Z27" s="18">
        <f t="shared" si="12"/>
        <v>37043.519999999997</v>
      </c>
      <c r="AB27" s="122">
        <v>1.3</v>
      </c>
      <c r="AD27" s="127">
        <f t="shared" si="13"/>
        <v>0.54133649593448741</v>
      </c>
    </row>
    <row r="28" spans="1:30" ht="25.5" x14ac:dyDescent="0.2">
      <c r="A28" s="6">
        <v>27</v>
      </c>
      <c r="B28" s="7" t="s">
        <v>100</v>
      </c>
      <c r="C28" s="8" t="s">
        <v>31</v>
      </c>
      <c r="D28" s="12">
        <v>6</v>
      </c>
      <c r="E28" s="10">
        <v>71074.38</v>
      </c>
      <c r="F28" s="10">
        <f t="shared" si="1"/>
        <v>85289.26</v>
      </c>
      <c r="G28" s="10">
        <f t="shared" si="2"/>
        <v>426446.28</v>
      </c>
      <c r="H28" s="10">
        <f t="shared" si="3"/>
        <v>511735.53600000002</v>
      </c>
      <c r="I28" s="34"/>
      <c r="J28" s="37"/>
      <c r="L28" s="122">
        <f t="shared" si="4"/>
        <v>6.31</v>
      </c>
      <c r="M28" s="18">
        <f t="shared" si="5"/>
        <v>1721.81</v>
      </c>
      <c r="N28" s="18">
        <f t="shared" si="6"/>
        <v>538.92999999999995</v>
      </c>
      <c r="O28" s="18">
        <f t="shared" si="14"/>
        <v>3976.69</v>
      </c>
      <c r="P28" s="18">
        <f t="shared" si="15"/>
        <v>2492.66</v>
      </c>
      <c r="Q28" s="18"/>
      <c r="R28" s="18"/>
      <c r="S28" s="52">
        <v>40737</v>
      </c>
      <c r="T28" s="18"/>
      <c r="U28" s="18"/>
      <c r="V28" s="18"/>
      <c r="W28" s="18">
        <f t="shared" si="16"/>
        <v>49467.09</v>
      </c>
      <c r="X28" s="18">
        <f t="shared" si="17"/>
        <v>9893.42</v>
      </c>
      <c r="Y28" s="18">
        <f t="shared" si="18"/>
        <v>59360.509999999995</v>
      </c>
      <c r="Z28" s="18">
        <f t="shared" si="12"/>
        <v>427395.67</v>
      </c>
      <c r="AB28" s="122">
        <v>1.6</v>
      </c>
      <c r="AD28" s="127">
        <f t="shared" si="13"/>
        <v>0.83518857287253145</v>
      </c>
    </row>
    <row r="29" spans="1:30" ht="25.5" x14ac:dyDescent="0.2">
      <c r="A29" s="6">
        <v>28</v>
      </c>
      <c r="B29" s="7" t="s">
        <v>84</v>
      </c>
      <c r="C29" s="8" t="s">
        <v>32</v>
      </c>
      <c r="D29" s="12">
        <v>2</v>
      </c>
      <c r="E29" s="10">
        <v>31404.959999999999</v>
      </c>
      <c r="F29" s="10">
        <f t="shared" si="1"/>
        <v>37685.949999999997</v>
      </c>
      <c r="G29" s="10">
        <f t="shared" si="2"/>
        <v>62809.919999999998</v>
      </c>
      <c r="H29" s="10">
        <f t="shared" si="3"/>
        <v>75371.903999999995</v>
      </c>
      <c r="I29" s="34"/>
      <c r="J29" s="51">
        <v>30450</v>
      </c>
      <c r="L29" s="122">
        <f t="shared" si="4"/>
        <v>6.31</v>
      </c>
      <c r="M29" s="18">
        <f t="shared" si="5"/>
        <v>1721.81</v>
      </c>
      <c r="N29" s="18">
        <f t="shared" si="6"/>
        <v>538.92999999999995</v>
      </c>
      <c r="O29" s="18">
        <f t="shared" si="14"/>
        <v>3976.69</v>
      </c>
      <c r="P29" s="18">
        <f t="shared" si="15"/>
        <v>2492.66</v>
      </c>
      <c r="Q29" s="18"/>
      <c r="R29" s="18"/>
      <c r="S29" s="52">
        <v>12316</v>
      </c>
      <c r="T29" s="18"/>
      <c r="U29" s="18"/>
      <c r="V29" s="18"/>
      <c r="W29" s="18">
        <f t="shared" si="16"/>
        <v>21046.09</v>
      </c>
      <c r="X29" s="18">
        <f t="shared" si="17"/>
        <v>4209.22</v>
      </c>
      <c r="Y29" s="18">
        <f t="shared" si="18"/>
        <v>25255.31</v>
      </c>
      <c r="Z29" s="18">
        <f t="shared" si="12"/>
        <v>60612.74</v>
      </c>
      <c r="AB29" s="122">
        <v>1.6</v>
      </c>
      <c r="AD29" s="127">
        <f t="shared" si="13"/>
        <v>0.80418220561338083</v>
      </c>
    </row>
    <row r="30" spans="1:30" ht="25.5" x14ac:dyDescent="0.2">
      <c r="A30" s="6">
        <v>29</v>
      </c>
      <c r="B30" s="7" t="s">
        <v>83</v>
      </c>
      <c r="C30" s="8" t="s">
        <v>33</v>
      </c>
      <c r="D30" s="12">
        <v>7</v>
      </c>
      <c r="E30" s="10">
        <v>62454.55</v>
      </c>
      <c r="F30" s="10">
        <f t="shared" si="1"/>
        <v>74945.460000000006</v>
      </c>
      <c r="G30" s="10">
        <f t="shared" si="2"/>
        <v>437181.85</v>
      </c>
      <c r="H30" s="10">
        <f t="shared" si="3"/>
        <v>524618.22</v>
      </c>
      <c r="I30" s="34"/>
      <c r="J30" s="36"/>
      <c r="L30" s="122">
        <f t="shared" si="4"/>
        <v>6.31</v>
      </c>
      <c r="M30" s="18">
        <f t="shared" si="5"/>
        <v>1721.81</v>
      </c>
      <c r="N30" s="18">
        <f t="shared" si="6"/>
        <v>538.92999999999995</v>
      </c>
      <c r="O30" s="18">
        <f t="shared" si="14"/>
        <v>3976.69</v>
      </c>
      <c r="P30" s="18">
        <f t="shared" si="15"/>
        <v>2492.66</v>
      </c>
      <c r="Q30" s="18"/>
      <c r="R30" s="18"/>
      <c r="S30" s="52">
        <v>28915</v>
      </c>
      <c r="T30" s="18"/>
      <c r="U30" s="18"/>
      <c r="V30" s="52"/>
      <c r="W30" s="18">
        <f t="shared" si="16"/>
        <v>37645.089999999997</v>
      </c>
      <c r="X30" s="18">
        <f t="shared" si="17"/>
        <v>7529.02</v>
      </c>
      <c r="Y30" s="18">
        <f t="shared" si="18"/>
        <v>45174.11</v>
      </c>
      <c r="Z30" s="18">
        <f t="shared" si="12"/>
        <v>379462.52</v>
      </c>
      <c r="AB30" s="122">
        <v>1.6</v>
      </c>
      <c r="AD30" s="127">
        <f t="shared" si="13"/>
        <v>0.72331175230627709</v>
      </c>
    </row>
    <row r="31" spans="1:30" s="124" customFormat="1" x14ac:dyDescent="0.2">
      <c r="A31" s="117">
        <v>30</v>
      </c>
      <c r="B31" s="118" t="s">
        <v>89</v>
      </c>
      <c r="C31" s="119" t="s">
        <v>29</v>
      </c>
      <c r="D31" s="120">
        <v>0</v>
      </c>
      <c r="E31" s="121">
        <v>65289.26</v>
      </c>
      <c r="F31" s="121">
        <f t="shared" si="1"/>
        <v>78347.11</v>
      </c>
      <c r="G31" s="121">
        <f t="shared" si="2"/>
        <v>0</v>
      </c>
      <c r="H31" s="121">
        <f t="shared" si="3"/>
        <v>0</v>
      </c>
      <c r="I31" s="123"/>
      <c r="J31" s="123"/>
      <c r="L31" s="125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B31" s="125"/>
      <c r="AD31" s="127">
        <f t="shared" si="13"/>
        <v>0</v>
      </c>
    </row>
    <row r="32" spans="1:30" ht="25.5" x14ac:dyDescent="0.2">
      <c r="A32" s="6">
        <v>31</v>
      </c>
      <c r="B32" s="7" t="s">
        <v>82</v>
      </c>
      <c r="C32" s="8" t="s">
        <v>34</v>
      </c>
      <c r="D32" s="12">
        <v>1</v>
      </c>
      <c r="E32" s="10">
        <v>142148.76</v>
      </c>
      <c r="F32" s="10">
        <f t="shared" si="1"/>
        <v>170578.51</v>
      </c>
      <c r="G32" s="10">
        <f t="shared" si="2"/>
        <v>142148.76</v>
      </c>
      <c r="H32" s="10">
        <f t="shared" si="3"/>
        <v>170578.51200000002</v>
      </c>
      <c r="I32" s="34"/>
      <c r="J32" s="36"/>
      <c r="L32" s="122">
        <f t="shared" si="4"/>
        <v>9.06</v>
      </c>
      <c r="M32" s="18">
        <f t="shared" si="5"/>
        <v>2472.1999999999998</v>
      </c>
      <c r="N32" s="18">
        <f t="shared" si="6"/>
        <v>773.8</v>
      </c>
      <c r="O32" s="18">
        <f t="shared" si="14"/>
        <v>5709.79</v>
      </c>
      <c r="P32" s="18">
        <f t="shared" si="15"/>
        <v>3579</v>
      </c>
      <c r="Q32" s="18"/>
      <c r="R32" s="18"/>
      <c r="S32" s="52">
        <v>46302</v>
      </c>
      <c r="T32" s="18"/>
      <c r="U32" s="18"/>
      <c r="V32" s="18"/>
      <c r="W32" s="18">
        <f t="shared" si="16"/>
        <v>58836.79</v>
      </c>
      <c r="X32" s="18">
        <f t="shared" si="17"/>
        <v>11767.36</v>
      </c>
      <c r="Y32" s="18">
        <f t="shared" si="18"/>
        <v>70604.149999999994</v>
      </c>
      <c r="Z32" s="18">
        <f t="shared" si="12"/>
        <v>84724.98</v>
      </c>
      <c r="AB32" s="122">
        <v>2.2999999999999998</v>
      </c>
      <c r="AD32" s="127">
        <f t="shared" si="13"/>
        <v>0.49669198662021385</v>
      </c>
    </row>
    <row r="33" spans="1:30" ht="25.5" x14ac:dyDescent="0.2">
      <c r="A33" s="24">
        <v>32</v>
      </c>
      <c r="B33" s="25" t="s">
        <v>68</v>
      </c>
      <c r="C33" s="26" t="s">
        <v>35</v>
      </c>
      <c r="D33" s="27">
        <v>56</v>
      </c>
      <c r="E33" s="28">
        <v>1115.7</v>
      </c>
      <c r="F33" s="28">
        <f t="shared" si="1"/>
        <v>1338.84</v>
      </c>
      <c r="G33" s="28">
        <f t="shared" si="2"/>
        <v>62479.199999999997</v>
      </c>
      <c r="H33" s="28">
        <f t="shared" si="3"/>
        <v>74975.040000000008</v>
      </c>
      <c r="I33" s="35"/>
      <c r="J33" s="36"/>
      <c r="L33" s="122">
        <f t="shared" si="4"/>
        <v>6.7</v>
      </c>
      <c r="M33" s="18">
        <f t="shared" si="5"/>
        <v>1828.23</v>
      </c>
      <c r="N33" s="18">
        <f t="shared" si="6"/>
        <v>572.24</v>
      </c>
      <c r="O33" s="18">
        <f t="shared" si="14"/>
        <v>4222.4799999999996</v>
      </c>
      <c r="P33" s="18">
        <f t="shared" si="15"/>
        <v>2646.73</v>
      </c>
      <c r="Q33" s="68">
        <f>мат!D10/56+мат!D19/56*0.87</f>
        <v>375.83167142857144</v>
      </c>
      <c r="R33" s="93"/>
      <c r="S33" s="18"/>
      <c r="T33" s="18"/>
      <c r="U33" s="18"/>
      <c r="V33" s="18"/>
      <c r="W33" s="18">
        <f t="shared" si="16"/>
        <v>9645.5116714285723</v>
      </c>
      <c r="X33" s="18">
        <f t="shared" si="17"/>
        <v>1929.1</v>
      </c>
      <c r="Y33" s="18">
        <f t="shared" si="18"/>
        <v>11574.611671428573</v>
      </c>
      <c r="Z33" s="18">
        <f t="shared" si="12"/>
        <v>777813.9</v>
      </c>
      <c r="AB33" s="122">
        <v>1.7</v>
      </c>
      <c r="AD33" s="127">
        <f t="shared" si="13"/>
        <v>10.374304626179594</v>
      </c>
    </row>
    <row r="34" spans="1:30" ht="25.5" x14ac:dyDescent="0.2">
      <c r="A34" s="24">
        <v>33</v>
      </c>
      <c r="B34" s="25" t="s">
        <v>80</v>
      </c>
      <c r="C34" s="26" t="s">
        <v>36</v>
      </c>
      <c r="D34" s="27">
        <v>16</v>
      </c>
      <c r="E34" s="28">
        <v>2008.26</v>
      </c>
      <c r="F34" s="28">
        <f t="shared" si="1"/>
        <v>2409.91</v>
      </c>
      <c r="G34" s="28">
        <f t="shared" si="2"/>
        <v>32132.16</v>
      </c>
      <c r="H34" s="28">
        <f t="shared" si="3"/>
        <v>38558.591999999997</v>
      </c>
      <c r="I34" s="35"/>
      <c r="J34" s="36"/>
      <c r="L34" s="122">
        <f t="shared" si="4"/>
        <v>7.09</v>
      </c>
      <c r="M34" s="18">
        <f t="shared" si="5"/>
        <v>1934.65</v>
      </c>
      <c r="N34" s="18">
        <f t="shared" si="6"/>
        <v>605.54999999999995</v>
      </c>
      <c r="O34" s="18">
        <f t="shared" si="14"/>
        <v>4468.2700000000004</v>
      </c>
      <c r="P34" s="18">
        <f t="shared" si="15"/>
        <v>2800.79</v>
      </c>
      <c r="Q34" s="73">
        <f>мат!D11/16+мат!D20/16*0.625</f>
        <v>733.09312499999999</v>
      </c>
      <c r="R34" s="104"/>
      <c r="S34" s="18"/>
      <c r="T34" s="18"/>
      <c r="U34" s="18"/>
      <c r="V34" s="18"/>
      <c r="W34" s="18">
        <f t="shared" si="16"/>
        <v>10542.353125</v>
      </c>
      <c r="X34" s="18">
        <f t="shared" si="17"/>
        <v>2108.4699999999998</v>
      </c>
      <c r="Y34" s="18">
        <f t="shared" si="18"/>
        <v>12650.823124999999</v>
      </c>
      <c r="Z34" s="18">
        <f t="shared" si="12"/>
        <v>242895.8</v>
      </c>
      <c r="AB34" s="122">
        <v>1.8</v>
      </c>
      <c r="AD34" s="127">
        <f t="shared" si="13"/>
        <v>6.2993950608984886</v>
      </c>
    </row>
    <row r="35" spans="1:30" ht="25.5" x14ac:dyDescent="0.2">
      <c r="A35" s="24">
        <v>34</v>
      </c>
      <c r="B35" s="25" t="s">
        <v>79</v>
      </c>
      <c r="C35" s="26" t="s">
        <v>37</v>
      </c>
      <c r="D35" s="27">
        <v>12</v>
      </c>
      <c r="E35" s="28">
        <v>1198.3499999999999</v>
      </c>
      <c r="F35" s="28">
        <f t="shared" si="1"/>
        <v>1438.02</v>
      </c>
      <c r="G35" s="28">
        <f t="shared" si="2"/>
        <v>14380.2</v>
      </c>
      <c r="H35" s="28">
        <f t="shared" si="3"/>
        <v>17256.239999999998</v>
      </c>
      <c r="I35" s="35"/>
      <c r="J35" s="36"/>
      <c r="L35" s="122">
        <f t="shared" si="4"/>
        <v>4.22</v>
      </c>
      <c r="M35" s="18">
        <f t="shared" si="5"/>
        <v>1151.51</v>
      </c>
      <c r="N35" s="18">
        <f t="shared" si="6"/>
        <v>360.42</v>
      </c>
      <c r="O35" s="18">
        <f t="shared" si="14"/>
        <v>2659.53</v>
      </c>
      <c r="P35" s="18">
        <f t="shared" si="15"/>
        <v>1667.04</v>
      </c>
      <c r="Q35" s="78">
        <f>мат!D12/12</f>
        <v>494.33500000000004</v>
      </c>
      <c r="R35" s="18"/>
      <c r="S35" s="18"/>
      <c r="T35" s="18"/>
      <c r="U35" s="18"/>
      <c r="V35" s="18"/>
      <c r="W35" s="18">
        <f t="shared" si="16"/>
        <v>6332.835</v>
      </c>
      <c r="X35" s="18">
        <f t="shared" si="17"/>
        <v>1266.57</v>
      </c>
      <c r="Y35" s="18">
        <f t="shared" si="18"/>
        <v>7599.4049999999997</v>
      </c>
      <c r="Z35" s="18">
        <f t="shared" si="12"/>
        <v>109431.43</v>
      </c>
      <c r="AB35" s="122">
        <v>1.07</v>
      </c>
      <c r="AD35" s="127">
        <f t="shared" si="13"/>
        <v>6.3415571410689697</v>
      </c>
    </row>
    <row r="36" spans="1:30" s="124" customFormat="1" ht="25.5" x14ac:dyDescent="0.2">
      <c r="A36" s="117">
        <v>35</v>
      </c>
      <c r="B36" s="118" t="s">
        <v>76</v>
      </c>
      <c r="C36" s="119" t="s">
        <v>38</v>
      </c>
      <c r="D36" s="120">
        <v>4</v>
      </c>
      <c r="E36" s="121">
        <v>2297.52</v>
      </c>
      <c r="F36" s="121">
        <f t="shared" si="1"/>
        <v>2757.02</v>
      </c>
      <c r="G36" s="121">
        <f t="shared" si="2"/>
        <v>9190.08</v>
      </c>
      <c r="H36" s="121">
        <f t="shared" si="3"/>
        <v>11028.096</v>
      </c>
      <c r="I36" s="123"/>
      <c r="J36" s="123"/>
      <c r="L36" s="125"/>
      <c r="M36" s="126"/>
      <c r="N36" s="126"/>
      <c r="O36" s="126"/>
      <c r="P36" s="126"/>
      <c r="Q36" s="126">
        <f>мат!D25/4</f>
        <v>1090.8150000000001</v>
      </c>
      <c r="R36" s="126"/>
      <c r="S36" s="126"/>
      <c r="T36" s="126"/>
      <c r="U36" s="126"/>
      <c r="V36" s="126"/>
      <c r="W36" s="126"/>
      <c r="X36" s="126"/>
      <c r="Y36" s="126"/>
      <c r="Z36" s="126"/>
      <c r="AB36" s="125"/>
      <c r="AD36" s="127">
        <f t="shared" si="13"/>
        <v>0</v>
      </c>
    </row>
    <row r="37" spans="1:30" ht="25.5" x14ac:dyDescent="0.2">
      <c r="A37" s="24">
        <v>36</v>
      </c>
      <c r="B37" s="25" t="s">
        <v>76</v>
      </c>
      <c r="C37" s="26" t="s">
        <v>39</v>
      </c>
      <c r="D37" s="27">
        <v>8</v>
      </c>
      <c r="E37" s="28">
        <v>2272.73</v>
      </c>
      <c r="F37" s="28">
        <f t="shared" si="1"/>
        <v>2727.28</v>
      </c>
      <c r="G37" s="28">
        <f t="shared" si="2"/>
        <v>18181.84</v>
      </c>
      <c r="H37" s="28">
        <f t="shared" si="3"/>
        <v>21818.207999999999</v>
      </c>
      <c r="I37" s="35"/>
      <c r="J37" s="36"/>
      <c r="L37" s="122">
        <f t="shared" si="4"/>
        <v>4.7300000000000004</v>
      </c>
      <c r="M37" s="18">
        <f t="shared" si="5"/>
        <v>1290.68</v>
      </c>
      <c r="N37" s="18">
        <f t="shared" si="6"/>
        <v>403.98</v>
      </c>
      <c r="O37" s="18">
        <f t="shared" si="14"/>
        <v>2980.95</v>
      </c>
      <c r="P37" s="18">
        <f t="shared" si="15"/>
        <v>1868.52</v>
      </c>
      <c r="Q37" s="116">
        <f>мат!D24/8</f>
        <v>1396.2049999999999</v>
      </c>
      <c r="R37" s="18"/>
      <c r="S37" s="18"/>
      <c r="T37" s="18"/>
      <c r="U37" s="18"/>
      <c r="V37" s="18"/>
      <c r="W37" s="18">
        <f t="shared" si="16"/>
        <v>7940.3349999999991</v>
      </c>
      <c r="X37" s="18">
        <f t="shared" si="17"/>
        <v>1588.07</v>
      </c>
      <c r="Y37" s="18">
        <f t="shared" si="18"/>
        <v>9528.4049999999988</v>
      </c>
      <c r="Z37" s="18">
        <f t="shared" si="12"/>
        <v>91472.69</v>
      </c>
      <c r="AB37" s="122">
        <v>1.2</v>
      </c>
      <c r="AD37" s="127">
        <f t="shared" si="13"/>
        <v>4.1924931690081966</v>
      </c>
    </row>
    <row r="38" spans="1:30" ht="25.5" x14ac:dyDescent="0.2">
      <c r="A38" s="24">
        <v>37</v>
      </c>
      <c r="B38" s="25" t="s">
        <v>78</v>
      </c>
      <c r="C38" s="26" t="s">
        <v>40</v>
      </c>
      <c r="D38" s="27">
        <v>8</v>
      </c>
      <c r="E38" s="28">
        <v>1322.31</v>
      </c>
      <c r="F38" s="28">
        <f t="shared" si="1"/>
        <v>1586.77</v>
      </c>
      <c r="G38" s="28">
        <f t="shared" si="2"/>
        <v>10578.48</v>
      </c>
      <c r="H38" s="28">
        <f t="shared" si="3"/>
        <v>12694.175999999999</v>
      </c>
      <c r="I38" s="35"/>
      <c r="J38" s="36"/>
      <c r="L38" s="122">
        <f t="shared" si="4"/>
        <v>5.12</v>
      </c>
      <c r="M38" s="18">
        <f t="shared" si="5"/>
        <v>1397.09</v>
      </c>
      <c r="N38" s="18">
        <f t="shared" si="6"/>
        <v>437.29</v>
      </c>
      <c r="O38" s="18">
        <f t="shared" si="14"/>
        <v>3226.72</v>
      </c>
      <c r="P38" s="18">
        <f t="shared" si="15"/>
        <v>2022.57</v>
      </c>
      <c r="Q38" s="88">
        <f>ROUND(мат!D31/8,2)</f>
        <v>400.41</v>
      </c>
      <c r="R38" s="18"/>
      <c r="S38" s="18"/>
      <c r="T38" s="18"/>
      <c r="U38" s="18"/>
      <c r="V38" s="18"/>
      <c r="W38" s="18">
        <f t="shared" si="16"/>
        <v>7484.079999999999</v>
      </c>
      <c r="X38" s="18">
        <f t="shared" si="17"/>
        <v>1496.82</v>
      </c>
      <c r="Y38" s="18">
        <f t="shared" si="18"/>
        <v>8980.9</v>
      </c>
      <c r="Z38" s="18">
        <f t="shared" si="12"/>
        <v>86216.639999999999</v>
      </c>
      <c r="AB38" s="122">
        <v>1.3</v>
      </c>
      <c r="AD38" s="127">
        <f t="shared" si="13"/>
        <v>6.7918264249684261</v>
      </c>
    </row>
    <row r="39" spans="1:30" ht="25.5" x14ac:dyDescent="0.2">
      <c r="A39" s="24">
        <v>38</v>
      </c>
      <c r="B39" s="25" t="s">
        <v>76</v>
      </c>
      <c r="C39" s="26" t="s">
        <v>41</v>
      </c>
      <c r="D39" s="27">
        <v>4</v>
      </c>
      <c r="E39" s="28">
        <v>2148.7600000000002</v>
      </c>
      <c r="F39" s="28">
        <f t="shared" si="1"/>
        <v>2578.5100000000002</v>
      </c>
      <c r="G39" s="28">
        <f t="shared" si="2"/>
        <v>8595.0400000000009</v>
      </c>
      <c r="H39" s="28">
        <f t="shared" si="3"/>
        <v>10314.048000000001</v>
      </c>
      <c r="I39" s="35"/>
      <c r="J39" s="36"/>
      <c r="L39" s="122">
        <f t="shared" si="4"/>
        <v>3.94</v>
      </c>
      <c r="M39" s="18">
        <f t="shared" si="5"/>
        <v>1075.1099999999999</v>
      </c>
      <c r="N39" s="18">
        <f t="shared" si="6"/>
        <v>336.51</v>
      </c>
      <c r="O39" s="18">
        <f t="shared" si="14"/>
        <v>2483.0700000000002</v>
      </c>
      <c r="P39" s="18">
        <f t="shared" si="15"/>
        <v>1556.44</v>
      </c>
      <c r="Q39" s="93">
        <f>мат!D19/4*0.13</f>
        <v>102.48160000000001</v>
      </c>
      <c r="R39" s="93"/>
      <c r="S39" s="18"/>
      <c r="T39" s="18"/>
      <c r="U39" s="18"/>
      <c r="V39" s="18"/>
      <c r="W39" s="18">
        <f t="shared" si="16"/>
        <v>5553.6116000000002</v>
      </c>
      <c r="X39" s="18">
        <f t="shared" si="17"/>
        <v>1110.72</v>
      </c>
      <c r="Y39" s="18">
        <f t="shared" si="18"/>
        <v>6664.3316000000004</v>
      </c>
      <c r="Z39" s="18">
        <f t="shared" si="12"/>
        <v>31988.79</v>
      </c>
      <c r="AB39" s="122">
        <v>1</v>
      </c>
      <c r="AD39" s="127">
        <f t="shared" si="13"/>
        <v>3.1014778756119807</v>
      </c>
    </row>
    <row r="40" spans="1:30" ht="25.5" x14ac:dyDescent="0.2">
      <c r="A40" s="24">
        <v>39</v>
      </c>
      <c r="B40" s="25" t="s">
        <v>78</v>
      </c>
      <c r="C40" s="26" t="s">
        <v>42</v>
      </c>
      <c r="D40" s="27">
        <v>16</v>
      </c>
      <c r="E40" s="28">
        <v>933.88</v>
      </c>
      <c r="F40" s="28">
        <f t="shared" si="1"/>
        <v>1120.6600000000001</v>
      </c>
      <c r="G40" s="28">
        <f t="shared" si="2"/>
        <v>14942.08</v>
      </c>
      <c r="H40" s="28">
        <f t="shared" si="3"/>
        <v>17930.495999999999</v>
      </c>
      <c r="I40" s="35"/>
      <c r="J40" s="36"/>
      <c r="L40" s="122">
        <f t="shared" si="4"/>
        <v>3.55</v>
      </c>
      <c r="M40" s="18">
        <f t="shared" si="5"/>
        <v>968.69</v>
      </c>
      <c r="N40" s="18">
        <f t="shared" si="6"/>
        <v>303.2</v>
      </c>
      <c r="O40" s="18">
        <f t="shared" si="14"/>
        <v>2237.29</v>
      </c>
      <c r="P40" s="18">
        <f t="shared" si="15"/>
        <v>1402.37</v>
      </c>
      <c r="Q40" s="99">
        <f>0.39*мат!D28/16</f>
        <v>112.6593</v>
      </c>
      <c r="R40" s="18"/>
      <c r="S40" s="18"/>
      <c r="T40" s="18"/>
      <c r="U40" s="18"/>
      <c r="V40" s="18"/>
      <c r="W40" s="18">
        <f t="shared" si="16"/>
        <v>5024.2093000000004</v>
      </c>
      <c r="X40" s="18">
        <f t="shared" si="17"/>
        <v>1004.84</v>
      </c>
      <c r="Y40" s="18">
        <f t="shared" si="18"/>
        <v>6029.0493000000006</v>
      </c>
      <c r="Z40" s="18">
        <f t="shared" si="12"/>
        <v>115757.75</v>
      </c>
      <c r="AB40" s="122">
        <v>0.9</v>
      </c>
      <c r="AD40" s="127">
        <f t="shared" si="13"/>
        <v>6.4559143573050077</v>
      </c>
    </row>
    <row r="41" spans="1:30" s="124" customFormat="1" ht="25.5" x14ac:dyDescent="0.2">
      <c r="A41" s="117">
        <v>40</v>
      </c>
      <c r="B41" s="118" t="s">
        <v>78</v>
      </c>
      <c r="C41" s="119" t="s">
        <v>43</v>
      </c>
      <c r="D41" s="120">
        <v>4</v>
      </c>
      <c r="E41" s="121">
        <v>1446.28</v>
      </c>
      <c r="F41" s="121">
        <f t="shared" si="1"/>
        <v>1735.54</v>
      </c>
      <c r="G41" s="121">
        <f t="shared" si="2"/>
        <v>5785.12</v>
      </c>
      <c r="H41" s="121">
        <f t="shared" si="3"/>
        <v>6942.1439999999993</v>
      </c>
      <c r="I41" s="123"/>
      <c r="J41" s="123"/>
      <c r="L41" s="125"/>
      <c r="M41" s="126"/>
      <c r="N41" s="126"/>
      <c r="O41" s="126"/>
      <c r="P41" s="126"/>
      <c r="Q41" s="126">
        <f>мат!D20/4*0.375</f>
        <v>649.95749999999998</v>
      </c>
      <c r="R41" s="126"/>
      <c r="S41" s="126"/>
      <c r="T41" s="126"/>
      <c r="U41" s="126"/>
      <c r="V41" s="126"/>
      <c r="W41" s="126"/>
      <c r="X41" s="126"/>
      <c r="Y41" s="126"/>
      <c r="Z41" s="126"/>
      <c r="AB41" s="125"/>
      <c r="AD41" s="127">
        <f t="shared" si="13"/>
        <v>0</v>
      </c>
    </row>
    <row r="42" spans="1:30" ht="25.5" x14ac:dyDescent="0.2">
      <c r="A42" s="24">
        <v>41</v>
      </c>
      <c r="B42" s="25" t="s">
        <v>76</v>
      </c>
      <c r="C42" s="26" t="s">
        <v>44</v>
      </c>
      <c r="D42" s="27">
        <v>20</v>
      </c>
      <c r="E42" s="28">
        <v>1735.54</v>
      </c>
      <c r="F42" s="28">
        <f t="shared" si="1"/>
        <v>2082.65</v>
      </c>
      <c r="G42" s="28">
        <f t="shared" si="2"/>
        <v>34710.800000000003</v>
      </c>
      <c r="H42" s="28">
        <f t="shared" si="3"/>
        <v>41652.959999999999</v>
      </c>
      <c r="I42" s="35"/>
      <c r="J42" s="36"/>
      <c r="L42" s="122">
        <f t="shared" si="4"/>
        <v>3.94</v>
      </c>
      <c r="M42" s="18">
        <f t="shared" si="5"/>
        <v>1075.1099999999999</v>
      </c>
      <c r="N42" s="18">
        <f t="shared" si="6"/>
        <v>336.51</v>
      </c>
      <c r="O42" s="18">
        <f t="shared" si="14"/>
        <v>2483.0700000000002</v>
      </c>
      <c r="P42" s="18">
        <f t="shared" si="15"/>
        <v>1556.44</v>
      </c>
      <c r="Q42" s="109">
        <f>мат!D21/20</f>
        <v>635.51400000000001</v>
      </c>
      <c r="R42" s="18"/>
      <c r="S42" s="18"/>
      <c r="T42" s="18"/>
      <c r="U42" s="18"/>
      <c r="V42" s="18"/>
      <c r="W42" s="18">
        <f t="shared" si="16"/>
        <v>6086.6440000000002</v>
      </c>
      <c r="X42" s="18">
        <f t="shared" si="17"/>
        <v>1217.33</v>
      </c>
      <c r="Y42" s="18">
        <f t="shared" si="18"/>
        <v>7303.9740000000002</v>
      </c>
      <c r="Z42" s="18">
        <f t="shared" si="12"/>
        <v>175295.38</v>
      </c>
      <c r="AB42" s="122">
        <v>1</v>
      </c>
      <c r="AD42" s="127">
        <f t="shared" si="13"/>
        <v>4.2084734434239488</v>
      </c>
    </row>
    <row r="43" spans="1:30" ht="25.5" x14ac:dyDescent="0.2">
      <c r="A43" s="24">
        <v>42</v>
      </c>
      <c r="B43" s="25" t="s">
        <v>76</v>
      </c>
      <c r="C43" s="26" t="s">
        <v>45</v>
      </c>
      <c r="D43" s="27">
        <v>20</v>
      </c>
      <c r="E43" s="28">
        <v>2107.44</v>
      </c>
      <c r="F43" s="28">
        <f t="shared" si="1"/>
        <v>2528.9299999999998</v>
      </c>
      <c r="G43" s="28">
        <f t="shared" si="2"/>
        <v>42148.800000000003</v>
      </c>
      <c r="H43" s="28">
        <f t="shared" si="3"/>
        <v>50578.560000000005</v>
      </c>
      <c r="I43" s="35"/>
      <c r="J43" s="36"/>
      <c r="L43" s="122">
        <f t="shared" si="4"/>
        <v>4.34</v>
      </c>
      <c r="M43" s="18">
        <f t="shared" si="5"/>
        <v>1184.26</v>
      </c>
      <c r="N43" s="18">
        <f t="shared" si="6"/>
        <v>370.67</v>
      </c>
      <c r="O43" s="18">
        <f t="shared" si="14"/>
        <v>2735.17</v>
      </c>
      <c r="P43" s="18">
        <f t="shared" si="15"/>
        <v>1714.45</v>
      </c>
      <c r="Q43" s="83">
        <f>мат!D23/20</f>
        <v>416.49300000000005</v>
      </c>
      <c r="R43" s="18"/>
      <c r="S43" s="18"/>
      <c r="T43" s="18"/>
      <c r="U43" s="18"/>
      <c r="V43" s="18"/>
      <c r="W43" s="18">
        <f t="shared" si="16"/>
        <v>6421.0430000000006</v>
      </c>
      <c r="X43" s="18">
        <f t="shared" si="17"/>
        <v>1284.21</v>
      </c>
      <c r="Y43" s="18">
        <f t="shared" si="18"/>
        <v>7705.2530000000006</v>
      </c>
      <c r="Z43" s="18">
        <f t="shared" si="12"/>
        <v>184926.07</v>
      </c>
      <c r="AB43" s="122">
        <v>1.1000000000000001</v>
      </c>
      <c r="AD43" s="127">
        <f t="shared" si="13"/>
        <v>3.6562146490528797</v>
      </c>
    </row>
    <row r="44" spans="1:30" ht="26.25" thickBot="1" x14ac:dyDescent="0.25">
      <c r="A44" s="24">
        <v>43</v>
      </c>
      <c r="B44" s="25" t="s">
        <v>77</v>
      </c>
      <c r="C44" s="26" t="s">
        <v>46</v>
      </c>
      <c r="D44" s="27">
        <v>24</v>
      </c>
      <c r="E44" s="28">
        <v>1900.83</v>
      </c>
      <c r="F44" s="28">
        <f t="shared" si="1"/>
        <v>2281</v>
      </c>
      <c r="G44" s="28">
        <f t="shared" si="2"/>
        <v>45619.92</v>
      </c>
      <c r="H44" s="28">
        <f t="shared" si="3"/>
        <v>54743.903999999995</v>
      </c>
      <c r="I44" s="35"/>
      <c r="J44" s="36"/>
      <c r="L44" s="122">
        <f t="shared" si="4"/>
        <v>5.91</v>
      </c>
      <c r="M44" s="18">
        <f t="shared" si="5"/>
        <v>1612.66</v>
      </c>
      <c r="N44" s="18">
        <f t="shared" si="6"/>
        <v>504.76</v>
      </c>
      <c r="O44" s="18">
        <f t="shared" si="14"/>
        <v>3724.6</v>
      </c>
      <c r="P44" s="18">
        <f t="shared" si="15"/>
        <v>2334.65</v>
      </c>
      <c r="Q44" s="99">
        <f>0.61*мат!D28/24</f>
        <v>117.4738</v>
      </c>
      <c r="R44" s="18"/>
      <c r="S44" s="18"/>
      <c r="T44" s="18"/>
      <c r="U44" s="18"/>
      <c r="V44" s="18"/>
      <c r="W44" s="18">
        <f t="shared" si="16"/>
        <v>8294.1437999999998</v>
      </c>
      <c r="X44" s="18">
        <f t="shared" si="17"/>
        <v>1658.83</v>
      </c>
      <c r="Y44" s="18">
        <f t="shared" si="18"/>
        <v>9952.9737999999998</v>
      </c>
      <c r="Z44" s="18">
        <f t="shared" si="12"/>
        <v>286645.65000000002</v>
      </c>
      <c r="AB44" s="122">
        <v>1.5</v>
      </c>
      <c r="AD44" s="127">
        <f t="shared" si="13"/>
        <v>5.2361199055149594</v>
      </c>
    </row>
    <row r="45" spans="1:30" ht="13.5" thickBot="1" x14ac:dyDescent="0.25">
      <c r="D45" s="4">
        <f>SUM(D2:D44)</f>
        <v>315</v>
      </c>
      <c r="F45" s="11"/>
      <c r="G45" s="11"/>
      <c r="H45" s="11">
        <f>SUM(H2:H44)</f>
        <v>9184829.7120000031</v>
      </c>
      <c r="I45" s="11"/>
      <c r="J45" s="11"/>
      <c r="L45" s="17">
        <v>7989000</v>
      </c>
      <c r="Z45" s="54">
        <f>SUM(Z2:Z44)</f>
        <v>7989597.1500000013</v>
      </c>
    </row>
    <row r="47" spans="1:30" x14ac:dyDescent="0.2">
      <c r="Z47" s="11">
        <f>Z45-L45</f>
        <v>597.15000000130385</v>
      </c>
    </row>
    <row r="48" spans="1:30" x14ac:dyDescent="0.2">
      <c r="Z48" s="4">
        <f>Z47/2000</f>
        <v>0.2985750000006519</v>
      </c>
    </row>
  </sheetData>
  <autoFilter ref="A1:N45" xr:uid="{00000000-0009-0000-0000-000003000000}"/>
  <conditionalFormatting sqref="C1:C104857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63" fitToHeight="2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8:M33"/>
  <sheetViews>
    <sheetView workbookViewId="0">
      <selection activeCell="C35" sqref="C35"/>
    </sheetView>
  </sheetViews>
  <sheetFormatPr defaultRowHeight="15" x14ac:dyDescent="0.25"/>
  <cols>
    <col min="1" max="1" width="49.140625" bestFit="1" customWidth="1"/>
    <col min="3" max="3" width="11.7109375" customWidth="1"/>
    <col min="4" max="4" width="12.5703125" customWidth="1"/>
    <col min="6" max="6" width="12.42578125" customWidth="1"/>
    <col min="8" max="8" width="35.7109375" bestFit="1" customWidth="1"/>
    <col min="9" max="9" width="20.5703125" bestFit="1" customWidth="1"/>
    <col min="10" max="10" width="11" bestFit="1" customWidth="1"/>
    <col min="13" max="13" width="65" bestFit="1" customWidth="1"/>
  </cols>
  <sheetData>
    <row r="8" spans="1:13" x14ac:dyDescent="0.25">
      <c r="A8" s="1"/>
      <c r="B8" s="20" t="s">
        <v>62</v>
      </c>
      <c r="C8" s="20" t="s">
        <v>63</v>
      </c>
      <c r="D8" s="20" t="s">
        <v>64</v>
      </c>
      <c r="E8" s="20"/>
      <c r="F8" s="20"/>
    </row>
    <row r="9" spans="1:13" x14ac:dyDescent="0.25">
      <c r="A9" s="60" t="s">
        <v>61</v>
      </c>
      <c r="B9" s="61">
        <v>51.1</v>
      </c>
      <c r="C9" s="62">
        <f>ROUND(791.74/1.2,2)</f>
        <v>659.78</v>
      </c>
      <c r="D9" s="62">
        <f>ROUND(B9*C9,2)</f>
        <v>33714.76</v>
      </c>
      <c r="E9" s="62"/>
      <c r="F9" s="62">
        <f>D9*1.2</f>
        <v>40457.712</v>
      </c>
      <c r="G9" s="63"/>
      <c r="H9" s="63" t="s">
        <v>65</v>
      </c>
      <c r="I9" s="63" t="s">
        <v>66</v>
      </c>
      <c r="J9" s="63">
        <v>7810312829</v>
      </c>
      <c r="K9" s="63"/>
      <c r="L9" s="63"/>
      <c r="M9" s="63" t="s">
        <v>72</v>
      </c>
    </row>
    <row r="10" spans="1:13" x14ac:dyDescent="0.25">
      <c r="A10" s="64" t="s">
        <v>73</v>
      </c>
      <c r="B10" s="65">
        <f>ROUND(34,3)</f>
        <v>34</v>
      </c>
      <c r="C10" s="66">
        <f>ROUND(646/1.2,2)</f>
        <v>538.33000000000004</v>
      </c>
      <c r="D10" s="66">
        <f t="shared" ref="D10:D20" si="0">ROUND(B10*C10,2)</f>
        <v>18303.22</v>
      </c>
      <c r="E10" s="66"/>
      <c r="F10" s="66">
        <f t="shared" ref="F10:F20" si="1">D10*1.2</f>
        <v>21963.864000000001</v>
      </c>
      <c r="G10" s="67"/>
      <c r="H10" s="67" t="s">
        <v>65</v>
      </c>
      <c r="I10" s="67" t="s">
        <v>66</v>
      </c>
      <c r="J10" s="67">
        <v>7810312829</v>
      </c>
      <c r="K10" s="67"/>
      <c r="L10" s="67"/>
      <c r="M10" s="67" t="s">
        <v>69</v>
      </c>
    </row>
    <row r="11" spans="1:13" x14ac:dyDescent="0.25">
      <c r="A11" s="69" t="s">
        <v>107</v>
      </c>
      <c r="B11" s="70">
        <f>ROUND(13.43,3)</f>
        <v>13.43</v>
      </c>
      <c r="C11" s="71">
        <f>ROUND(660.89/1.2,2)</f>
        <v>550.74</v>
      </c>
      <c r="D11" s="71">
        <f t="shared" si="0"/>
        <v>7396.44</v>
      </c>
      <c r="E11" s="71"/>
      <c r="F11" s="71">
        <f t="shared" si="1"/>
        <v>8875.7279999999992</v>
      </c>
      <c r="G11" s="72"/>
      <c r="H11" s="72" t="s">
        <v>65</v>
      </c>
      <c r="I11" s="72" t="s">
        <v>66</v>
      </c>
      <c r="J11" s="72">
        <v>7810312829</v>
      </c>
      <c r="K11" s="72"/>
      <c r="L11" s="72"/>
      <c r="M11" s="72" t="s">
        <v>108</v>
      </c>
    </row>
    <row r="12" spans="1:13" x14ac:dyDescent="0.25">
      <c r="A12" s="74" t="s">
        <v>109</v>
      </c>
      <c r="B12" s="75">
        <f>ROUND(8.998,3)</f>
        <v>8.9979999999999993</v>
      </c>
      <c r="C12" s="76">
        <f>ROUND(791.11/1.2,2)</f>
        <v>659.26</v>
      </c>
      <c r="D12" s="76">
        <f t="shared" si="0"/>
        <v>5932.02</v>
      </c>
      <c r="E12" s="76"/>
      <c r="F12" s="76">
        <f t="shared" si="1"/>
        <v>7118.424</v>
      </c>
      <c r="G12" s="77"/>
      <c r="H12" s="77" t="s">
        <v>65</v>
      </c>
      <c r="I12" s="77" t="s">
        <v>66</v>
      </c>
      <c r="J12" s="77">
        <v>7810312829</v>
      </c>
      <c r="K12" s="77"/>
      <c r="L12" s="77"/>
      <c r="M12" s="77"/>
    </row>
    <row r="13" spans="1:13" x14ac:dyDescent="0.25">
      <c r="A13" s="22"/>
      <c r="B13" s="21"/>
      <c r="C13" s="23"/>
      <c r="D13" s="23">
        <f t="shared" si="0"/>
        <v>0</v>
      </c>
      <c r="E13" s="23"/>
      <c r="F13" s="23">
        <f t="shared" si="1"/>
        <v>0</v>
      </c>
    </row>
    <row r="14" spans="1:13" x14ac:dyDescent="0.25">
      <c r="A14" s="22"/>
      <c r="B14" s="21"/>
      <c r="C14" s="23"/>
      <c r="D14" s="23">
        <f t="shared" si="0"/>
        <v>0</v>
      </c>
      <c r="E14" s="23"/>
      <c r="F14" s="23">
        <f t="shared" si="1"/>
        <v>0</v>
      </c>
    </row>
    <row r="15" spans="1:13" x14ac:dyDescent="0.25">
      <c r="A15" s="22"/>
      <c r="B15" s="21"/>
      <c r="C15" s="23"/>
      <c r="D15" s="23">
        <f t="shared" si="0"/>
        <v>0</v>
      </c>
      <c r="E15" s="23"/>
      <c r="F15" s="23">
        <f t="shared" si="1"/>
        <v>0</v>
      </c>
    </row>
    <row r="16" spans="1:13" x14ac:dyDescent="0.25">
      <c r="A16" s="22"/>
      <c r="B16" s="21"/>
      <c r="C16" s="23"/>
      <c r="D16" s="23">
        <f t="shared" si="0"/>
        <v>0</v>
      </c>
      <c r="E16" s="23"/>
      <c r="F16" s="23">
        <f t="shared" si="1"/>
        <v>0</v>
      </c>
    </row>
    <row r="17" spans="1:13" x14ac:dyDescent="0.25">
      <c r="A17" s="22"/>
      <c r="B17" s="21"/>
      <c r="C17" s="23"/>
      <c r="D17" s="23">
        <f t="shared" si="0"/>
        <v>0</v>
      </c>
      <c r="E17" s="23"/>
      <c r="F17" s="23">
        <f t="shared" si="1"/>
        <v>0</v>
      </c>
    </row>
    <row r="18" spans="1:13" x14ac:dyDescent="0.25">
      <c r="A18" s="22"/>
      <c r="B18" s="21"/>
      <c r="C18" s="23"/>
      <c r="D18" s="23">
        <f t="shared" si="0"/>
        <v>0</v>
      </c>
      <c r="E18" s="23"/>
      <c r="F18" s="23">
        <f t="shared" si="1"/>
        <v>0</v>
      </c>
    </row>
    <row r="19" spans="1:13" x14ac:dyDescent="0.25">
      <c r="A19" s="89" t="s">
        <v>67</v>
      </c>
      <c r="B19" s="90">
        <f>ROUND(16,3)</f>
        <v>16</v>
      </c>
      <c r="C19" s="91">
        <f>ROUND(236.5/1.2,2)</f>
        <v>197.08</v>
      </c>
      <c r="D19" s="91">
        <f t="shared" si="0"/>
        <v>3153.28</v>
      </c>
      <c r="E19" s="91"/>
      <c r="F19" s="91">
        <f t="shared" si="1"/>
        <v>3783.9360000000001</v>
      </c>
      <c r="G19" s="92"/>
      <c r="H19" s="92" t="s">
        <v>70</v>
      </c>
      <c r="I19" s="92" t="s">
        <v>71</v>
      </c>
      <c r="J19" s="92">
        <v>6609002301</v>
      </c>
      <c r="K19" s="92"/>
      <c r="L19" s="92"/>
      <c r="M19" s="92" t="s">
        <v>69</v>
      </c>
    </row>
    <row r="20" spans="1:13" x14ac:dyDescent="0.25">
      <c r="A20" s="100" t="s">
        <v>265</v>
      </c>
      <c r="B20" s="101">
        <v>36</v>
      </c>
      <c r="C20" s="102">
        <f>ROUND(231.1/1.2,2)</f>
        <v>192.58</v>
      </c>
      <c r="D20" s="102">
        <f t="shared" si="0"/>
        <v>6932.88</v>
      </c>
      <c r="E20" s="102"/>
      <c r="F20" s="102">
        <f t="shared" si="1"/>
        <v>8319.4560000000001</v>
      </c>
      <c r="G20" s="103"/>
      <c r="H20" s="103"/>
      <c r="I20" s="103"/>
      <c r="J20" s="103"/>
      <c r="K20" s="103"/>
      <c r="L20" s="103"/>
      <c r="M20" s="103"/>
    </row>
    <row r="21" spans="1:13" x14ac:dyDescent="0.25">
      <c r="A21" s="105" t="s">
        <v>266</v>
      </c>
      <c r="B21" s="106">
        <v>66</v>
      </c>
      <c r="C21" s="107">
        <f>ROUND(231.1/1.2,2)</f>
        <v>192.58</v>
      </c>
      <c r="D21" s="107">
        <f t="shared" ref="D21" si="2">ROUND(B21*C21,2)</f>
        <v>12710.28</v>
      </c>
      <c r="E21" s="107"/>
      <c r="F21" s="107">
        <f t="shared" ref="F21" si="3">D21*1.2</f>
        <v>15252.335999999999</v>
      </c>
      <c r="G21" s="108"/>
      <c r="H21" s="108"/>
      <c r="I21" s="108"/>
      <c r="J21" s="108"/>
      <c r="K21" s="108"/>
      <c r="L21" s="108"/>
      <c r="M21" s="108"/>
    </row>
    <row r="22" spans="1:13" x14ac:dyDescent="0.25">
      <c r="A22" s="22"/>
      <c r="B22" s="21"/>
      <c r="C22" s="23"/>
      <c r="D22" s="23"/>
      <c r="E22" s="23"/>
      <c r="F22" s="23"/>
    </row>
    <row r="23" spans="1:13" ht="30" x14ac:dyDescent="0.25">
      <c r="A23" s="79" t="s">
        <v>105</v>
      </c>
      <c r="B23" s="80">
        <f>ROUND(42,3)</f>
        <v>42</v>
      </c>
      <c r="C23" s="81">
        <f>ROUND(238/1.2,2)</f>
        <v>198.33</v>
      </c>
      <c r="D23" s="81">
        <f t="shared" ref="D23:D25" si="4">ROUND(B23*C23,2)</f>
        <v>8329.86</v>
      </c>
      <c r="E23" s="81"/>
      <c r="F23" s="81">
        <f t="shared" ref="F23:F25" si="5">D23*1.2</f>
        <v>9995.8320000000003</v>
      </c>
      <c r="G23" s="82"/>
      <c r="H23" s="82" t="s">
        <v>70</v>
      </c>
      <c r="I23" s="82" t="s">
        <v>71</v>
      </c>
      <c r="J23" s="82">
        <v>6609002301</v>
      </c>
      <c r="K23" s="82"/>
      <c r="L23" s="82"/>
      <c r="M23" s="82" t="s">
        <v>106</v>
      </c>
    </row>
    <row r="24" spans="1:13" x14ac:dyDescent="0.25">
      <c r="A24" s="113" t="s">
        <v>266</v>
      </c>
      <c r="B24" s="114">
        <v>58</v>
      </c>
      <c r="C24" s="115">
        <f t="shared" ref="C24" si="6">ROUND(231.1/1.2,2)</f>
        <v>192.58</v>
      </c>
      <c r="D24" s="115">
        <f t="shared" si="4"/>
        <v>11169.64</v>
      </c>
      <c r="E24" s="115"/>
      <c r="F24" s="115">
        <f t="shared" si="5"/>
        <v>13403.567999999999</v>
      </c>
    </row>
    <row r="25" spans="1:13" x14ac:dyDescent="0.25">
      <c r="A25" s="110" t="s">
        <v>266</v>
      </c>
      <c r="B25" s="111">
        <v>22</v>
      </c>
      <c r="C25" s="112">
        <f>ROUND(238/1.2,2)</f>
        <v>198.33</v>
      </c>
      <c r="D25" s="112">
        <f t="shared" si="4"/>
        <v>4363.26</v>
      </c>
      <c r="E25" s="112"/>
      <c r="F25" s="112">
        <f t="shared" si="5"/>
        <v>5235.9120000000003</v>
      </c>
    </row>
    <row r="26" spans="1:13" x14ac:dyDescent="0.25">
      <c r="A26" s="22"/>
      <c r="B26" s="21"/>
      <c r="C26" s="23"/>
      <c r="D26" s="23"/>
      <c r="E26" s="23"/>
      <c r="F26" s="23"/>
    </row>
    <row r="27" spans="1:13" x14ac:dyDescent="0.25">
      <c r="A27" s="22"/>
      <c r="B27" s="21"/>
      <c r="C27" s="23"/>
      <c r="D27" s="23"/>
      <c r="E27" s="23"/>
      <c r="F27" s="23"/>
    </row>
    <row r="28" spans="1:13" ht="30" x14ac:dyDescent="0.25">
      <c r="A28" s="94" t="s">
        <v>75</v>
      </c>
      <c r="B28" s="95">
        <f>ROUND(24,3)</f>
        <v>24</v>
      </c>
      <c r="C28" s="96">
        <f>ROUND(231.1/1.2,2)</f>
        <v>192.58</v>
      </c>
      <c r="D28" s="96">
        <f t="shared" ref="D28" si="7">ROUND(B28*C28,2)</f>
        <v>4621.92</v>
      </c>
      <c r="E28" s="96"/>
      <c r="F28" s="96">
        <f t="shared" ref="F28" si="8">D28*1.2</f>
        <v>5546.3040000000001</v>
      </c>
      <c r="G28" s="97"/>
      <c r="H28" s="98" t="s">
        <v>70</v>
      </c>
      <c r="I28" s="98" t="s">
        <v>71</v>
      </c>
      <c r="J28" s="98">
        <v>6609002301</v>
      </c>
      <c r="K28" s="97"/>
      <c r="L28" s="97"/>
      <c r="M28" s="98" t="s">
        <v>74</v>
      </c>
    </row>
    <row r="31" spans="1:13" x14ac:dyDescent="0.25">
      <c r="A31" s="84" t="s">
        <v>258</v>
      </c>
      <c r="B31" s="85">
        <v>67</v>
      </c>
      <c r="C31" s="86">
        <f>ROUND(3844.13/67/1.2,2)</f>
        <v>47.81</v>
      </c>
      <c r="D31" s="86">
        <f t="shared" ref="D31" si="9">ROUND(B31*C31,2)</f>
        <v>3203.27</v>
      </c>
      <c r="E31" s="86"/>
      <c r="F31" s="86">
        <f t="shared" ref="F31" si="10">D31*1.2</f>
        <v>3843.924</v>
      </c>
      <c r="G31" s="84"/>
      <c r="H31" s="87" t="s">
        <v>259</v>
      </c>
      <c r="I31" s="87" t="s">
        <v>260</v>
      </c>
      <c r="J31" s="87">
        <v>7817334268</v>
      </c>
      <c r="M31" s="19"/>
    </row>
    <row r="33" spans="1:13" x14ac:dyDescent="0.25">
      <c r="A33" s="55" t="s">
        <v>261</v>
      </c>
      <c r="B33" s="56">
        <v>2</v>
      </c>
      <c r="C33" s="57">
        <f>ROUND((16064.37+600)/1.2/2,2)</f>
        <v>6943.49</v>
      </c>
      <c r="D33" s="57">
        <f t="shared" ref="D33" si="11">ROUND(B33*C33,2)</f>
        <v>13886.98</v>
      </c>
      <c r="E33" s="57"/>
      <c r="F33" s="57">
        <f t="shared" ref="F33" si="12">D33*1.2</f>
        <v>16664.376</v>
      </c>
      <c r="G33" s="58"/>
      <c r="H33" s="58" t="s">
        <v>262</v>
      </c>
      <c r="I33" s="58" t="s">
        <v>263</v>
      </c>
      <c r="J33" s="58">
        <v>7802138775</v>
      </c>
      <c r="K33" s="58"/>
      <c r="L33" s="58"/>
      <c r="M33" s="58" t="s">
        <v>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79"/>
  <sheetViews>
    <sheetView topLeftCell="A76" workbookViewId="0">
      <selection activeCell="H113" sqref="H113"/>
    </sheetView>
  </sheetViews>
  <sheetFormatPr defaultRowHeight="15" x14ac:dyDescent="0.25"/>
  <cols>
    <col min="1" max="1" width="56.7109375" customWidth="1"/>
    <col min="2" max="2" width="20.42578125" style="45" customWidth="1"/>
    <col min="3" max="3" width="11.85546875" customWidth="1"/>
    <col min="4" max="4" width="13.7109375" bestFit="1" customWidth="1"/>
    <col min="5" max="5" width="13.7109375" customWidth="1"/>
    <col min="6" max="6" width="10.28515625" bestFit="1" customWidth="1"/>
    <col min="7" max="7" width="19.7109375" customWidth="1"/>
  </cols>
  <sheetData>
    <row r="1" spans="1:9" x14ac:dyDescent="0.25">
      <c r="A1" s="19"/>
      <c r="B1" s="38"/>
      <c r="C1" s="19"/>
      <c r="D1" s="19"/>
      <c r="E1" s="19"/>
      <c r="F1" s="19"/>
      <c r="H1">
        <v>2019</v>
      </c>
      <c r="I1">
        <v>2020</v>
      </c>
    </row>
    <row r="2" spans="1:9" ht="45" x14ac:dyDescent="0.25">
      <c r="A2" s="39" t="s">
        <v>114</v>
      </c>
      <c r="B2" s="39"/>
      <c r="C2" s="39" t="s">
        <v>62</v>
      </c>
      <c r="D2" s="39" t="s">
        <v>115</v>
      </c>
      <c r="E2" s="39" t="s">
        <v>64</v>
      </c>
      <c r="F2" s="39" t="s">
        <v>116</v>
      </c>
      <c r="G2" s="39" t="s">
        <v>117</v>
      </c>
      <c r="H2">
        <v>1.052</v>
      </c>
      <c r="I2">
        <v>1.05</v>
      </c>
    </row>
    <row r="3" spans="1:9" ht="30" x14ac:dyDescent="0.25">
      <c r="A3" s="40" t="s">
        <v>118</v>
      </c>
      <c r="B3" s="41" t="s">
        <v>119</v>
      </c>
      <c r="C3" s="42">
        <v>2</v>
      </c>
      <c r="D3" s="43">
        <v>32750</v>
      </c>
      <c r="E3" s="43">
        <f>ROUND(C3*D3,2)</f>
        <v>65500</v>
      </c>
      <c r="F3" s="44">
        <v>43889</v>
      </c>
      <c r="G3" s="43">
        <f>ROUND(D3*$I$2,2)</f>
        <v>34387.5</v>
      </c>
    </row>
    <row r="4" spans="1:9" ht="30" x14ac:dyDescent="0.25">
      <c r="A4" s="40" t="s">
        <v>120</v>
      </c>
      <c r="B4" s="41" t="s">
        <v>121</v>
      </c>
      <c r="C4" s="42">
        <v>1</v>
      </c>
      <c r="D4" s="43">
        <v>194863.05</v>
      </c>
      <c r="E4" s="43">
        <f t="shared" ref="E4:E67" si="0">ROUND(C4*D4,2)</f>
        <v>194863.05</v>
      </c>
      <c r="F4" s="44">
        <v>43819</v>
      </c>
      <c r="G4" s="43">
        <f t="shared" ref="G4:G67" si="1">ROUND(D4*$I$2,2)</f>
        <v>204606.2</v>
      </c>
    </row>
    <row r="5" spans="1:9" x14ac:dyDescent="0.25">
      <c r="A5" s="40" t="s">
        <v>122</v>
      </c>
      <c r="B5" s="41" t="s">
        <v>123</v>
      </c>
      <c r="C5" s="42">
        <v>4</v>
      </c>
      <c r="D5" s="43">
        <v>21000</v>
      </c>
      <c r="E5" s="43">
        <f t="shared" si="0"/>
        <v>84000</v>
      </c>
      <c r="F5" s="44">
        <v>43815</v>
      </c>
      <c r="G5" s="43">
        <f t="shared" si="1"/>
        <v>22050</v>
      </c>
    </row>
    <row r="6" spans="1:9" x14ac:dyDescent="0.25">
      <c r="A6" s="40" t="s">
        <v>124</v>
      </c>
      <c r="B6" s="41" t="s">
        <v>125</v>
      </c>
      <c r="C6" s="42">
        <v>4</v>
      </c>
      <c r="D6" s="43">
        <v>7500</v>
      </c>
      <c r="E6" s="43">
        <f t="shared" si="0"/>
        <v>30000</v>
      </c>
      <c r="F6" s="44">
        <v>43815</v>
      </c>
      <c r="G6" s="43">
        <f t="shared" si="1"/>
        <v>7875</v>
      </c>
    </row>
    <row r="7" spans="1:9" x14ac:dyDescent="0.25">
      <c r="A7" s="40" t="s">
        <v>126</v>
      </c>
      <c r="B7" s="41" t="s">
        <v>113</v>
      </c>
      <c r="C7" s="42">
        <v>1</v>
      </c>
      <c r="D7" s="43">
        <v>75000</v>
      </c>
      <c r="E7" s="43">
        <f t="shared" si="0"/>
        <v>75000</v>
      </c>
      <c r="F7" s="44">
        <v>43812</v>
      </c>
      <c r="G7" s="43">
        <f t="shared" si="1"/>
        <v>78750</v>
      </c>
    </row>
    <row r="8" spans="1:9" x14ac:dyDescent="0.25">
      <c r="A8" s="40" t="s">
        <v>127</v>
      </c>
      <c r="B8" s="41" t="s">
        <v>128</v>
      </c>
      <c r="C8" s="42">
        <v>2</v>
      </c>
      <c r="D8" s="43">
        <v>17945.84</v>
      </c>
      <c r="E8" s="43">
        <f t="shared" si="0"/>
        <v>35891.68</v>
      </c>
      <c r="F8" s="44">
        <v>43808</v>
      </c>
      <c r="G8" s="43">
        <f t="shared" si="1"/>
        <v>18843.13</v>
      </c>
    </row>
    <row r="9" spans="1:9" x14ac:dyDescent="0.25">
      <c r="A9" s="40" t="s">
        <v>129</v>
      </c>
      <c r="B9" s="41" t="s">
        <v>130</v>
      </c>
      <c r="C9" s="42">
        <v>1</v>
      </c>
      <c r="D9" s="43">
        <v>33236.67</v>
      </c>
      <c r="E9" s="43">
        <f t="shared" si="0"/>
        <v>33236.67</v>
      </c>
      <c r="F9" s="44">
        <v>43808</v>
      </c>
      <c r="G9" s="43">
        <f t="shared" si="1"/>
        <v>34898.5</v>
      </c>
    </row>
    <row r="10" spans="1:9" ht="30" x14ac:dyDescent="0.25">
      <c r="A10" s="40" t="s">
        <v>131</v>
      </c>
      <c r="B10" s="41" t="s">
        <v>132</v>
      </c>
      <c r="C10" s="42">
        <v>3</v>
      </c>
      <c r="D10" s="43">
        <v>33332.639999999999</v>
      </c>
      <c r="E10" s="43">
        <f t="shared" si="0"/>
        <v>99997.92</v>
      </c>
      <c r="F10" s="44">
        <v>43808</v>
      </c>
      <c r="G10" s="43">
        <f t="shared" si="1"/>
        <v>34999.269999999997</v>
      </c>
    </row>
    <row r="11" spans="1:9" ht="30" x14ac:dyDescent="0.25">
      <c r="A11" s="40" t="s">
        <v>131</v>
      </c>
      <c r="B11" s="41" t="s">
        <v>132</v>
      </c>
      <c r="C11" s="42">
        <v>2</v>
      </c>
      <c r="D11" s="43">
        <v>34373.4</v>
      </c>
      <c r="E11" s="43">
        <f t="shared" si="0"/>
        <v>68746.8</v>
      </c>
      <c r="F11" s="44">
        <v>43808</v>
      </c>
      <c r="G11" s="43">
        <f t="shared" si="1"/>
        <v>36092.07</v>
      </c>
    </row>
    <row r="12" spans="1:9" x14ac:dyDescent="0.25">
      <c r="A12" s="40" t="s">
        <v>133</v>
      </c>
      <c r="B12" s="41" t="s">
        <v>134</v>
      </c>
      <c r="C12" s="42">
        <v>1</v>
      </c>
      <c r="D12" s="43">
        <v>48793</v>
      </c>
      <c r="E12" s="43">
        <f t="shared" si="0"/>
        <v>48793</v>
      </c>
      <c r="F12" s="44">
        <v>43808</v>
      </c>
      <c r="G12" s="43">
        <f t="shared" si="1"/>
        <v>51232.65</v>
      </c>
    </row>
    <row r="13" spans="1:9" ht="30" x14ac:dyDescent="0.25">
      <c r="A13" s="40" t="s">
        <v>135</v>
      </c>
      <c r="B13" s="41"/>
      <c r="C13" s="42">
        <v>4</v>
      </c>
      <c r="D13" s="43">
        <v>41201.67</v>
      </c>
      <c r="E13" s="43">
        <f t="shared" si="0"/>
        <v>164806.68</v>
      </c>
      <c r="F13" s="44">
        <v>43804</v>
      </c>
      <c r="G13" s="43">
        <f t="shared" si="1"/>
        <v>43261.75</v>
      </c>
    </row>
    <row r="14" spans="1:9" ht="30" x14ac:dyDescent="0.25">
      <c r="A14" s="40" t="s">
        <v>136</v>
      </c>
      <c r="B14" s="41"/>
      <c r="C14" s="42">
        <v>1</v>
      </c>
      <c r="D14" s="43">
        <v>113870</v>
      </c>
      <c r="E14" s="43">
        <f t="shared" si="0"/>
        <v>113870</v>
      </c>
      <c r="F14" s="44">
        <v>43804</v>
      </c>
      <c r="G14" s="43">
        <f t="shared" si="1"/>
        <v>119563.5</v>
      </c>
    </row>
    <row r="15" spans="1:9" x14ac:dyDescent="0.25">
      <c r="A15" s="40" t="s">
        <v>126</v>
      </c>
      <c r="B15" s="41"/>
      <c r="C15" s="42">
        <v>2</v>
      </c>
      <c r="D15" s="43">
        <v>75000</v>
      </c>
      <c r="E15" s="43">
        <f t="shared" si="0"/>
        <v>150000</v>
      </c>
      <c r="F15" s="44">
        <v>43804</v>
      </c>
      <c r="G15" s="43">
        <f t="shared" si="1"/>
        <v>78750</v>
      </c>
    </row>
    <row r="16" spans="1:9" ht="30" x14ac:dyDescent="0.25">
      <c r="A16" s="40" t="s">
        <v>137</v>
      </c>
      <c r="B16" s="41"/>
      <c r="C16" s="42">
        <v>1</v>
      </c>
      <c r="D16" s="43">
        <v>49000</v>
      </c>
      <c r="E16" s="43">
        <f t="shared" si="0"/>
        <v>49000</v>
      </c>
      <c r="F16" s="44">
        <v>43795</v>
      </c>
      <c r="G16" s="43">
        <f t="shared" si="1"/>
        <v>51450</v>
      </c>
    </row>
    <row r="17" spans="1:7" x14ac:dyDescent="0.25">
      <c r="A17" s="40" t="s">
        <v>138</v>
      </c>
      <c r="B17" s="41"/>
      <c r="C17" s="42">
        <v>1</v>
      </c>
      <c r="D17" s="43">
        <v>27754.240000000002</v>
      </c>
      <c r="E17" s="43">
        <f t="shared" si="0"/>
        <v>27754.240000000002</v>
      </c>
      <c r="F17" s="44">
        <v>43795</v>
      </c>
      <c r="G17" s="43">
        <f t="shared" si="1"/>
        <v>29141.95</v>
      </c>
    </row>
    <row r="18" spans="1:7" x14ac:dyDescent="0.25">
      <c r="A18" s="40" t="s">
        <v>139</v>
      </c>
      <c r="B18" s="41"/>
      <c r="C18" s="42">
        <v>1</v>
      </c>
      <c r="D18" s="43">
        <v>72000</v>
      </c>
      <c r="E18" s="43">
        <f t="shared" si="0"/>
        <v>72000</v>
      </c>
      <c r="F18" s="44">
        <v>43777</v>
      </c>
      <c r="G18" s="43">
        <f t="shared" si="1"/>
        <v>75600</v>
      </c>
    </row>
    <row r="19" spans="1:7" x14ac:dyDescent="0.25">
      <c r="A19" s="40" t="s">
        <v>140</v>
      </c>
      <c r="B19" s="41"/>
      <c r="C19" s="42">
        <v>1</v>
      </c>
      <c r="D19" s="43">
        <v>79000</v>
      </c>
      <c r="E19" s="43">
        <f t="shared" si="0"/>
        <v>79000</v>
      </c>
      <c r="F19" s="44">
        <v>43777</v>
      </c>
      <c r="G19" s="43">
        <f t="shared" si="1"/>
        <v>82950</v>
      </c>
    </row>
    <row r="20" spans="1:7" x14ac:dyDescent="0.25">
      <c r="A20" s="40" t="s">
        <v>126</v>
      </c>
      <c r="B20" s="41"/>
      <c r="C20" s="42">
        <v>1</v>
      </c>
      <c r="D20" s="43">
        <v>75000</v>
      </c>
      <c r="E20" s="43">
        <f t="shared" si="0"/>
        <v>75000</v>
      </c>
      <c r="F20" s="44">
        <v>43777</v>
      </c>
      <c r="G20" s="43">
        <f t="shared" si="1"/>
        <v>78750</v>
      </c>
    </row>
    <row r="21" spans="1:7" x14ac:dyDescent="0.25">
      <c r="A21" s="40" t="s">
        <v>139</v>
      </c>
      <c r="B21" s="41"/>
      <c r="C21" s="42">
        <v>2</v>
      </c>
      <c r="D21" s="43">
        <v>72000</v>
      </c>
      <c r="E21" s="43">
        <f t="shared" si="0"/>
        <v>144000</v>
      </c>
      <c r="F21" s="44">
        <v>43777</v>
      </c>
      <c r="G21" s="43">
        <f t="shared" si="1"/>
        <v>75600</v>
      </c>
    </row>
    <row r="22" spans="1:7" x14ac:dyDescent="0.25">
      <c r="A22" s="40" t="s">
        <v>141</v>
      </c>
      <c r="B22" s="41"/>
      <c r="C22" s="42">
        <v>9</v>
      </c>
      <c r="D22" s="43">
        <v>41600</v>
      </c>
      <c r="E22" s="43">
        <f t="shared" si="0"/>
        <v>374400</v>
      </c>
      <c r="F22" s="44">
        <v>43769</v>
      </c>
      <c r="G22" s="43">
        <f t="shared" si="1"/>
        <v>43680</v>
      </c>
    </row>
    <row r="23" spans="1:7" x14ac:dyDescent="0.25">
      <c r="A23" s="40" t="s">
        <v>142</v>
      </c>
      <c r="B23" s="41"/>
      <c r="C23" s="42">
        <v>2</v>
      </c>
      <c r="D23" s="43">
        <v>27000</v>
      </c>
      <c r="E23" s="43">
        <f t="shared" si="0"/>
        <v>54000</v>
      </c>
      <c r="F23" s="44">
        <v>43761</v>
      </c>
      <c r="G23" s="43">
        <f t="shared" si="1"/>
        <v>28350</v>
      </c>
    </row>
    <row r="24" spans="1:7" ht="30" x14ac:dyDescent="0.25">
      <c r="A24" s="40" t="s">
        <v>143</v>
      </c>
      <c r="B24" s="41"/>
      <c r="C24" s="42">
        <v>1</v>
      </c>
      <c r="D24" s="43">
        <v>24500</v>
      </c>
      <c r="E24" s="43">
        <f t="shared" si="0"/>
        <v>24500</v>
      </c>
      <c r="F24" s="44">
        <v>43761</v>
      </c>
      <c r="G24" s="43">
        <f t="shared" si="1"/>
        <v>25725</v>
      </c>
    </row>
    <row r="25" spans="1:7" x14ac:dyDescent="0.25">
      <c r="A25" s="40" t="s">
        <v>141</v>
      </c>
      <c r="B25" s="41"/>
      <c r="C25" s="42">
        <v>2</v>
      </c>
      <c r="D25" s="43">
        <v>41600</v>
      </c>
      <c r="E25" s="43">
        <f t="shared" si="0"/>
        <v>83200</v>
      </c>
      <c r="F25" s="44">
        <v>43761</v>
      </c>
      <c r="G25" s="43">
        <f t="shared" si="1"/>
        <v>43680</v>
      </c>
    </row>
    <row r="26" spans="1:7" x14ac:dyDescent="0.25">
      <c r="A26" s="40" t="s">
        <v>144</v>
      </c>
      <c r="B26" s="41"/>
      <c r="C26" s="42">
        <v>1</v>
      </c>
      <c r="D26" s="43">
        <v>43000</v>
      </c>
      <c r="E26" s="43">
        <f t="shared" si="0"/>
        <v>43000</v>
      </c>
      <c r="F26" s="44">
        <v>43761</v>
      </c>
      <c r="G26" s="43">
        <f t="shared" si="1"/>
        <v>45150</v>
      </c>
    </row>
    <row r="27" spans="1:7" x14ac:dyDescent="0.25">
      <c r="A27" s="40" t="s">
        <v>126</v>
      </c>
      <c r="B27" s="41"/>
      <c r="C27" s="42">
        <v>2</v>
      </c>
      <c r="D27" s="43">
        <v>75000</v>
      </c>
      <c r="E27" s="43">
        <f t="shared" si="0"/>
        <v>150000</v>
      </c>
      <c r="F27" s="44">
        <v>43761</v>
      </c>
      <c r="G27" s="43">
        <f t="shared" si="1"/>
        <v>78750</v>
      </c>
    </row>
    <row r="28" spans="1:7" x14ac:dyDescent="0.25">
      <c r="A28" s="40" t="s">
        <v>145</v>
      </c>
      <c r="B28" s="41"/>
      <c r="C28" s="42">
        <v>1</v>
      </c>
      <c r="D28" s="43">
        <v>25000</v>
      </c>
      <c r="E28" s="43">
        <f t="shared" si="0"/>
        <v>25000</v>
      </c>
      <c r="F28" s="44">
        <v>43761</v>
      </c>
      <c r="G28" s="43">
        <f t="shared" si="1"/>
        <v>26250</v>
      </c>
    </row>
    <row r="29" spans="1:7" x14ac:dyDescent="0.25">
      <c r="A29" s="40" t="s">
        <v>146</v>
      </c>
      <c r="B29" s="41"/>
      <c r="C29" s="42">
        <v>1</v>
      </c>
      <c r="D29" s="43">
        <v>61000</v>
      </c>
      <c r="E29" s="43">
        <f t="shared" si="0"/>
        <v>61000</v>
      </c>
      <c r="F29" s="44">
        <v>43756</v>
      </c>
      <c r="G29" s="43">
        <f t="shared" si="1"/>
        <v>64050</v>
      </c>
    </row>
    <row r="30" spans="1:7" x14ac:dyDescent="0.25">
      <c r="A30" s="40" t="s">
        <v>141</v>
      </c>
      <c r="B30" s="41"/>
      <c r="C30" s="42">
        <v>1</v>
      </c>
      <c r="D30" s="43">
        <v>41600</v>
      </c>
      <c r="E30" s="43">
        <f t="shared" si="0"/>
        <v>41600</v>
      </c>
      <c r="F30" s="44">
        <v>43756</v>
      </c>
      <c r="G30" s="43">
        <f t="shared" si="1"/>
        <v>43680</v>
      </c>
    </row>
    <row r="31" spans="1:7" x14ac:dyDescent="0.25">
      <c r="A31" s="40" t="s">
        <v>126</v>
      </c>
      <c r="B31" s="41"/>
      <c r="C31" s="42">
        <v>1</v>
      </c>
      <c r="D31" s="43">
        <v>75000</v>
      </c>
      <c r="E31" s="43">
        <f t="shared" si="0"/>
        <v>75000</v>
      </c>
      <c r="F31" s="44">
        <v>43756</v>
      </c>
      <c r="G31" s="43">
        <f t="shared" si="1"/>
        <v>78750</v>
      </c>
    </row>
    <row r="32" spans="1:7" x14ac:dyDescent="0.25">
      <c r="A32" s="40" t="s">
        <v>147</v>
      </c>
      <c r="B32" s="41"/>
      <c r="C32" s="42">
        <v>2</v>
      </c>
      <c r="D32" s="43">
        <v>52500</v>
      </c>
      <c r="E32" s="43">
        <f t="shared" si="0"/>
        <v>105000</v>
      </c>
      <c r="F32" s="44">
        <v>43756</v>
      </c>
      <c r="G32" s="43">
        <f t="shared" si="1"/>
        <v>55125</v>
      </c>
    </row>
    <row r="33" spans="1:7" x14ac:dyDescent="0.25">
      <c r="A33" s="40" t="s">
        <v>148</v>
      </c>
      <c r="B33" s="41"/>
      <c r="C33" s="42">
        <v>1</v>
      </c>
      <c r="D33" s="43">
        <v>95000</v>
      </c>
      <c r="E33" s="43">
        <f t="shared" si="0"/>
        <v>95000</v>
      </c>
      <c r="F33" s="44">
        <v>43756</v>
      </c>
      <c r="G33" s="43">
        <f t="shared" si="1"/>
        <v>99750</v>
      </c>
    </row>
    <row r="34" spans="1:7" x14ac:dyDescent="0.25">
      <c r="A34" s="40" t="s">
        <v>149</v>
      </c>
      <c r="B34" s="41"/>
      <c r="C34" s="42">
        <v>1</v>
      </c>
      <c r="D34" s="43">
        <v>29000</v>
      </c>
      <c r="E34" s="43">
        <f t="shared" si="0"/>
        <v>29000</v>
      </c>
      <c r="F34" s="44">
        <v>43756</v>
      </c>
      <c r="G34" s="43">
        <f t="shared" si="1"/>
        <v>30450</v>
      </c>
    </row>
    <row r="35" spans="1:7" x14ac:dyDescent="0.25">
      <c r="A35" s="40" t="s">
        <v>150</v>
      </c>
      <c r="B35" s="41"/>
      <c r="C35" s="42">
        <v>2</v>
      </c>
      <c r="D35" s="43">
        <v>27000</v>
      </c>
      <c r="E35" s="43">
        <f t="shared" si="0"/>
        <v>54000</v>
      </c>
      <c r="F35" s="44">
        <v>43756</v>
      </c>
      <c r="G35" s="43">
        <f t="shared" si="1"/>
        <v>28350</v>
      </c>
    </row>
    <row r="36" spans="1:7" x14ac:dyDescent="0.25">
      <c r="A36" s="40" t="s">
        <v>145</v>
      </c>
      <c r="B36" s="41"/>
      <c r="C36" s="42">
        <v>1</v>
      </c>
      <c r="D36" s="43">
        <v>25000</v>
      </c>
      <c r="E36" s="43">
        <f t="shared" si="0"/>
        <v>25000</v>
      </c>
      <c r="F36" s="44">
        <v>43756</v>
      </c>
      <c r="G36" s="43">
        <f t="shared" si="1"/>
        <v>26250</v>
      </c>
    </row>
    <row r="37" spans="1:7" x14ac:dyDescent="0.25">
      <c r="A37" s="40" t="s">
        <v>151</v>
      </c>
      <c r="B37" s="41"/>
      <c r="C37" s="42">
        <v>1</v>
      </c>
      <c r="D37" s="43">
        <v>23230</v>
      </c>
      <c r="E37" s="43">
        <f t="shared" si="0"/>
        <v>23230</v>
      </c>
      <c r="F37" s="44">
        <v>43756</v>
      </c>
      <c r="G37" s="43">
        <f t="shared" si="1"/>
        <v>24391.5</v>
      </c>
    </row>
    <row r="38" spans="1:7" ht="30" x14ac:dyDescent="0.25">
      <c r="A38" s="40" t="s">
        <v>143</v>
      </c>
      <c r="B38" s="41"/>
      <c r="C38" s="42">
        <v>1</v>
      </c>
      <c r="D38" s="43">
        <v>24500</v>
      </c>
      <c r="E38" s="43">
        <f t="shared" si="0"/>
        <v>24500</v>
      </c>
      <c r="F38" s="44">
        <v>43756</v>
      </c>
      <c r="G38" s="43">
        <f t="shared" si="1"/>
        <v>25725</v>
      </c>
    </row>
    <row r="39" spans="1:7" x14ac:dyDescent="0.25">
      <c r="A39" s="40" t="s">
        <v>152</v>
      </c>
      <c r="B39" s="41"/>
      <c r="C39" s="42">
        <v>8</v>
      </c>
      <c r="D39" s="43">
        <v>87000</v>
      </c>
      <c r="E39" s="43">
        <f t="shared" si="0"/>
        <v>696000</v>
      </c>
      <c r="F39" s="44">
        <v>43745</v>
      </c>
      <c r="G39" s="43">
        <f t="shared" si="1"/>
        <v>91350</v>
      </c>
    </row>
    <row r="40" spans="1:7" x14ac:dyDescent="0.25">
      <c r="A40" s="40" t="s">
        <v>153</v>
      </c>
      <c r="B40" s="41"/>
      <c r="C40" s="42">
        <v>8</v>
      </c>
      <c r="D40" s="43">
        <v>47000</v>
      </c>
      <c r="E40" s="43">
        <f t="shared" si="0"/>
        <v>376000</v>
      </c>
      <c r="F40" s="44">
        <v>43745</v>
      </c>
      <c r="G40" s="43">
        <f t="shared" si="1"/>
        <v>49350</v>
      </c>
    </row>
    <row r="41" spans="1:7" x14ac:dyDescent="0.25">
      <c r="A41" s="40" t="s">
        <v>154</v>
      </c>
      <c r="B41" s="41"/>
      <c r="C41" s="42">
        <v>2</v>
      </c>
      <c r="D41" s="43">
        <v>41000</v>
      </c>
      <c r="E41" s="43">
        <f t="shared" si="0"/>
        <v>82000</v>
      </c>
      <c r="F41" s="44">
        <v>43745</v>
      </c>
      <c r="G41" s="43">
        <f t="shared" si="1"/>
        <v>43050</v>
      </c>
    </row>
    <row r="42" spans="1:7" x14ac:dyDescent="0.25">
      <c r="A42" s="40" t="s">
        <v>141</v>
      </c>
      <c r="B42" s="41"/>
      <c r="C42" s="42">
        <v>4</v>
      </c>
      <c r="D42" s="43">
        <v>41600</v>
      </c>
      <c r="E42" s="43">
        <f t="shared" si="0"/>
        <v>166400</v>
      </c>
      <c r="F42" s="44">
        <v>43742</v>
      </c>
      <c r="G42" s="43">
        <f t="shared" si="1"/>
        <v>43680</v>
      </c>
    </row>
    <row r="43" spans="1:7" ht="30" x14ac:dyDescent="0.25">
      <c r="A43" s="40" t="s">
        <v>155</v>
      </c>
      <c r="B43" s="41"/>
      <c r="C43" s="42">
        <v>6</v>
      </c>
      <c r="D43" s="43">
        <v>22900</v>
      </c>
      <c r="E43" s="43">
        <f t="shared" si="0"/>
        <v>137400</v>
      </c>
      <c r="F43" s="44">
        <v>43741</v>
      </c>
      <c r="G43" s="43">
        <f t="shared" si="1"/>
        <v>24045</v>
      </c>
    </row>
    <row r="44" spans="1:7" x14ac:dyDescent="0.25">
      <c r="A44" s="40" t="s">
        <v>156</v>
      </c>
      <c r="B44" s="41"/>
      <c r="C44" s="42">
        <v>10</v>
      </c>
      <c r="D44" s="43">
        <v>18250</v>
      </c>
      <c r="E44" s="43">
        <f t="shared" si="0"/>
        <v>182500</v>
      </c>
      <c r="F44" s="44">
        <v>43741</v>
      </c>
      <c r="G44" s="43">
        <f t="shared" si="1"/>
        <v>19162.5</v>
      </c>
    </row>
    <row r="45" spans="1:7" x14ac:dyDescent="0.25">
      <c r="A45" s="40" t="s">
        <v>157</v>
      </c>
      <c r="B45" s="41"/>
      <c r="C45" s="42">
        <v>1</v>
      </c>
      <c r="D45" s="43">
        <v>65000</v>
      </c>
      <c r="E45" s="43">
        <f t="shared" si="0"/>
        <v>65000</v>
      </c>
      <c r="F45" s="44">
        <v>43741</v>
      </c>
      <c r="G45" s="43">
        <f t="shared" si="1"/>
        <v>68250</v>
      </c>
    </row>
    <row r="46" spans="1:7" x14ac:dyDescent="0.25">
      <c r="A46" s="40" t="s">
        <v>157</v>
      </c>
      <c r="B46" s="41"/>
      <c r="C46" s="42">
        <v>1</v>
      </c>
      <c r="D46" s="43">
        <v>65000</v>
      </c>
      <c r="E46" s="43">
        <f t="shared" si="0"/>
        <v>65000</v>
      </c>
      <c r="F46" s="44">
        <v>43741</v>
      </c>
      <c r="G46" s="43">
        <f t="shared" si="1"/>
        <v>68250</v>
      </c>
    </row>
    <row r="47" spans="1:7" x14ac:dyDescent="0.25">
      <c r="A47" s="40" t="s">
        <v>158</v>
      </c>
      <c r="B47" s="41"/>
      <c r="C47" s="42">
        <v>17</v>
      </c>
      <c r="D47" s="43">
        <v>14000</v>
      </c>
      <c r="E47" s="43">
        <f t="shared" si="0"/>
        <v>238000</v>
      </c>
      <c r="F47" s="44">
        <v>43741</v>
      </c>
      <c r="G47" s="43">
        <f t="shared" si="1"/>
        <v>14700</v>
      </c>
    </row>
    <row r="48" spans="1:7" x14ac:dyDescent="0.25">
      <c r="A48" s="40" t="s">
        <v>147</v>
      </c>
      <c r="B48" s="41"/>
      <c r="C48" s="42">
        <v>1</v>
      </c>
      <c r="D48" s="43">
        <v>52500</v>
      </c>
      <c r="E48" s="43">
        <f t="shared" si="0"/>
        <v>52500</v>
      </c>
      <c r="F48" s="44">
        <v>43741</v>
      </c>
      <c r="G48" s="43">
        <f t="shared" si="1"/>
        <v>55125</v>
      </c>
    </row>
    <row r="49" spans="1:7" x14ac:dyDescent="0.25">
      <c r="A49" s="40" t="s">
        <v>159</v>
      </c>
      <c r="B49" s="41"/>
      <c r="C49" s="42">
        <v>2</v>
      </c>
      <c r="D49" s="43">
        <v>113000</v>
      </c>
      <c r="E49" s="43">
        <f t="shared" si="0"/>
        <v>226000</v>
      </c>
      <c r="F49" s="44">
        <v>43739</v>
      </c>
      <c r="G49" s="43">
        <f t="shared" si="1"/>
        <v>118650</v>
      </c>
    </row>
    <row r="50" spans="1:7" x14ac:dyDescent="0.25">
      <c r="A50" s="40" t="s">
        <v>160</v>
      </c>
      <c r="B50" s="41"/>
      <c r="C50" s="42">
        <v>1</v>
      </c>
      <c r="D50" s="43">
        <v>74500</v>
      </c>
      <c r="E50" s="43">
        <f t="shared" si="0"/>
        <v>74500</v>
      </c>
      <c r="F50" s="44">
        <v>43739</v>
      </c>
      <c r="G50" s="43">
        <f t="shared" si="1"/>
        <v>78225</v>
      </c>
    </row>
    <row r="51" spans="1:7" x14ac:dyDescent="0.25">
      <c r="A51" s="40" t="s">
        <v>161</v>
      </c>
      <c r="B51" s="41"/>
      <c r="C51" s="42">
        <v>2</v>
      </c>
      <c r="D51" s="43">
        <v>21000</v>
      </c>
      <c r="E51" s="43">
        <f t="shared" si="0"/>
        <v>42000</v>
      </c>
      <c r="F51" s="44">
        <v>43739</v>
      </c>
      <c r="G51" s="43">
        <f t="shared" si="1"/>
        <v>22050</v>
      </c>
    </row>
    <row r="52" spans="1:7" x14ac:dyDescent="0.25">
      <c r="A52" s="40" t="s">
        <v>162</v>
      </c>
      <c r="B52" s="41"/>
      <c r="C52" s="42">
        <v>4</v>
      </c>
      <c r="D52" s="43">
        <v>31500</v>
      </c>
      <c r="E52" s="43">
        <f t="shared" si="0"/>
        <v>126000</v>
      </c>
      <c r="F52" s="44">
        <v>43732</v>
      </c>
      <c r="G52" s="43">
        <f t="shared" si="1"/>
        <v>33075</v>
      </c>
    </row>
    <row r="53" spans="1:7" x14ac:dyDescent="0.25">
      <c r="A53" s="40" t="s">
        <v>144</v>
      </c>
      <c r="B53" s="41"/>
      <c r="C53" s="42">
        <v>3</v>
      </c>
      <c r="D53" s="43">
        <v>43000</v>
      </c>
      <c r="E53" s="43">
        <f t="shared" si="0"/>
        <v>129000</v>
      </c>
      <c r="F53" s="44">
        <v>43732</v>
      </c>
      <c r="G53" s="43">
        <f t="shared" si="1"/>
        <v>45150</v>
      </c>
    </row>
    <row r="54" spans="1:7" x14ac:dyDescent="0.25">
      <c r="A54" s="40" t="s">
        <v>126</v>
      </c>
      <c r="B54" s="41"/>
      <c r="C54" s="42">
        <v>1</v>
      </c>
      <c r="D54" s="43">
        <v>75000</v>
      </c>
      <c r="E54" s="43">
        <f t="shared" si="0"/>
        <v>75000</v>
      </c>
      <c r="F54" s="44">
        <v>43732</v>
      </c>
      <c r="G54" s="43">
        <f t="shared" si="1"/>
        <v>78750</v>
      </c>
    </row>
    <row r="55" spans="1:7" x14ac:dyDescent="0.25">
      <c r="A55" s="40" t="s">
        <v>149</v>
      </c>
      <c r="B55" s="41"/>
      <c r="C55" s="42">
        <v>1</v>
      </c>
      <c r="D55" s="43">
        <v>29000</v>
      </c>
      <c r="E55" s="43">
        <f t="shared" si="0"/>
        <v>29000</v>
      </c>
      <c r="F55" s="44">
        <v>43732</v>
      </c>
      <c r="G55" s="43">
        <f t="shared" si="1"/>
        <v>30450</v>
      </c>
    </row>
    <row r="56" spans="1:7" ht="30" x14ac:dyDescent="0.25">
      <c r="A56" s="40" t="s">
        <v>163</v>
      </c>
      <c r="B56" s="41"/>
      <c r="C56" s="42">
        <v>6</v>
      </c>
      <c r="D56" s="43">
        <v>34000</v>
      </c>
      <c r="E56" s="43">
        <f t="shared" si="0"/>
        <v>204000</v>
      </c>
      <c r="F56" s="44">
        <v>43721</v>
      </c>
      <c r="G56" s="43">
        <f t="shared" si="1"/>
        <v>35700</v>
      </c>
    </row>
    <row r="57" spans="1:7" ht="30" x14ac:dyDescent="0.25">
      <c r="A57" s="40" t="s">
        <v>163</v>
      </c>
      <c r="B57" s="41"/>
      <c r="C57" s="42">
        <v>1</v>
      </c>
      <c r="D57" s="43">
        <v>34000</v>
      </c>
      <c r="E57" s="43">
        <f t="shared" si="0"/>
        <v>34000</v>
      </c>
      <c r="F57" s="44">
        <v>43721</v>
      </c>
      <c r="G57" s="43">
        <f t="shared" si="1"/>
        <v>35700</v>
      </c>
    </row>
    <row r="58" spans="1:7" x14ac:dyDescent="0.25">
      <c r="A58" s="40" t="s">
        <v>164</v>
      </c>
      <c r="B58" s="41"/>
      <c r="C58" s="42">
        <v>1</v>
      </c>
      <c r="D58" s="43">
        <v>98003.33</v>
      </c>
      <c r="E58" s="43">
        <f t="shared" si="0"/>
        <v>98003.33</v>
      </c>
      <c r="F58" s="44">
        <v>43721</v>
      </c>
      <c r="G58" s="43">
        <f t="shared" si="1"/>
        <v>102903.5</v>
      </c>
    </row>
    <row r="59" spans="1:7" x14ac:dyDescent="0.25">
      <c r="A59" s="40" t="s">
        <v>149</v>
      </c>
      <c r="B59" s="41"/>
      <c r="C59" s="42">
        <v>1</v>
      </c>
      <c r="D59" s="43">
        <v>29000</v>
      </c>
      <c r="E59" s="43">
        <f t="shared" si="0"/>
        <v>29000</v>
      </c>
      <c r="F59" s="44">
        <v>43721</v>
      </c>
      <c r="G59" s="43">
        <f t="shared" si="1"/>
        <v>30450</v>
      </c>
    </row>
    <row r="60" spans="1:7" x14ac:dyDescent="0.25">
      <c r="A60" s="40" t="s">
        <v>165</v>
      </c>
      <c r="B60" s="41"/>
      <c r="C60" s="42">
        <v>8</v>
      </c>
      <c r="D60" s="43">
        <v>7900</v>
      </c>
      <c r="E60" s="43">
        <f t="shared" si="0"/>
        <v>63200</v>
      </c>
      <c r="F60" s="44">
        <v>43703</v>
      </c>
      <c r="G60" s="43">
        <f t="shared" si="1"/>
        <v>8295</v>
      </c>
    </row>
    <row r="61" spans="1:7" x14ac:dyDescent="0.25">
      <c r="A61" s="40" t="s">
        <v>166</v>
      </c>
      <c r="B61" s="41"/>
      <c r="C61" s="42">
        <v>44</v>
      </c>
      <c r="D61" s="43">
        <v>9500</v>
      </c>
      <c r="E61" s="43">
        <f t="shared" si="0"/>
        <v>418000</v>
      </c>
      <c r="F61" s="44">
        <v>43703</v>
      </c>
      <c r="G61" s="43">
        <f t="shared" si="1"/>
        <v>9975</v>
      </c>
    </row>
    <row r="62" spans="1:7" x14ac:dyDescent="0.25">
      <c r="A62" s="40" t="s">
        <v>167</v>
      </c>
      <c r="B62" s="41"/>
      <c r="C62" s="42">
        <v>24</v>
      </c>
      <c r="D62" s="43">
        <v>10400</v>
      </c>
      <c r="E62" s="43">
        <f t="shared" si="0"/>
        <v>249600</v>
      </c>
      <c r="F62" s="44">
        <v>43703</v>
      </c>
      <c r="G62" s="43">
        <f t="shared" si="1"/>
        <v>10920</v>
      </c>
    </row>
    <row r="63" spans="1:7" x14ac:dyDescent="0.25">
      <c r="A63" s="40" t="s">
        <v>168</v>
      </c>
      <c r="B63" s="41"/>
      <c r="C63" s="42">
        <v>7</v>
      </c>
      <c r="D63" s="43">
        <v>11500</v>
      </c>
      <c r="E63" s="43">
        <f t="shared" si="0"/>
        <v>80500</v>
      </c>
      <c r="F63" s="44">
        <v>43703</v>
      </c>
      <c r="G63" s="43">
        <f t="shared" si="1"/>
        <v>12075</v>
      </c>
    </row>
    <row r="64" spans="1:7" x14ac:dyDescent="0.25">
      <c r="A64" s="40" t="s">
        <v>169</v>
      </c>
      <c r="B64" s="41"/>
      <c r="C64" s="42">
        <v>14</v>
      </c>
      <c r="D64" s="43">
        <v>11900</v>
      </c>
      <c r="E64" s="43">
        <f t="shared" si="0"/>
        <v>166600</v>
      </c>
      <c r="F64" s="44">
        <v>43703</v>
      </c>
      <c r="G64" s="43">
        <f t="shared" si="1"/>
        <v>12495</v>
      </c>
    </row>
    <row r="65" spans="1:7" x14ac:dyDescent="0.25">
      <c r="A65" s="40" t="s">
        <v>170</v>
      </c>
      <c r="B65" s="41"/>
      <c r="C65" s="42">
        <v>10</v>
      </c>
      <c r="D65" s="43">
        <v>12200</v>
      </c>
      <c r="E65" s="43">
        <f t="shared" si="0"/>
        <v>122000</v>
      </c>
      <c r="F65" s="44">
        <v>43703</v>
      </c>
      <c r="G65" s="43">
        <f t="shared" si="1"/>
        <v>12810</v>
      </c>
    </row>
    <row r="66" spans="1:7" x14ac:dyDescent="0.25">
      <c r="A66" s="40" t="s">
        <v>171</v>
      </c>
      <c r="B66" s="41"/>
      <c r="C66" s="42">
        <v>33</v>
      </c>
      <c r="D66" s="43">
        <v>12600</v>
      </c>
      <c r="E66" s="43">
        <f t="shared" si="0"/>
        <v>415800</v>
      </c>
      <c r="F66" s="44">
        <v>43703</v>
      </c>
      <c r="G66" s="43">
        <f t="shared" si="1"/>
        <v>13230</v>
      </c>
    </row>
    <row r="67" spans="1:7" x14ac:dyDescent="0.25">
      <c r="A67" s="40" t="s">
        <v>172</v>
      </c>
      <c r="B67" s="41"/>
      <c r="C67" s="42">
        <v>7</v>
      </c>
      <c r="D67" s="43">
        <v>12900</v>
      </c>
      <c r="E67" s="43">
        <f t="shared" si="0"/>
        <v>90300</v>
      </c>
      <c r="F67" s="44">
        <v>43703</v>
      </c>
      <c r="G67" s="43">
        <f t="shared" si="1"/>
        <v>13545</v>
      </c>
    </row>
    <row r="68" spans="1:7" ht="30" x14ac:dyDescent="0.25">
      <c r="A68" s="40" t="s">
        <v>173</v>
      </c>
      <c r="B68" s="41"/>
      <c r="C68" s="42">
        <v>11</v>
      </c>
      <c r="D68" s="43">
        <v>81666.67</v>
      </c>
      <c r="E68" s="43">
        <f t="shared" ref="E68:E131" si="2">ROUND(C68*D68,2)</f>
        <v>898333.37</v>
      </c>
      <c r="F68" s="44">
        <v>43700</v>
      </c>
      <c r="G68" s="43">
        <f t="shared" ref="G68:G119" si="3">ROUND(D68*$I$2,2)</f>
        <v>85750</v>
      </c>
    </row>
    <row r="69" spans="1:7" x14ac:dyDescent="0.25">
      <c r="A69" s="40" t="s">
        <v>174</v>
      </c>
      <c r="B69" s="41"/>
      <c r="C69" s="42">
        <v>2</v>
      </c>
      <c r="D69" s="43">
        <v>87000</v>
      </c>
      <c r="E69" s="43">
        <f t="shared" si="2"/>
        <v>174000</v>
      </c>
      <c r="F69" s="44">
        <v>43699</v>
      </c>
      <c r="G69" s="43">
        <f t="shared" si="3"/>
        <v>91350</v>
      </c>
    </row>
    <row r="70" spans="1:7" x14ac:dyDescent="0.25">
      <c r="A70" s="40" t="s">
        <v>175</v>
      </c>
      <c r="B70" s="41"/>
      <c r="C70" s="42">
        <v>1</v>
      </c>
      <c r="D70" s="43">
        <v>43000</v>
      </c>
      <c r="E70" s="43">
        <f t="shared" si="2"/>
        <v>43000</v>
      </c>
      <c r="F70" s="44">
        <v>43684</v>
      </c>
      <c r="G70" s="43">
        <f t="shared" si="3"/>
        <v>45150</v>
      </c>
    </row>
    <row r="71" spans="1:7" x14ac:dyDescent="0.25">
      <c r="A71" s="40" t="s">
        <v>176</v>
      </c>
      <c r="B71" s="41"/>
      <c r="C71" s="42">
        <v>8</v>
      </c>
      <c r="D71" s="43">
        <v>94000</v>
      </c>
      <c r="E71" s="43">
        <f t="shared" si="2"/>
        <v>752000</v>
      </c>
      <c r="F71" s="44">
        <v>43684</v>
      </c>
      <c r="G71" s="43">
        <f t="shared" si="3"/>
        <v>98700</v>
      </c>
    </row>
    <row r="72" spans="1:7" ht="30" x14ac:dyDescent="0.25">
      <c r="A72" s="40" t="s">
        <v>177</v>
      </c>
      <c r="B72" s="41"/>
      <c r="C72" s="42">
        <v>24</v>
      </c>
      <c r="D72" s="43">
        <v>25000</v>
      </c>
      <c r="E72" s="43">
        <f t="shared" si="2"/>
        <v>600000</v>
      </c>
      <c r="F72" s="44">
        <v>43677</v>
      </c>
      <c r="G72" s="43">
        <f t="shared" si="3"/>
        <v>26250</v>
      </c>
    </row>
    <row r="73" spans="1:7" x14ac:dyDescent="0.25">
      <c r="A73" s="40" t="s">
        <v>178</v>
      </c>
      <c r="B73" s="41"/>
      <c r="C73" s="42">
        <v>1</v>
      </c>
      <c r="D73" s="43">
        <v>47000</v>
      </c>
      <c r="E73" s="43">
        <f t="shared" si="2"/>
        <v>47000</v>
      </c>
      <c r="F73" s="44">
        <v>43677</v>
      </c>
      <c r="G73" s="43">
        <f t="shared" si="3"/>
        <v>49350</v>
      </c>
    </row>
    <row r="74" spans="1:7" ht="30" x14ac:dyDescent="0.25">
      <c r="A74" s="40" t="s">
        <v>173</v>
      </c>
      <c r="B74" s="41"/>
      <c r="C74" s="42">
        <v>1</v>
      </c>
      <c r="D74" s="43">
        <v>81666.66</v>
      </c>
      <c r="E74" s="43">
        <f t="shared" si="2"/>
        <v>81666.66</v>
      </c>
      <c r="F74" s="44">
        <v>43649</v>
      </c>
      <c r="G74" s="43">
        <f t="shared" si="3"/>
        <v>85749.99</v>
      </c>
    </row>
    <row r="75" spans="1:7" x14ac:dyDescent="0.25">
      <c r="A75" s="40" t="s">
        <v>179</v>
      </c>
      <c r="B75" s="41"/>
      <c r="C75" s="42">
        <v>4</v>
      </c>
      <c r="D75" s="43">
        <v>52000</v>
      </c>
      <c r="E75" s="43">
        <f t="shared" si="2"/>
        <v>208000</v>
      </c>
      <c r="F75" s="44">
        <v>43649</v>
      </c>
      <c r="G75" s="43">
        <f t="shared" si="3"/>
        <v>54600</v>
      </c>
    </row>
    <row r="76" spans="1:7" ht="30" x14ac:dyDescent="0.25">
      <c r="A76" s="40" t="s">
        <v>173</v>
      </c>
      <c r="B76" s="41"/>
      <c r="C76" s="42">
        <v>9</v>
      </c>
      <c r="D76" s="43">
        <v>81666.67</v>
      </c>
      <c r="E76" s="43">
        <f t="shared" si="2"/>
        <v>735000.03</v>
      </c>
      <c r="F76" s="44">
        <v>43636</v>
      </c>
      <c r="G76" s="43">
        <f t="shared" si="3"/>
        <v>85750</v>
      </c>
    </row>
    <row r="77" spans="1:7" x14ac:dyDescent="0.25">
      <c r="A77" s="40" t="s">
        <v>180</v>
      </c>
      <c r="B77" s="41"/>
      <c r="C77" s="42">
        <v>5</v>
      </c>
      <c r="D77" s="43">
        <v>37000</v>
      </c>
      <c r="E77" s="43">
        <f t="shared" si="2"/>
        <v>185000</v>
      </c>
      <c r="F77" s="44">
        <v>43636</v>
      </c>
      <c r="G77" s="43">
        <f t="shared" si="3"/>
        <v>38850</v>
      </c>
    </row>
    <row r="78" spans="1:7" x14ac:dyDescent="0.25">
      <c r="A78" s="40" t="s">
        <v>181</v>
      </c>
      <c r="B78" s="41"/>
      <c r="C78" s="42">
        <v>1</v>
      </c>
      <c r="D78" s="43">
        <v>120000</v>
      </c>
      <c r="E78" s="43">
        <f t="shared" si="2"/>
        <v>120000</v>
      </c>
      <c r="F78" s="44">
        <v>43636</v>
      </c>
      <c r="G78" s="43">
        <f t="shared" si="3"/>
        <v>126000</v>
      </c>
    </row>
    <row r="79" spans="1:7" ht="30" x14ac:dyDescent="0.25">
      <c r="A79" s="40" t="s">
        <v>137</v>
      </c>
      <c r="B79" s="41"/>
      <c r="C79" s="42">
        <v>3</v>
      </c>
      <c r="D79" s="43">
        <v>37000</v>
      </c>
      <c r="E79" s="43">
        <f t="shared" si="2"/>
        <v>111000</v>
      </c>
      <c r="F79" s="44">
        <v>43623</v>
      </c>
      <c r="G79" s="43">
        <f t="shared" si="3"/>
        <v>38850</v>
      </c>
    </row>
    <row r="80" spans="1:7" x14ac:dyDescent="0.25">
      <c r="A80" s="40" t="s">
        <v>180</v>
      </c>
      <c r="B80" s="41"/>
      <c r="C80" s="42">
        <v>1</v>
      </c>
      <c r="D80" s="43">
        <v>37000</v>
      </c>
      <c r="E80" s="43">
        <f t="shared" si="2"/>
        <v>37000</v>
      </c>
      <c r="F80" s="44">
        <v>43623</v>
      </c>
      <c r="G80" s="43">
        <f t="shared" si="3"/>
        <v>38850</v>
      </c>
    </row>
    <row r="81" spans="1:7" ht="30" x14ac:dyDescent="0.25">
      <c r="A81" s="40" t="s">
        <v>182</v>
      </c>
      <c r="B81" s="41"/>
      <c r="C81" s="42">
        <v>3</v>
      </c>
      <c r="D81" s="43">
        <v>28240</v>
      </c>
      <c r="E81" s="43">
        <f t="shared" si="2"/>
        <v>84720</v>
      </c>
      <c r="F81" s="44">
        <v>43623</v>
      </c>
      <c r="G81" s="43">
        <f t="shared" si="3"/>
        <v>29652</v>
      </c>
    </row>
    <row r="82" spans="1:7" x14ac:dyDescent="0.25">
      <c r="A82" s="40" t="s">
        <v>175</v>
      </c>
      <c r="B82" s="41"/>
      <c r="C82" s="42">
        <v>4</v>
      </c>
      <c r="D82" s="43">
        <v>43000</v>
      </c>
      <c r="E82" s="43">
        <f t="shared" si="2"/>
        <v>172000</v>
      </c>
      <c r="F82" s="44">
        <v>43574</v>
      </c>
      <c r="G82" s="43">
        <f t="shared" si="3"/>
        <v>45150</v>
      </c>
    </row>
    <row r="83" spans="1:7" x14ac:dyDescent="0.25">
      <c r="A83" s="40" t="s">
        <v>183</v>
      </c>
      <c r="B83" s="41"/>
      <c r="C83" s="42">
        <v>4</v>
      </c>
      <c r="D83" s="43">
        <v>39000</v>
      </c>
      <c r="E83" s="43">
        <f t="shared" si="2"/>
        <v>156000</v>
      </c>
      <c r="F83" s="44">
        <v>43574</v>
      </c>
      <c r="G83" s="43">
        <f t="shared" si="3"/>
        <v>40950</v>
      </c>
    </row>
    <row r="84" spans="1:7" x14ac:dyDescent="0.25">
      <c r="A84" s="40" t="s">
        <v>184</v>
      </c>
      <c r="B84" s="41"/>
      <c r="C84" s="42">
        <v>1</v>
      </c>
      <c r="D84" s="43">
        <v>43000</v>
      </c>
      <c r="E84" s="43">
        <f t="shared" si="2"/>
        <v>43000</v>
      </c>
      <c r="F84" s="44">
        <v>43566</v>
      </c>
      <c r="G84" s="43">
        <f t="shared" si="3"/>
        <v>45150</v>
      </c>
    </row>
    <row r="85" spans="1:7" ht="30" x14ac:dyDescent="0.25">
      <c r="A85" s="40" t="s">
        <v>185</v>
      </c>
      <c r="B85" s="41"/>
      <c r="C85" s="42">
        <v>1</v>
      </c>
      <c r="D85" s="43">
        <v>61000</v>
      </c>
      <c r="E85" s="43">
        <f t="shared" si="2"/>
        <v>61000</v>
      </c>
      <c r="F85" s="44">
        <v>43566</v>
      </c>
      <c r="G85" s="43">
        <f t="shared" si="3"/>
        <v>64050</v>
      </c>
    </row>
    <row r="86" spans="1:7" x14ac:dyDescent="0.25">
      <c r="A86" s="40" t="s">
        <v>183</v>
      </c>
      <c r="B86" s="41"/>
      <c r="C86" s="42">
        <v>4</v>
      </c>
      <c r="D86" s="43">
        <v>39000</v>
      </c>
      <c r="E86" s="43">
        <f t="shared" si="2"/>
        <v>156000</v>
      </c>
      <c r="F86" s="44">
        <v>43566</v>
      </c>
      <c r="G86" s="43">
        <f t="shared" si="3"/>
        <v>40950</v>
      </c>
    </row>
    <row r="87" spans="1:7" x14ac:dyDescent="0.25">
      <c r="A87" s="40" t="s">
        <v>178</v>
      </c>
      <c r="B87" s="41"/>
      <c r="C87" s="42">
        <v>1</v>
      </c>
      <c r="D87" s="43">
        <v>47000</v>
      </c>
      <c r="E87" s="43">
        <f t="shared" si="2"/>
        <v>47000</v>
      </c>
      <c r="F87" s="44">
        <v>43566</v>
      </c>
      <c r="G87" s="43">
        <f t="shared" si="3"/>
        <v>49350</v>
      </c>
    </row>
    <row r="88" spans="1:7" ht="30" x14ac:dyDescent="0.25">
      <c r="A88" s="40" t="s">
        <v>186</v>
      </c>
      <c r="B88" s="41"/>
      <c r="C88" s="42">
        <v>1</v>
      </c>
      <c r="D88" s="43">
        <v>105000</v>
      </c>
      <c r="E88" s="43">
        <f t="shared" si="2"/>
        <v>105000</v>
      </c>
      <c r="F88" s="44">
        <v>43566</v>
      </c>
      <c r="G88" s="43">
        <f t="shared" si="3"/>
        <v>110250</v>
      </c>
    </row>
    <row r="89" spans="1:7" x14ac:dyDescent="0.25">
      <c r="A89" s="40" t="s">
        <v>187</v>
      </c>
      <c r="B89" s="41"/>
      <c r="C89" s="42">
        <v>3</v>
      </c>
      <c r="D89" s="43">
        <v>41000</v>
      </c>
      <c r="E89" s="43">
        <f t="shared" si="2"/>
        <v>123000</v>
      </c>
      <c r="F89" s="44">
        <v>43556</v>
      </c>
      <c r="G89" s="43">
        <f t="shared" si="3"/>
        <v>43050</v>
      </c>
    </row>
    <row r="90" spans="1:7" x14ac:dyDescent="0.25">
      <c r="A90" s="40" t="s">
        <v>188</v>
      </c>
      <c r="B90" s="41"/>
      <c r="C90" s="42">
        <v>7</v>
      </c>
      <c r="D90" s="43">
        <v>27000</v>
      </c>
      <c r="E90" s="43">
        <f t="shared" si="2"/>
        <v>189000</v>
      </c>
      <c r="F90" s="44">
        <v>43556</v>
      </c>
      <c r="G90" s="43">
        <f t="shared" si="3"/>
        <v>28350</v>
      </c>
    </row>
    <row r="91" spans="1:7" ht="30" x14ac:dyDescent="0.25">
      <c r="A91" s="40" t="s">
        <v>189</v>
      </c>
      <c r="B91" s="41"/>
      <c r="C91" s="42">
        <v>1</v>
      </c>
      <c r="D91" s="43">
        <v>54000</v>
      </c>
      <c r="E91" s="43">
        <f t="shared" si="2"/>
        <v>54000</v>
      </c>
      <c r="F91" s="44">
        <v>43544</v>
      </c>
      <c r="G91" s="43">
        <f t="shared" si="3"/>
        <v>56700</v>
      </c>
    </row>
    <row r="92" spans="1:7" ht="30" x14ac:dyDescent="0.25">
      <c r="A92" s="40" t="s">
        <v>190</v>
      </c>
      <c r="B92" s="41"/>
      <c r="C92" s="42">
        <v>1</v>
      </c>
      <c r="D92" s="43">
        <v>87000</v>
      </c>
      <c r="E92" s="43">
        <f t="shared" si="2"/>
        <v>87000</v>
      </c>
      <c r="F92" s="44">
        <v>43544</v>
      </c>
      <c r="G92" s="43">
        <f t="shared" si="3"/>
        <v>91350</v>
      </c>
    </row>
    <row r="93" spans="1:7" x14ac:dyDescent="0.25">
      <c r="A93" s="40" t="s">
        <v>191</v>
      </c>
      <c r="B93" s="41"/>
      <c r="C93" s="42">
        <v>1</v>
      </c>
      <c r="D93" s="43">
        <v>43000</v>
      </c>
      <c r="E93" s="43">
        <f t="shared" si="2"/>
        <v>43000</v>
      </c>
      <c r="F93" s="44">
        <v>43542</v>
      </c>
      <c r="G93" s="43">
        <f t="shared" si="3"/>
        <v>45150</v>
      </c>
    </row>
    <row r="94" spans="1:7" ht="30" x14ac:dyDescent="0.25">
      <c r="A94" s="40" t="s">
        <v>189</v>
      </c>
      <c r="B94" s="41"/>
      <c r="C94" s="42">
        <v>1</v>
      </c>
      <c r="D94" s="43">
        <v>54000</v>
      </c>
      <c r="E94" s="43">
        <f t="shared" si="2"/>
        <v>54000</v>
      </c>
      <c r="F94" s="44">
        <v>43542</v>
      </c>
      <c r="G94" s="43">
        <f t="shared" si="3"/>
        <v>56700</v>
      </c>
    </row>
    <row r="95" spans="1:7" x14ac:dyDescent="0.25">
      <c r="A95" s="40" t="s">
        <v>175</v>
      </c>
      <c r="B95" s="41"/>
      <c r="C95" s="42">
        <v>2</v>
      </c>
      <c r="D95" s="43">
        <v>43000</v>
      </c>
      <c r="E95" s="43">
        <f t="shared" si="2"/>
        <v>86000</v>
      </c>
      <c r="F95" s="44">
        <v>43537</v>
      </c>
      <c r="G95" s="43">
        <f t="shared" si="3"/>
        <v>45150</v>
      </c>
    </row>
    <row r="96" spans="1:7" ht="30" x14ac:dyDescent="0.25">
      <c r="A96" s="40" t="s">
        <v>192</v>
      </c>
      <c r="B96" s="41"/>
      <c r="C96" s="42">
        <v>3</v>
      </c>
      <c r="D96" s="43">
        <v>45000</v>
      </c>
      <c r="E96" s="43">
        <f t="shared" si="2"/>
        <v>135000</v>
      </c>
      <c r="F96" s="44">
        <v>43537</v>
      </c>
      <c r="G96" s="43">
        <f t="shared" si="3"/>
        <v>47250</v>
      </c>
    </row>
    <row r="97" spans="1:7" ht="30" x14ac:dyDescent="0.25">
      <c r="A97" s="40" t="s">
        <v>193</v>
      </c>
      <c r="B97" s="41"/>
      <c r="C97" s="42">
        <v>2</v>
      </c>
      <c r="D97" s="43">
        <v>65000</v>
      </c>
      <c r="E97" s="43">
        <f t="shared" si="2"/>
        <v>130000</v>
      </c>
      <c r="F97" s="44">
        <v>43525</v>
      </c>
      <c r="G97" s="43">
        <f t="shared" si="3"/>
        <v>68250</v>
      </c>
    </row>
    <row r="98" spans="1:7" ht="30" x14ac:dyDescent="0.25">
      <c r="A98" s="40" t="s">
        <v>194</v>
      </c>
      <c r="B98" s="41"/>
      <c r="C98" s="42">
        <v>1</v>
      </c>
      <c r="D98" s="43">
        <v>43000</v>
      </c>
      <c r="E98" s="43">
        <f t="shared" si="2"/>
        <v>43000</v>
      </c>
      <c r="F98" s="44">
        <v>43525</v>
      </c>
      <c r="G98" s="43">
        <f t="shared" si="3"/>
        <v>45150</v>
      </c>
    </row>
    <row r="99" spans="1:7" ht="30" x14ac:dyDescent="0.25">
      <c r="A99" s="40" t="s">
        <v>192</v>
      </c>
      <c r="B99" s="41"/>
      <c r="C99" s="42">
        <v>3</v>
      </c>
      <c r="D99" s="43">
        <v>45000</v>
      </c>
      <c r="E99" s="43">
        <f t="shared" si="2"/>
        <v>135000</v>
      </c>
      <c r="F99" s="44">
        <v>43525</v>
      </c>
      <c r="G99" s="43">
        <f t="shared" si="3"/>
        <v>47250</v>
      </c>
    </row>
    <row r="100" spans="1:7" ht="30" x14ac:dyDescent="0.25">
      <c r="A100" s="40" t="s">
        <v>190</v>
      </c>
      <c r="B100" s="41"/>
      <c r="C100" s="42">
        <v>1</v>
      </c>
      <c r="D100" s="43">
        <v>87000</v>
      </c>
      <c r="E100" s="43">
        <f t="shared" si="2"/>
        <v>87000</v>
      </c>
      <c r="F100" s="44">
        <v>43525</v>
      </c>
      <c r="G100" s="43">
        <f t="shared" si="3"/>
        <v>91350</v>
      </c>
    </row>
    <row r="101" spans="1:7" x14ac:dyDescent="0.25">
      <c r="A101" s="40" t="s">
        <v>178</v>
      </c>
      <c r="B101" s="41"/>
      <c r="C101" s="42">
        <v>1</v>
      </c>
      <c r="D101" s="43">
        <v>47000</v>
      </c>
      <c r="E101" s="43">
        <f t="shared" si="2"/>
        <v>47000</v>
      </c>
      <c r="F101" s="44">
        <v>43525</v>
      </c>
      <c r="G101" s="43">
        <f t="shared" si="3"/>
        <v>49350</v>
      </c>
    </row>
    <row r="102" spans="1:7" ht="30" x14ac:dyDescent="0.25">
      <c r="A102" s="40" t="s">
        <v>195</v>
      </c>
      <c r="B102" s="41"/>
      <c r="C102" s="42">
        <v>1</v>
      </c>
      <c r="D102" s="43">
        <v>104000</v>
      </c>
      <c r="E102" s="43">
        <f t="shared" si="2"/>
        <v>104000</v>
      </c>
      <c r="F102" s="44">
        <v>43525</v>
      </c>
      <c r="G102" s="43">
        <f t="shared" si="3"/>
        <v>109200</v>
      </c>
    </row>
    <row r="103" spans="1:7" ht="30" x14ac:dyDescent="0.25">
      <c r="A103" s="40" t="s">
        <v>196</v>
      </c>
      <c r="B103" s="41"/>
      <c r="C103" s="42">
        <v>1</v>
      </c>
      <c r="D103" s="43">
        <v>11500</v>
      </c>
      <c r="E103" s="43">
        <f t="shared" si="2"/>
        <v>11500</v>
      </c>
      <c r="F103" s="44">
        <v>43525</v>
      </c>
      <c r="G103" s="43">
        <f t="shared" si="3"/>
        <v>12075</v>
      </c>
    </row>
    <row r="104" spans="1:7" x14ac:dyDescent="0.25">
      <c r="A104" s="40" t="s">
        <v>183</v>
      </c>
      <c r="B104" s="41"/>
      <c r="C104" s="42">
        <v>3</v>
      </c>
      <c r="D104" s="43">
        <v>39000</v>
      </c>
      <c r="E104" s="43">
        <f t="shared" si="2"/>
        <v>117000</v>
      </c>
      <c r="F104" s="44">
        <v>43515</v>
      </c>
      <c r="G104" s="43">
        <f t="shared" si="3"/>
        <v>40950</v>
      </c>
    </row>
    <row r="105" spans="1:7" x14ac:dyDescent="0.25">
      <c r="A105" s="40" t="s">
        <v>180</v>
      </c>
      <c r="B105" s="41"/>
      <c r="C105" s="42">
        <v>3</v>
      </c>
      <c r="D105" s="43">
        <v>37000</v>
      </c>
      <c r="E105" s="43">
        <f t="shared" si="2"/>
        <v>111000</v>
      </c>
      <c r="F105" s="44">
        <v>43509</v>
      </c>
      <c r="G105" s="43">
        <f t="shared" si="3"/>
        <v>38850</v>
      </c>
    </row>
    <row r="106" spans="1:7" ht="30" x14ac:dyDescent="0.25">
      <c r="A106" s="40" t="s">
        <v>189</v>
      </c>
      <c r="B106" s="41"/>
      <c r="C106" s="42">
        <v>1</v>
      </c>
      <c r="D106" s="43">
        <v>54000</v>
      </c>
      <c r="E106" s="43">
        <f t="shared" si="2"/>
        <v>54000</v>
      </c>
      <c r="F106" s="44">
        <v>43509</v>
      </c>
      <c r="G106" s="43">
        <f t="shared" si="3"/>
        <v>56700</v>
      </c>
    </row>
    <row r="107" spans="1:7" x14ac:dyDescent="0.25">
      <c r="A107" s="40" t="s">
        <v>197</v>
      </c>
      <c r="B107" s="41"/>
      <c r="C107" s="42">
        <v>1</v>
      </c>
      <c r="D107" s="43">
        <v>106000</v>
      </c>
      <c r="E107" s="43">
        <f t="shared" si="2"/>
        <v>106000</v>
      </c>
      <c r="F107" s="44">
        <v>43509</v>
      </c>
      <c r="G107" s="43">
        <f t="shared" si="3"/>
        <v>111300</v>
      </c>
    </row>
    <row r="108" spans="1:7" x14ac:dyDescent="0.25">
      <c r="A108" s="40" t="s">
        <v>198</v>
      </c>
      <c r="B108" s="41"/>
      <c r="C108" s="42">
        <v>1</v>
      </c>
      <c r="D108" s="43">
        <v>98000</v>
      </c>
      <c r="E108" s="43">
        <f t="shared" si="2"/>
        <v>98000</v>
      </c>
      <c r="F108" s="44">
        <v>43509</v>
      </c>
      <c r="G108" s="43">
        <f t="shared" si="3"/>
        <v>102900</v>
      </c>
    </row>
    <row r="109" spans="1:7" x14ac:dyDescent="0.25">
      <c r="A109" s="40" t="s">
        <v>199</v>
      </c>
      <c r="B109" s="41"/>
      <c r="C109" s="42">
        <v>4</v>
      </c>
      <c r="D109" s="43">
        <v>49000</v>
      </c>
      <c r="E109" s="43">
        <f t="shared" si="2"/>
        <v>196000</v>
      </c>
      <c r="F109" s="44">
        <v>43501</v>
      </c>
      <c r="G109" s="43">
        <f t="shared" si="3"/>
        <v>51450</v>
      </c>
    </row>
    <row r="110" spans="1:7" x14ac:dyDescent="0.25">
      <c r="A110" s="40" t="s">
        <v>200</v>
      </c>
      <c r="B110" s="41"/>
      <c r="C110" s="42">
        <v>3</v>
      </c>
      <c r="D110" s="43">
        <v>67000</v>
      </c>
      <c r="E110" s="43">
        <f t="shared" si="2"/>
        <v>201000</v>
      </c>
      <c r="F110" s="44">
        <v>43501</v>
      </c>
      <c r="G110" s="43">
        <f t="shared" si="3"/>
        <v>70350</v>
      </c>
    </row>
    <row r="111" spans="1:7" x14ac:dyDescent="0.25">
      <c r="A111" s="40" t="s">
        <v>201</v>
      </c>
      <c r="B111" s="41"/>
      <c r="C111" s="42">
        <v>1</v>
      </c>
      <c r="D111" s="43">
        <v>4500</v>
      </c>
      <c r="E111" s="43">
        <f t="shared" si="2"/>
        <v>4500</v>
      </c>
      <c r="F111" s="44">
        <v>43497</v>
      </c>
      <c r="G111" s="43">
        <f t="shared" si="3"/>
        <v>4725</v>
      </c>
    </row>
    <row r="112" spans="1:7" x14ac:dyDescent="0.25">
      <c r="A112" s="40" t="s">
        <v>174</v>
      </c>
      <c r="B112" s="41"/>
      <c r="C112" s="42">
        <v>2</v>
      </c>
      <c r="D112" s="43">
        <v>87000</v>
      </c>
      <c r="E112" s="43">
        <f t="shared" si="2"/>
        <v>174000</v>
      </c>
      <c r="F112" s="44">
        <v>43497</v>
      </c>
      <c r="G112" s="43">
        <f t="shared" si="3"/>
        <v>91350</v>
      </c>
    </row>
    <row r="113" spans="1:7" x14ac:dyDescent="0.25">
      <c r="A113" s="40" t="s">
        <v>202</v>
      </c>
      <c r="B113" s="41"/>
      <c r="C113" s="42">
        <v>3</v>
      </c>
      <c r="D113" s="43">
        <v>38000</v>
      </c>
      <c r="E113" s="43">
        <f t="shared" si="2"/>
        <v>114000</v>
      </c>
      <c r="F113" s="44">
        <v>43497</v>
      </c>
      <c r="G113" s="43">
        <f t="shared" si="3"/>
        <v>39900</v>
      </c>
    </row>
    <row r="114" spans="1:7" ht="30" x14ac:dyDescent="0.25">
      <c r="A114" s="40" t="s">
        <v>203</v>
      </c>
      <c r="B114" s="41"/>
      <c r="C114" s="42">
        <v>2</v>
      </c>
      <c r="D114" s="43">
        <v>49000</v>
      </c>
      <c r="E114" s="43">
        <f t="shared" si="2"/>
        <v>98000</v>
      </c>
      <c r="F114" s="44">
        <v>43497</v>
      </c>
      <c r="G114" s="43">
        <f t="shared" si="3"/>
        <v>51450</v>
      </c>
    </row>
    <row r="115" spans="1:7" ht="30" x14ac:dyDescent="0.25">
      <c r="A115" s="46" t="s">
        <v>204</v>
      </c>
      <c r="B115" s="47"/>
      <c r="C115" s="48">
        <v>2</v>
      </c>
      <c r="D115" s="49">
        <v>30000</v>
      </c>
      <c r="E115" s="49">
        <f t="shared" si="2"/>
        <v>60000</v>
      </c>
      <c r="F115" s="50">
        <v>43497</v>
      </c>
      <c r="G115" s="49">
        <f t="shared" si="3"/>
        <v>31500</v>
      </c>
    </row>
    <row r="116" spans="1:7" ht="30" x14ac:dyDescent="0.25">
      <c r="A116" s="40" t="s">
        <v>177</v>
      </c>
      <c r="B116" s="41"/>
      <c r="C116" s="42">
        <v>2</v>
      </c>
      <c r="D116" s="43">
        <v>25000</v>
      </c>
      <c r="E116" s="43">
        <f t="shared" si="2"/>
        <v>50000</v>
      </c>
      <c r="F116" s="44">
        <v>43497</v>
      </c>
      <c r="G116" s="43">
        <f t="shared" si="3"/>
        <v>26250</v>
      </c>
    </row>
    <row r="117" spans="1:7" x14ac:dyDescent="0.25">
      <c r="A117" s="40" t="s">
        <v>158</v>
      </c>
      <c r="B117" s="41"/>
      <c r="C117" s="42">
        <v>4</v>
      </c>
      <c r="D117" s="43">
        <v>14000</v>
      </c>
      <c r="E117" s="43">
        <f t="shared" si="2"/>
        <v>56000</v>
      </c>
      <c r="F117" s="44">
        <v>43497</v>
      </c>
      <c r="G117" s="43">
        <f t="shared" si="3"/>
        <v>14700</v>
      </c>
    </row>
    <row r="118" spans="1:7" ht="30" x14ac:dyDescent="0.25">
      <c r="A118" s="40" t="s">
        <v>205</v>
      </c>
      <c r="B118" s="41"/>
      <c r="C118" s="42">
        <v>2</v>
      </c>
      <c r="D118" s="43">
        <v>55084.75</v>
      </c>
      <c r="E118" s="43">
        <f t="shared" si="2"/>
        <v>110169.5</v>
      </c>
      <c r="F118" s="44">
        <v>43496</v>
      </c>
      <c r="G118" s="43">
        <f t="shared" si="3"/>
        <v>57838.99</v>
      </c>
    </row>
    <row r="119" spans="1:7" ht="30" x14ac:dyDescent="0.25">
      <c r="A119" s="40" t="s">
        <v>206</v>
      </c>
      <c r="B119" s="41"/>
      <c r="C119" s="42">
        <v>2</v>
      </c>
      <c r="D119" s="43">
        <v>76271.19</v>
      </c>
      <c r="E119" s="43">
        <f t="shared" si="2"/>
        <v>152542.38</v>
      </c>
      <c r="F119" s="44">
        <v>43496</v>
      </c>
      <c r="G119" s="43">
        <f t="shared" si="3"/>
        <v>80084.75</v>
      </c>
    </row>
    <row r="120" spans="1:7" x14ac:dyDescent="0.25">
      <c r="A120" s="40" t="s">
        <v>207</v>
      </c>
      <c r="B120" s="41"/>
      <c r="C120" s="42">
        <v>1</v>
      </c>
      <c r="D120" s="43">
        <v>49788.14</v>
      </c>
      <c r="E120" s="43">
        <f t="shared" si="2"/>
        <v>49788.14</v>
      </c>
      <c r="F120" s="44">
        <v>43459</v>
      </c>
      <c r="G120" s="43">
        <f>ROUND(D120*$H$2*$I$2,2)</f>
        <v>54995.98</v>
      </c>
    </row>
    <row r="121" spans="1:7" ht="30" x14ac:dyDescent="0.25">
      <c r="A121" s="40" t="s">
        <v>131</v>
      </c>
      <c r="B121" s="41"/>
      <c r="C121" s="42">
        <v>4</v>
      </c>
      <c r="D121" s="43">
        <v>29130</v>
      </c>
      <c r="E121" s="43">
        <f t="shared" si="2"/>
        <v>116520</v>
      </c>
      <c r="F121" s="44">
        <v>43459</v>
      </c>
      <c r="G121" s="43">
        <f t="shared" ref="G121:G179" si="4">ROUND(D121*$H$2*$I$2,2)</f>
        <v>32177</v>
      </c>
    </row>
    <row r="122" spans="1:7" ht="30" x14ac:dyDescent="0.25">
      <c r="A122" s="40" t="s">
        <v>208</v>
      </c>
      <c r="B122" s="41"/>
      <c r="C122" s="42">
        <v>2</v>
      </c>
      <c r="D122" s="43">
        <v>37373.4</v>
      </c>
      <c r="E122" s="43">
        <f t="shared" si="2"/>
        <v>74746.8</v>
      </c>
      <c r="F122" s="44">
        <v>43459</v>
      </c>
      <c r="G122" s="43">
        <f t="shared" si="4"/>
        <v>41282.660000000003</v>
      </c>
    </row>
    <row r="123" spans="1:7" ht="30" x14ac:dyDescent="0.25">
      <c r="A123" s="40" t="s">
        <v>209</v>
      </c>
      <c r="B123" s="41"/>
      <c r="C123" s="42">
        <v>20</v>
      </c>
      <c r="D123" s="43">
        <v>1062</v>
      </c>
      <c r="E123" s="43">
        <f t="shared" si="2"/>
        <v>21240</v>
      </c>
      <c r="F123" s="44">
        <v>43459</v>
      </c>
      <c r="G123" s="43">
        <f t="shared" si="4"/>
        <v>1173.0899999999999</v>
      </c>
    </row>
    <row r="124" spans="1:7" x14ac:dyDescent="0.25">
      <c r="A124" s="40" t="s">
        <v>210</v>
      </c>
      <c r="B124" s="41"/>
      <c r="C124" s="42">
        <v>1</v>
      </c>
      <c r="D124" s="43">
        <v>22066</v>
      </c>
      <c r="E124" s="43">
        <f t="shared" si="2"/>
        <v>22066</v>
      </c>
      <c r="F124" s="44">
        <v>43459</v>
      </c>
      <c r="G124" s="43">
        <f t="shared" si="4"/>
        <v>24374.1</v>
      </c>
    </row>
    <row r="125" spans="1:7" x14ac:dyDescent="0.25">
      <c r="A125" s="40" t="s">
        <v>211</v>
      </c>
      <c r="B125" s="41"/>
      <c r="C125" s="42">
        <v>2</v>
      </c>
      <c r="D125" s="43">
        <v>39530</v>
      </c>
      <c r="E125" s="43">
        <f t="shared" si="2"/>
        <v>79060</v>
      </c>
      <c r="F125" s="44">
        <v>43459</v>
      </c>
      <c r="G125" s="43">
        <f t="shared" si="4"/>
        <v>43664.84</v>
      </c>
    </row>
    <row r="126" spans="1:7" x14ac:dyDescent="0.25">
      <c r="A126" s="40" t="s">
        <v>211</v>
      </c>
      <c r="B126" s="41"/>
      <c r="C126" s="42">
        <v>2</v>
      </c>
      <c r="D126" s="43">
        <v>39530</v>
      </c>
      <c r="E126" s="43">
        <f t="shared" si="2"/>
        <v>79060</v>
      </c>
      <c r="F126" s="44">
        <v>43459</v>
      </c>
      <c r="G126" s="43">
        <f t="shared" si="4"/>
        <v>43664.84</v>
      </c>
    </row>
    <row r="127" spans="1:7" x14ac:dyDescent="0.25">
      <c r="A127" s="40" t="s">
        <v>212</v>
      </c>
      <c r="B127" s="41"/>
      <c r="C127" s="42">
        <v>1</v>
      </c>
      <c r="D127" s="43">
        <v>92000</v>
      </c>
      <c r="E127" s="43">
        <f t="shared" si="2"/>
        <v>92000</v>
      </c>
      <c r="F127" s="44">
        <v>43459</v>
      </c>
      <c r="G127" s="43">
        <f t="shared" si="4"/>
        <v>101623.2</v>
      </c>
    </row>
    <row r="128" spans="1:7" ht="30" x14ac:dyDescent="0.25">
      <c r="A128" s="40" t="s">
        <v>213</v>
      </c>
      <c r="B128" s="41"/>
      <c r="C128" s="42">
        <v>4</v>
      </c>
      <c r="D128" s="43">
        <v>21610.17</v>
      </c>
      <c r="E128" s="43">
        <f t="shared" si="2"/>
        <v>86440.68</v>
      </c>
      <c r="F128" s="44">
        <v>43459</v>
      </c>
      <c r="G128" s="43">
        <f t="shared" si="4"/>
        <v>23870.59</v>
      </c>
    </row>
    <row r="129" spans="1:7" ht="30" x14ac:dyDescent="0.25">
      <c r="A129" s="40" t="s">
        <v>214</v>
      </c>
      <c r="B129" s="41"/>
      <c r="C129" s="42">
        <v>4</v>
      </c>
      <c r="D129" s="43">
        <v>135593.22</v>
      </c>
      <c r="E129" s="43">
        <f t="shared" si="2"/>
        <v>542372.88</v>
      </c>
      <c r="F129" s="44">
        <v>43459</v>
      </c>
      <c r="G129" s="43">
        <f t="shared" si="4"/>
        <v>149776.26999999999</v>
      </c>
    </row>
    <row r="130" spans="1:7" ht="30" x14ac:dyDescent="0.25">
      <c r="A130" s="40" t="s">
        <v>215</v>
      </c>
      <c r="B130" s="41"/>
      <c r="C130" s="42">
        <v>4</v>
      </c>
      <c r="D130" s="43">
        <v>7203.39</v>
      </c>
      <c r="E130" s="43">
        <f t="shared" si="2"/>
        <v>28813.56</v>
      </c>
      <c r="F130" s="44">
        <v>43459</v>
      </c>
      <c r="G130" s="43">
        <f t="shared" si="4"/>
        <v>7956.86</v>
      </c>
    </row>
    <row r="131" spans="1:7" ht="30" x14ac:dyDescent="0.25">
      <c r="A131" s="40" t="s">
        <v>216</v>
      </c>
      <c r="B131" s="41"/>
      <c r="C131" s="42">
        <v>10</v>
      </c>
      <c r="D131" s="43">
        <v>21186.44</v>
      </c>
      <c r="E131" s="43">
        <f t="shared" si="2"/>
        <v>211864.4</v>
      </c>
      <c r="F131" s="44">
        <v>43459</v>
      </c>
      <c r="G131" s="43">
        <f t="shared" si="4"/>
        <v>23402.54</v>
      </c>
    </row>
    <row r="132" spans="1:7" x14ac:dyDescent="0.25">
      <c r="A132" s="40" t="s">
        <v>217</v>
      </c>
      <c r="B132" s="41"/>
      <c r="C132" s="42">
        <v>4</v>
      </c>
      <c r="D132" s="43">
        <v>15254.24</v>
      </c>
      <c r="E132" s="43">
        <f t="shared" ref="E132:E179" si="5">ROUND(C132*D132,2)</f>
        <v>61016.959999999999</v>
      </c>
      <c r="F132" s="44">
        <v>43459</v>
      </c>
      <c r="G132" s="43">
        <f t="shared" si="4"/>
        <v>16849.830000000002</v>
      </c>
    </row>
    <row r="133" spans="1:7" ht="30" x14ac:dyDescent="0.25">
      <c r="A133" s="40" t="s">
        <v>218</v>
      </c>
      <c r="B133" s="41"/>
      <c r="C133" s="42">
        <v>4</v>
      </c>
      <c r="D133" s="43">
        <v>7627.12</v>
      </c>
      <c r="E133" s="43">
        <f t="shared" si="5"/>
        <v>30508.48</v>
      </c>
      <c r="F133" s="44">
        <v>43459</v>
      </c>
      <c r="G133" s="43">
        <f t="shared" si="4"/>
        <v>8424.92</v>
      </c>
    </row>
    <row r="134" spans="1:7" ht="30" x14ac:dyDescent="0.25">
      <c r="A134" s="40" t="s">
        <v>173</v>
      </c>
      <c r="B134" s="41"/>
      <c r="C134" s="42">
        <v>11</v>
      </c>
      <c r="D134" s="43">
        <v>83050.850000000006</v>
      </c>
      <c r="E134" s="43">
        <f t="shared" si="5"/>
        <v>913559.35</v>
      </c>
      <c r="F134" s="44">
        <v>43459</v>
      </c>
      <c r="G134" s="43">
        <f t="shared" si="4"/>
        <v>91737.97</v>
      </c>
    </row>
    <row r="135" spans="1:7" ht="30" x14ac:dyDescent="0.25">
      <c r="A135" s="40" t="s">
        <v>219</v>
      </c>
      <c r="B135" s="41"/>
      <c r="C135" s="42">
        <v>6</v>
      </c>
      <c r="D135" s="43">
        <v>900</v>
      </c>
      <c r="E135" s="43">
        <f t="shared" si="5"/>
        <v>5400</v>
      </c>
      <c r="F135" s="44">
        <v>43459</v>
      </c>
      <c r="G135" s="43">
        <f t="shared" si="4"/>
        <v>994.14</v>
      </c>
    </row>
    <row r="136" spans="1:7" ht="30" x14ac:dyDescent="0.25">
      <c r="A136" s="40" t="s">
        <v>220</v>
      </c>
      <c r="B136" s="41"/>
      <c r="C136" s="42">
        <v>6</v>
      </c>
      <c r="D136" s="43">
        <v>1000</v>
      </c>
      <c r="E136" s="43">
        <f t="shared" si="5"/>
        <v>6000</v>
      </c>
      <c r="F136" s="44">
        <v>43430</v>
      </c>
      <c r="G136" s="43">
        <f t="shared" si="4"/>
        <v>1104.5999999999999</v>
      </c>
    </row>
    <row r="137" spans="1:7" ht="30" x14ac:dyDescent="0.25">
      <c r="A137" s="40" t="s">
        <v>221</v>
      </c>
      <c r="B137" s="41"/>
      <c r="C137" s="42">
        <v>3</v>
      </c>
      <c r="D137" s="43">
        <v>890</v>
      </c>
      <c r="E137" s="43">
        <f t="shared" si="5"/>
        <v>2670</v>
      </c>
      <c r="F137" s="44">
        <v>43430</v>
      </c>
      <c r="G137" s="43">
        <f t="shared" si="4"/>
        <v>983.09</v>
      </c>
    </row>
    <row r="138" spans="1:7" ht="30" x14ac:dyDescent="0.25">
      <c r="A138" s="40" t="s">
        <v>222</v>
      </c>
      <c r="B138" s="41"/>
      <c r="C138" s="42">
        <v>18</v>
      </c>
      <c r="D138" s="43">
        <v>1100</v>
      </c>
      <c r="E138" s="43">
        <f t="shared" si="5"/>
        <v>19800</v>
      </c>
      <c r="F138" s="44">
        <v>43430</v>
      </c>
      <c r="G138" s="43">
        <f t="shared" si="4"/>
        <v>1215.06</v>
      </c>
    </row>
    <row r="139" spans="1:7" x14ac:dyDescent="0.25">
      <c r="A139" s="40" t="s">
        <v>223</v>
      </c>
      <c r="B139" s="41"/>
      <c r="C139" s="42">
        <v>18</v>
      </c>
      <c r="D139" s="43">
        <v>200</v>
      </c>
      <c r="E139" s="43">
        <f t="shared" si="5"/>
        <v>3600</v>
      </c>
      <c r="F139" s="44">
        <v>43430</v>
      </c>
      <c r="G139" s="43">
        <f t="shared" si="4"/>
        <v>220.92</v>
      </c>
    </row>
    <row r="140" spans="1:7" x14ac:dyDescent="0.25">
      <c r="A140" s="40" t="s">
        <v>224</v>
      </c>
      <c r="B140" s="41"/>
      <c r="C140" s="42">
        <v>12</v>
      </c>
      <c r="D140" s="43">
        <v>250</v>
      </c>
      <c r="E140" s="43">
        <f t="shared" si="5"/>
        <v>3000</v>
      </c>
      <c r="F140" s="44">
        <v>43430</v>
      </c>
      <c r="G140" s="43">
        <f t="shared" si="4"/>
        <v>276.14999999999998</v>
      </c>
    </row>
    <row r="141" spans="1:7" ht="30" x14ac:dyDescent="0.25">
      <c r="A141" s="40" t="s">
        <v>225</v>
      </c>
      <c r="B141" s="41"/>
      <c r="C141" s="42">
        <v>102</v>
      </c>
      <c r="D141" s="43">
        <v>1050.2</v>
      </c>
      <c r="E141" s="43">
        <f t="shared" si="5"/>
        <v>107120.4</v>
      </c>
      <c r="F141" s="44">
        <v>43430</v>
      </c>
      <c r="G141" s="43">
        <f t="shared" si="4"/>
        <v>1160.05</v>
      </c>
    </row>
    <row r="142" spans="1:7" x14ac:dyDescent="0.25">
      <c r="A142" s="40" t="s">
        <v>226</v>
      </c>
      <c r="B142" s="41"/>
      <c r="C142" s="42">
        <v>1</v>
      </c>
      <c r="D142" s="43">
        <v>24850</v>
      </c>
      <c r="E142" s="43">
        <f t="shared" si="5"/>
        <v>24850</v>
      </c>
      <c r="F142" s="44">
        <v>43375</v>
      </c>
      <c r="G142" s="43">
        <f t="shared" si="4"/>
        <v>27449.31</v>
      </c>
    </row>
    <row r="143" spans="1:7" x14ac:dyDescent="0.25">
      <c r="A143" s="40" t="s">
        <v>227</v>
      </c>
      <c r="B143" s="41"/>
      <c r="C143" s="42">
        <v>1</v>
      </c>
      <c r="D143" s="43">
        <v>31700</v>
      </c>
      <c r="E143" s="43">
        <f t="shared" si="5"/>
        <v>31700</v>
      </c>
      <c r="F143" s="44">
        <v>43375</v>
      </c>
      <c r="G143" s="43">
        <f t="shared" si="4"/>
        <v>35015.82</v>
      </c>
    </row>
    <row r="144" spans="1:7" x14ac:dyDescent="0.25">
      <c r="A144" s="40" t="s">
        <v>228</v>
      </c>
      <c r="B144" s="41"/>
      <c r="C144" s="42">
        <v>3</v>
      </c>
      <c r="D144" s="43">
        <v>29850</v>
      </c>
      <c r="E144" s="43">
        <f t="shared" si="5"/>
        <v>89550</v>
      </c>
      <c r="F144" s="44">
        <v>43375</v>
      </c>
      <c r="G144" s="43">
        <f t="shared" si="4"/>
        <v>32972.31</v>
      </c>
    </row>
    <row r="145" spans="1:7" x14ac:dyDescent="0.25">
      <c r="A145" s="40" t="s">
        <v>129</v>
      </c>
      <c r="B145" s="41"/>
      <c r="C145" s="42">
        <v>1</v>
      </c>
      <c r="D145" s="43">
        <v>33800</v>
      </c>
      <c r="E145" s="43">
        <f t="shared" si="5"/>
        <v>33800</v>
      </c>
      <c r="F145" s="44">
        <v>43375</v>
      </c>
      <c r="G145" s="43">
        <f t="shared" si="4"/>
        <v>37335.480000000003</v>
      </c>
    </row>
    <row r="146" spans="1:7" ht="30" x14ac:dyDescent="0.25">
      <c r="A146" s="40" t="s">
        <v>208</v>
      </c>
      <c r="B146" s="41"/>
      <c r="C146" s="42">
        <v>8</v>
      </c>
      <c r="D146" s="43">
        <v>37373.4</v>
      </c>
      <c r="E146" s="43">
        <f t="shared" si="5"/>
        <v>298987.2</v>
      </c>
      <c r="F146" s="44">
        <v>43375</v>
      </c>
      <c r="G146" s="43">
        <f t="shared" si="4"/>
        <v>41282.660000000003</v>
      </c>
    </row>
    <row r="147" spans="1:7" ht="30" x14ac:dyDescent="0.25">
      <c r="A147" s="40" t="s">
        <v>131</v>
      </c>
      <c r="B147" s="41"/>
      <c r="C147" s="42">
        <v>10</v>
      </c>
      <c r="D147" s="43">
        <v>29130</v>
      </c>
      <c r="E147" s="43">
        <f t="shared" si="5"/>
        <v>291300</v>
      </c>
      <c r="F147" s="44">
        <v>43341</v>
      </c>
      <c r="G147" s="43">
        <f t="shared" si="4"/>
        <v>32177</v>
      </c>
    </row>
    <row r="148" spans="1:7" x14ac:dyDescent="0.25">
      <c r="A148" s="40" t="s">
        <v>229</v>
      </c>
      <c r="B148" s="41"/>
      <c r="C148" s="42">
        <v>5</v>
      </c>
      <c r="D148" s="43">
        <v>29850</v>
      </c>
      <c r="E148" s="43">
        <f t="shared" si="5"/>
        <v>149250</v>
      </c>
      <c r="F148" s="44">
        <v>43341</v>
      </c>
      <c r="G148" s="43">
        <f t="shared" si="4"/>
        <v>32972.31</v>
      </c>
    </row>
    <row r="149" spans="1:7" x14ac:dyDescent="0.25">
      <c r="A149" s="40" t="s">
        <v>230</v>
      </c>
      <c r="B149" s="41"/>
      <c r="C149" s="42">
        <v>9</v>
      </c>
      <c r="D149" s="43">
        <v>22900</v>
      </c>
      <c r="E149" s="43">
        <f t="shared" si="5"/>
        <v>206100</v>
      </c>
      <c r="F149" s="44">
        <v>43341</v>
      </c>
      <c r="G149" s="43">
        <f t="shared" si="4"/>
        <v>25295.34</v>
      </c>
    </row>
    <row r="150" spans="1:7" x14ac:dyDescent="0.25">
      <c r="A150" s="40" t="s">
        <v>127</v>
      </c>
      <c r="B150" s="41"/>
      <c r="C150" s="42">
        <v>19</v>
      </c>
      <c r="D150" s="43">
        <v>18250</v>
      </c>
      <c r="E150" s="43">
        <f t="shared" si="5"/>
        <v>346750</v>
      </c>
      <c r="F150" s="44">
        <v>43290</v>
      </c>
      <c r="G150" s="43">
        <f t="shared" si="4"/>
        <v>20158.95</v>
      </c>
    </row>
    <row r="151" spans="1:7" x14ac:dyDescent="0.25">
      <c r="A151" s="40" t="s">
        <v>231</v>
      </c>
      <c r="B151" s="41"/>
      <c r="C151" s="42">
        <v>2</v>
      </c>
      <c r="D151" s="43">
        <v>28374</v>
      </c>
      <c r="E151" s="43">
        <f t="shared" si="5"/>
        <v>56748</v>
      </c>
      <c r="F151" s="44">
        <v>43290</v>
      </c>
      <c r="G151" s="43">
        <f t="shared" si="4"/>
        <v>31341.919999999998</v>
      </c>
    </row>
    <row r="152" spans="1:7" ht="30" x14ac:dyDescent="0.25">
      <c r="A152" s="40" t="s">
        <v>232</v>
      </c>
      <c r="B152" s="41"/>
      <c r="C152" s="42">
        <v>4</v>
      </c>
      <c r="D152" s="43">
        <v>22500</v>
      </c>
      <c r="E152" s="43">
        <f t="shared" si="5"/>
        <v>90000</v>
      </c>
      <c r="F152" s="44">
        <v>43255</v>
      </c>
      <c r="G152" s="43">
        <f t="shared" si="4"/>
        <v>24853.5</v>
      </c>
    </row>
    <row r="153" spans="1:7" ht="30" x14ac:dyDescent="0.25">
      <c r="A153" s="40" t="s">
        <v>233</v>
      </c>
      <c r="B153" s="41"/>
      <c r="C153" s="42">
        <v>12</v>
      </c>
      <c r="D153" s="43">
        <v>24850</v>
      </c>
      <c r="E153" s="43">
        <f t="shared" si="5"/>
        <v>298200</v>
      </c>
      <c r="F153" s="44">
        <v>43255</v>
      </c>
      <c r="G153" s="43">
        <f t="shared" si="4"/>
        <v>27449.31</v>
      </c>
    </row>
    <row r="154" spans="1:7" ht="30" x14ac:dyDescent="0.25">
      <c r="A154" s="40" t="s">
        <v>234</v>
      </c>
      <c r="B154" s="41"/>
      <c r="C154" s="42">
        <v>1</v>
      </c>
      <c r="D154" s="43">
        <v>31700</v>
      </c>
      <c r="E154" s="43">
        <f t="shared" si="5"/>
        <v>31700</v>
      </c>
      <c r="F154" s="44">
        <v>43255</v>
      </c>
      <c r="G154" s="43">
        <f t="shared" si="4"/>
        <v>35015.82</v>
      </c>
    </row>
    <row r="155" spans="1:7" x14ac:dyDescent="0.25">
      <c r="A155" s="40" t="s">
        <v>235</v>
      </c>
      <c r="B155" s="41"/>
      <c r="C155" s="42">
        <v>2</v>
      </c>
      <c r="D155" s="43">
        <v>108000</v>
      </c>
      <c r="E155" s="43">
        <f t="shared" si="5"/>
        <v>216000</v>
      </c>
      <c r="F155" s="44">
        <v>43255</v>
      </c>
      <c r="G155" s="43">
        <f t="shared" si="4"/>
        <v>119296.8</v>
      </c>
    </row>
    <row r="156" spans="1:7" x14ac:dyDescent="0.25">
      <c r="A156" s="40" t="s">
        <v>236</v>
      </c>
      <c r="B156" s="41"/>
      <c r="C156" s="42">
        <v>1</v>
      </c>
      <c r="D156" s="43">
        <v>27000</v>
      </c>
      <c r="E156" s="43">
        <f t="shared" si="5"/>
        <v>27000</v>
      </c>
      <c r="F156" s="44">
        <v>43255</v>
      </c>
      <c r="G156" s="43">
        <f t="shared" si="4"/>
        <v>29824.2</v>
      </c>
    </row>
    <row r="157" spans="1:7" x14ac:dyDescent="0.25">
      <c r="A157" s="40" t="s">
        <v>237</v>
      </c>
      <c r="B157" s="41"/>
      <c r="C157" s="42">
        <v>14</v>
      </c>
      <c r="D157" s="43">
        <v>24300</v>
      </c>
      <c r="E157" s="43">
        <f t="shared" si="5"/>
        <v>340200</v>
      </c>
      <c r="F157" s="44">
        <v>43255</v>
      </c>
      <c r="G157" s="43">
        <f t="shared" si="4"/>
        <v>26841.78</v>
      </c>
    </row>
    <row r="158" spans="1:7" x14ac:dyDescent="0.25">
      <c r="A158" s="40" t="s">
        <v>238</v>
      </c>
      <c r="B158" s="41"/>
      <c r="C158" s="42">
        <v>1</v>
      </c>
      <c r="D158" s="43">
        <v>26950</v>
      </c>
      <c r="E158" s="43">
        <f t="shared" si="5"/>
        <v>26950</v>
      </c>
      <c r="F158" s="44">
        <v>43255</v>
      </c>
      <c r="G158" s="43">
        <f t="shared" si="4"/>
        <v>29768.97</v>
      </c>
    </row>
    <row r="159" spans="1:7" x14ac:dyDescent="0.25">
      <c r="A159" s="40" t="s">
        <v>239</v>
      </c>
      <c r="B159" s="41"/>
      <c r="C159" s="42">
        <v>5</v>
      </c>
      <c r="D159" s="43">
        <v>31700</v>
      </c>
      <c r="E159" s="43">
        <f t="shared" si="5"/>
        <v>158500</v>
      </c>
      <c r="F159" s="44">
        <v>43255</v>
      </c>
      <c r="G159" s="43">
        <f t="shared" si="4"/>
        <v>35015.82</v>
      </c>
    </row>
    <row r="160" spans="1:7" x14ac:dyDescent="0.25">
      <c r="A160" s="40" t="s">
        <v>240</v>
      </c>
      <c r="B160" s="41"/>
      <c r="C160" s="42">
        <v>4</v>
      </c>
      <c r="D160" s="43">
        <v>67200</v>
      </c>
      <c r="E160" s="43">
        <f t="shared" si="5"/>
        <v>268800</v>
      </c>
      <c r="F160" s="44">
        <v>43255</v>
      </c>
      <c r="G160" s="43">
        <f t="shared" si="4"/>
        <v>74229.119999999995</v>
      </c>
    </row>
    <row r="161" spans="1:7" x14ac:dyDescent="0.25">
      <c r="A161" s="40" t="s">
        <v>241</v>
      </c>
      <c r="B161" s="41"/>
      <c r="C161" s="42">
        <v>1</v>
      </c>
      <c r="D161" s="43">
        <v>108000</v>
      </c>
      <c r="E161" s="43">
        <f t="shared" si="5"/>
        <v>108000</v>
      </c>
      <c r="F161" s="44">
        <v>43255</v>
      </c>
      <c r="G161" s="43">
        <f t="shared" si="4"/>
        <v>119296.8</v>
      </c>
    </row>
    <row r="162" spans="1:7" ht="30" x14ac:dyDescent="0.25">
      <c r="A162" s="40" t="s">
        <v>131</v>
      </c>
      <c r="B162" s="41"/>
      <c r="C162" s="42">
        <v>8</v>
      </c>
      <c r="D162" s="43">
        <v>29130</v>
      </c>
      <c r="E162" s="43">
        <f t="shared" si="5"/>
        <v>233040</v>
      </c>
      <c r="F162" s="44">
        <v>43203</v>
      </c>
      <c r="G162" s="43">
        <f t="shared" si="4"/>
        <v>32177</v>
      </c>
    </row>
    <row r="163" spans="1:7" x14ac:dyDescent="0.25">
      <c r="A163" s="40" t="s">
        <v>242</v>
      </c>
      <c r="B163" s="41"/>
      <c r="C163" s="42">
        <v>3</v>
      </c>
      <c r="D163" s="43">
        <v>19800</v>
      </c>
      <c r="E163" s="43">
        <f t="shared" si="5"/>
        <v>59400</v>
      </c>
      <c r="F163" s="44">
        <v>43203</v>
      </c>
      <c r="G163" s="43">
        <f t="shared" si="4"/>
        <v>21871.08</v>
      </c>
    </row>
    <row r="164" spans="1:7" x14ac:dyDescent="0.25">
      <c r="A164" s="40" t="s">
        <v>127</v>
      </c>
      <c r="B164" s="41"/>
      <c r="C164" s="42">
        <v>12</v>
      </c>
      <c r="D164" s="43">
        <v>22150</v>
      </c>
      <c r="E164" s="43">
        <f t="shared" si="5"/>
        <v>265800</v>
      </c>
      <c r="F164" s="44">
        <v>43203</v>
      </c>
      <c r="G164" s="43">
        <f t="shared" si="4"/>
        <v>24466.89</v>
      </c>
    </row>
    <row r="165" spans="1:7" x14ac:dyDescent="0.25">
      <c r="A165" s="40" t="s">
        <v>243</v>
      </c>
      <c r="B165" s="41"/>
      <c r="C165" s="42">
        <v>2</v>
      </c>
      <c r="D165" s="43">
        <v>41950</v>
      </c>
      <c r="E165" s="43">
        <f t="shared" si="5"/>
        <v>83900</v>
      </c>
      <c r="F165" s="44">
        <v>43203</v>
      </c>
      <c r="G165" s="43">
        <f t="shared" si="4"/>
        <v>46337.97</v>
      </c>
    </row>
    <row r="166" spans="1:7" x14ac:dyDescent="0.25">
      <c r="A166" s="40" t="s">
        <v>129</v>
      </c>
      <c r="B166" s="41"/>
      <c r="C166" s="42">
        <v>2</v>
      </c>
      <c r="D166" s="43">
        <v>33800</v>
      </c>
      <c r="E166" s="43">
        <f t="shared" si="5"/>
        <v>67600</v>
      </c>
      <c r="F166" s="44">
        <v>43203</v>
      </c>
      <c r="G166" s="43">
        <f t="shared" si="4"/>
        <v>37335.480000000003</v>
      </c>
    </row>
    <row r="167" spans="1:7" x14ac:dyDescent="0.25">
      <c r="A167" s="40" t="s">
        <v>244</v>
      </c>
      <c r="B167" s="41"/>
      <c r="C167" s="42">
        <v>1</v>
      </c>
      <c r="D167" s="43">
        <v>39194.92</v>
      </c>
      <c r="E167" s="43">
        <f t="shared" si="5"/>
        <v>39194.92</v>
      </c>
      <c r="F167" s="44">
        <v>43200</v>
      </c>
      <c r="G167" s="43">
        <f t="shared" si="4"/>
        <v>43294.71</v>
      </c>
    </row>
    <row r="168" spans="1:7" x14ac:dyDescent="0.25">
      <c r="A168" s="40" t="s">
        <v>245</v>
      </c>
      <c r="B168" s="41"/>
      <c r="C168" s="42">
        <v>2</v>
      </c>
      <c r="D168" s="43">
        <v>57203.39</v>
      </c>
      <c r="E168" s="43">
        <f t="shared" si="5"/>
        <v>114406.78</v>
      </c>
      <c r="F168" s="44">
        <v>43200</v>
      </c>
      <c r="G168" s="43">
        <f t="shared" si="4"/>
        <v>63186.86</v>
      </c>
    </row>
    <row r="169" spans="1:7" ht="30" x14ac:dyDescent="0.25">
      <c r="A169" s="40" t="s">
        <v>246</v>
      </c>
      <c r="B169" s="41"/>
      <c r="C169" s="42">
        <v>16</v>
      </c>
      <c r="D169" s="43">
        <v>13135.59</v>
      </c>
      <c r="E169" s="43">
        <f t="shared" si="5"/>
        <v>210169.44</v>
      </c>
      <c r="F169" s="44">
        <v>43200</v>
      </c>
      <c r="G169" s="43">
        <f t="shared" si="4"/>
        <v>14509.57</v>
      </c>
    </row>
    <row r="170" spans="1:7" ht="30" x14ac:dyDescent="0.25">
      <c r="A170" s="46" t="s">
        <v>247</v>
      </c>
      <c r="B170" s="47"/>
      <c r="C170" s="48">
        <v>10</v>
      </c>
      <c r="D170" s="49">
        <v>5720.34</v>
      </c>
      <c r="E170" s="49">
        <f t="shared" si="5"/>
        <v>57203.4</v>
      </c>
      <c r="F170" s="50">
        <v>43200</v>
      </c>
      <c r="G170" s="49">
        <f t="shared" si="4"/>
        <v>6318.69</v>
      </c>
    </row>
    <row r="171" spans="1:7" x14ac:dyDescent="0.25">
      <c r="A171" s="40" t="s">
        <v>248</v>
      </c>
      <c r="B171" s="41"/>
      <c r="C171" s="42">
        <v>1</v>
      </c>
      <c r="D171" s="43">
        <v>34368</v>
      </c>
      <c r="E171" s="43">
        <f t="shared" si="5"/>
        <v>34368</v>
      </c>
      <c r="F171" s="44">
        <v>43175</v>
      </c>
      <c r="G171" s="43">
        <f t="shared" si="4"/>
        <v>37962.89</v>
      </c>
    </row>
    <row r="172" spans="1:7" x14ac:dyDescent="0.25">
      <c r="A172" s="40" t="s">
        <v>249</v>
      </c>
      <c r="B172" s="41"/>
      <c r="C172" s="42">
        <v>6</v>
      </c>
      <c r="D172" s="43">
        <v>31500</v>
      </c>
      <c r="E172" s="43">
        <f t="shared" si="5"/>
        <v>189000</v>
      </c>
      <c r="F172" s="44">
        <v>43173</v>
      </c>
      <c r="G172" s="43">
        <f t="shared" si="4"/>
        <v>34794.9</v>
      </c>
    </row>
    <row r="173" spans="1:7" x14ac:dyDescent="0.25">
      <c r="A173" s="40" t="s">
        <v>250</v>
      </c>
      <c r="B173" s="41"/>
      <c r="C173" s="42">
        <v>3</v>
      </c>
      <c r="D173" s="43">
        <v>24500</v>
      </c>
      <c r="E173" s="43">
        <f t="shared" si="5"/>
        <v>73500</v>
      </c>
      <c r="F173" s="44">
        <v>43173</v>
      </c>
      <c r="G173" s="43">
        <f t="shared" si="4"/>
        <v>27062.7</v>
      </c>
    </row>
    <row r="174" spans="1:7" x14ac:dyDescent="0.25">
      <c r="A174" s="40" t="s">
        <v>251</v>
      </c>
      <c r="B174" s="41"/>
      <c r="C174" s="42">
        <v>9</v>
      </c>
      <c r="D174" s="43">
        <v>25600</v>
      </c>
      <c r="E174" s="43">
        <f t="shared" si="5"/>
        <v>230400</v>
      </c>
      <c r="F174" s="44">
        <v>43173</v>
      </c>
      <c r="G174" s="43">
        <f t="shared" si="4"/>
        <v>28277.759999999998</v>
      </c>
    </row>
    <row r="175" spans="1:7" x14ac:dyDescent="0.25">
      <c r="A175" s="40" t="s">
        <v>252</v>
      </c>
      <c r="B175" s="41"/>
      <c r="C175" s="42">
        <v>6</v>
      </c>
      <c r="D175" s="43">
        <v>27950</v>
      </c>
      <c r="E175" s="43">
        <f t="shared" si="5"/>
        <v>167700</v>
      </c>
      <c r="F175" s="44">
        <v>43173</v>
      </c>
      <c r="G175" s="43">
        <f t="shared" si="4"/>
        <v>30873.57</v>
      </c>
    </row>
    <row r="176" spans="1:7" x14ac:dyDescent="0.25">
      <c r="A176" s="40" t="s">
        <v>248</v>
      </c>
      <c r="B176" s="41"/>
      <c r="C176" s="42">
        <v>8</v>
      </c>
      <c r="D176" s="43">
        <v>32600</v>
      </c>
      <c r="E176" s="43">
        <f t="shared" si="5"/>
        <v>260800</v>
      </c>
      <c r="F176" s="44">
        <v>43173</v>
      </c>
      <c r="G176" s="43">
        <f t="shared" si="4"/>
        <v>36009.96</v>
      </c>
    </row>
    <row r="177" spans="1:7" x14ac:dyDescent="0.25">
      <c r="A177" s="40" t="s">
        <v>253</v>
      </c>
      <c r="B177" s="41"/>
      <c r="C177" s="42">
        <v>1</v>
      </c>
      <c r="D177" s="43">
        <v>112700</v>
      </c>
      <c r="E177" s="43">
        <f t="shared" si="5"/>
        <v>112700</v>
      </c>
      <c r="F177" s="44">
        <v>43173</v>
      </c>
      <c r="G177" s="43">
        <f t="shared" si="4"/>
        <v>124488.42</v>
      </c>
    </row>
    <row r="178" spans="1:7" x14ac:dyDescent="0.25">
      <c r="A178" s="40" t="s">
        <v>254</v>
      </c>
      <c r="B178" s="41" t="s">
        <v>255</v>
      </c>
      <c r="C178" s="42">
        <v>1</v>
      </c>
      <c r="D178" s="43">
        <v>42500</v>
      </c>
      <c r="E178" s="43">
        <f t="shared" si="5"/>
        <v>42500</v>
      </c>
      <c r="F178" s="44">
        <v>43136</v>
      </c>
      <c r="G178" s="43">
        <f t="shared" si="4"/>
        <v>46945.5</v>
      </c>
    </row>
    <row r="179" spans="1:7" x14ac:dyDescent="0.25">
      <c r="A179" s="40" t="s">
        <v>256</v>
      </c>
      <c r="B179" s="41" t="s">
        <v>257</v>
      </c>
      <c r="C179" s="42">
        <v>1</v>
      </c>
      <c r="D179" s="43">
        <v>18000</v>
      </c>
      <c r="E179" s="43">
        <f t="shared" si="5"/>
        <v>18000</v>
      </c>
      <c r="F179" s="44">
        <v>43136</v>
      </c>
      <c r="G179" s="43">
        <f t="shared" si="4"/>
        <v>19882.8</v>
      </c>
    </row>
  </sheetData>
  <autoFilter ref="A2:I179" xr:uid="{00000000-0009-0000-0000-000005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раб</vt:lpstr>
      <vt:lpstr>Спека</vt:lpstr>
      <vt:lpstr>Спека раб</vt:lpstr>
      <vt:lpstr>Лист1</vt:lpstr>
      <vt:lpstr>мат</vt:lpstr>
      <vt:lpstr>реализации янтарь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2020-10-14T07:39:15Z</dcterms:modified>
</cp:coreProperties>
</file>