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2f30cbaf81810b05/Documents/Programming/pokemonDataTools/EncounterRoutingNRotM/"/>
    </mc:Choice>
  </mc:AlternateContent>
  <xr:revisionPtr revIDLastSave="5" documentId="13_ncr:1_{CBC81FE4-5CCE-4303-970D-0617F9213FEF}" xr6:coauthVersionLast="47" xr6:coauthVersionMax="47" xr10:uidLastSave="{3CC2A7B2-D5BA-49A4-A988-3C4C81434B32}"/>
  <bookViews>
    <workbookView xWindow="51720" yWindow="-120" windowWidth="29040" windowHeight="15720" activeTab="2" xr2:uid="{00000000-000D-0000-FFFF-FFFF00000000}"/>
  </bookViews>
  <sheets>
    <sheet name="Introduction" sheetId="1" r:id="rId1"/>
    <sheet name="Tracker" sheetId="2" r:id="rId2"/>
    <sheet name="Team &amp; Encounters" sheetId="3" r:id="rId3"/>
    <sheet name="Stages (DO NOT TOUCH)" sheetId="4" state="hidden" r:id="rId4"/>
    <sheet name="Points Calculation" sheetId="5" r:id="rId5"/>
    <sheet name="Hitlis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7" i="6" l="1"/>
  <c r="H67" i="6"/>
  <c r="E67" i="6"/>
  <c r="A67" i="6"/>
  <c r="K66" i="6"/>
  <c r="H66" i="6"/>
  <c r="E66" i="6"/>
  <c r="A66" i="6"/>
  <c r="K65" i="6"/>
  <c r="H65" i="6"/>
  <c r="E65" i="6"/>
  <c r="A65" i="6"/>
  <c r="K64" i="6"/>
  <c r="H64" i="6"/>
  <c r="E64" i="6"/>
  <c r="A64" i="6"/>
  <c r="K63" i="6"/>
  <c r="H63" i="6"/>
  <c r="E63" i="6"/>
  <c r="A63" i="6"/>
  <c r="K62" i="6"/>
  <c r="H62" i="6"/>
  <c r="E62" i="6"/>
  <c r="A62" i="6"/>
  <c r="K61" i="6"/>
  <c r="H61" i="6"/>
  <c r="E61" i="6"/>
  <c r="A61" i="6"/>
  <c r="K60" i="6"/>
  <c r="H60" i="6"/>
  <c r="E60" i="6"/>
  <c r="A60" i="6"/>
  <c r="H59" i="6"/>
  <c r="E59" i="6"/>
  <c r="A59" i="6"/>
  <c r="H58" i="6"/>
  <c r="E58" i="6"/>
  <c r="A58" i="6"/>
  <c r="N57" i="6"/>
  <c r="K57" i="6"/>
  <c r="H57" i="6"/>
  <c r="E57" i="6"/>
  <c r="A57" i="6"/>
  <c r="N56" i="6"/>
  <c r="K56" i="6"/>
  <c r="H56" i="6"/>
  <c r="E56" i="6"/>
  <c r="A56" i="6"/>
  <c r="N55" i="6"/>
  <c r="K55" i="6"/>
  <c r="H55" i="6"/>
  <c r="E55" i="6"/>
  <c r="A55" i="6"/>
  <c r="K54" i="6"/>
  <c r="H54" i="6"/>
  <c r="E54" i="6"/>
  <c r="A54" i="6"/>
  <c r="N51" i="6"/>
  <c r="K51" i="6"/>
  <c r="H51" i="6"/>
  <c r="E51" i="6"/>
  <c r="A51" i="6"/>
  <c r="N50" i="6"/>
  <c r="K50" i="6"/>
  <c r="H50" i="6"/>
  <c r="E50" i="6"/>
  <c r="A50" i="6"/>
  <c r="N49" i="6"/>
  <c r="K49" i="6"/>
  <c r="H49" i="6"/>
  <c r="E49" i="6"/>
  <c r="A49" i="6"/>
  <c r="K48" i="6"/>
  <c r="H48" i="6"/>
  <c r="E48" i="6"/>
  <c r="A48" i="6"/>
  <c r="E47" i="6"/>
  <c r="A47" i="6"/>
  <c r="H46" i="6"/>
  <c r="E46" i="6"/>
  <c r="A46" i="6"/>
  <c r="K45" i="6"/>
  <c r="H45" i="6"/>
  <c r="E45" i="6"/>
  <c r="A45" i="6"/>
  <c r="K42" i="6"/>
  <c r="H42" i="6"/>
  <c r="E42" i="6"/>
  <c r="A42" i="6"/>
  <c r="T41" i="6"/>
  <c r="Q41" i="6"/>
  <c r="N41" i="6"/>
  <c r="K41" i="6"/>
  <c r="H41" i="6"/>
  <c r="E41" i="6"/>
  <c r="A41" i="6"/>
  <c r="K40" i="6"/>
  <c r="H40" i="6"/>
  <c r="E40" i="6"/>
  <c r="A40" i="6"/>
  <c r="K39" i="6"/>
  <c r="H39" i="6"/>
  <c r="E39" i="6"/>
  <c r="A39" i="6"/>
  <c r="K36" i="6"/>
  <c r="H36" i="6"/>
  <c r="E36" i="6"/>
  <c r="A36" i="6"/>
  <c r="K35" i="6"/>
  <c r="H35" i="6"/>
  <c r="E35" i="6"/>
  <c r="A35" i="6"/>
  <c r="K34" i="6"/>
  <c r="H34" i="6"/>
  <c r="E34" i="6"/>
  <c r="A34" i="6"/>
  <c r="H33" i="6"/>
  <c r="E33" i="6"/>
  <c r="A33" i="6"/>
  <c r="H30" i="6"/>
  <c r="E30" i="6"/>
  <c r="A30" i="6"/>
  <c r="H29" i="6"/>
  <c r="E29" i="6"/>
  <c r="A29" i="6"/>
  <c r="K28" i="6"/>
  <c r="H28" i="6"/>
  <c r="E28" i="6"/>
  <c r="A28" i="6"/>
  <c r="K27" i="6"/>
  <c r="H27" i="6"/>
  <c r="E27" i="6"/>
  <c r="A27" i="6"/>
  <c r="K26" i="6"/>
  <c r="H26" i="6"/>
  <c r="E26" i="6"/>
  <c r="A26" i="6"/>
  <c r="K23" i="6"/>
  <c r="H23" i="6"/>
  <c r="E23" i="6"/>
  <c r="A23" i="6"/>
  <c r="K22" i="6"/>
  <c r="H22" i="6"/>
  <c r="E22" i="6"/>
  <c r="A22" i="6"/>
  <c r="K21" i="6"/>
  <c r="H21" i="6"/>
  <c r="E21" i="6"/>
  <c r="A21" i="6"/>
  <c r="T20" i="6"/>
  <c r="Q20" i="6"/>
  <c r="N20" i="6"/>
  <c r="K20" i="6"/>
  <c r="H20" i="6"/>
  <c r="E20" i="6"/>
  <c r="A20" i="6"/>
  <c r="T19" i="6"/>
  <c r="Q19" i="6"/>
  <c r="N19" i="6"/>
  <c r="K19" i="6"/>
  <c r="H19" i="6"/>
  <c r="E19" i="6"/>
  <c r="A19" i="6"/>
  <c r="K16" i="6"/>
  <c r="H16" i="6"/>
  <c r="E16" i="6"/>
  <c r="A16" i="6"/>
  <c r="K15" i="6"/>
  <c r="H15" i="6"/>
  <c r="E15" i="6"/>
  <c r="A15" i="6"/>
  <c r="K14" i="6"/>
  <c r="H14" i="6"/>
  <c r="E14" i="6"/>
  <c r="A14" i="6"/>
  <c r="E11" i="6"/>
  <c r="A11" i="6"/>
  <c r="T10" i="6"/>
  <c r="Q10" i="6"/>
  <c r="N10" i="6"/>
  <c r="K10" i="6"/>
  <c r="H10" i="6"/>
  <c r="E10" i="6"/>
  <c r="A10" i="6"/>
  <c r="K9" i="6"/>
  <c r="H9" i="6"/>
  <c r="E9" i="6"/>
  <c r="A9" i="6"/>
  <c r="H8" i="6"/>
  <c r="E8" i="6"/>
  <c r="A8" i="6"/>
  <c r="H5" i="6"/>
  <c r="E5" i="6"/>
  <c r="A5" i="6"/>
  <c r="K4" i="6"/>
  <c r="H4" i="6"/>
  <c r="E4" i="6"/>
  <c r="A4" i="6"/>
  <c r="K3" i="6"/>
  <c r="H3" i="6"/>
  <c r="E3" i="6"/>
  <c r="A3" i="6"/>
  <c r="K2" i="6"/>
  <c r="H2" i="6"/>
  <c r="E2" i="6"/>
  <c r="A2" i="6"/>
  <c r="B67" i="5"/>
  <c r="B66" i="5"/>
  <c r="C65" i="5" s="1"/>
  <c r="B7" i="5" s="1"/>
  <c r="C53" i="5"/>
  <c r="B13" i="5" s="1"/>
  <c r="B53" i="5"/>
  <c r="B50" i="5"/>
  <c r="B49" i="5"/>
  <c r="B48" i="5"/>
  <c r="B47" i="5"/>
  <c r="C47" i="5" s="1"/>
  <c r="B12" i="5" s="1"/>
  <c r="B44" i="5"/>
  <c r="C42" i="5" s="1"/>
  <c r="B11" i="5" s="1"/>
  <c r="B43" i="5"/>
  <c r="B42" i="5"/>
  <c r="B39" i="5"/>
  <c r="B38" i="5"/>
  <c r="B37" i="5"/>
  <c r="B36" i="5"/>
  <c r="B35" i="5"/>
  <c r="B34" i="5"/>
  <c r="B33" i="5"/>
  <c r="B32" i="5"/>
  <c r="C32" i="5" s="1"/>
  <c r="B10" i="5" s="1"/>
  <c r="B29" i="5"/>
  <c r="B28" i="5"/>
  <c r="B27" i="5"/>
  <c r="B26" i="5"/>
  <c r="B25" i="5"/>
  <c r="C25" i="5" s="1"/>
  <c r="B9" i="5" s="1"/>
  <c r="B22" i="5"/>
  <c r="B21" i="5"/>
  <c r="B20" i="5"/>
  <c r="C16" i="5" s="1"/>
  <c r="B8" i="5" s="1"/>
  <c r="B19" i="5"/>
  <c r="B18" i="5"/>
  <c r="D6" i="5" s="1"/>
  <c r="B17" i="5"/>
  <c r="B16" i="5"/>
  <c r="X66" i="3"/>
  <c r="W66" i="3"/>
  <c r="T66" i="3"/>
  <c r="V66" i="3" s="1"/>
  <c r="S66" i="3"/>
  <c r="R66" i="3"/>
  <c r="Q66" i="3"/>
  <c r="X65" i="3"/>
  <c r="W65" i="3"/>
  <c r="V65" i="3"/>
  <c r="T65" i="3"/>
  <c r="U65" i="3" s="1"/>
  <c r="S65" i="3"/>
  <c r="R65" i="3"/>
  <c r="Q65" i="3"/>
  <c r="X64" i="3"/>
  <c r="W64" i="3"/>
  <c r="T64" i="3"/>
  <c r="V64" i="3" s="1"/>
  <c r="S64" i="3"/>
  <c r="R64" i="3"/>
  <c r="Q64" i="3"/>
  <c r="K64" i="3"/>
  <c r="X63" i="3"/>
  <c r="W63" i="3"/>
  <c r="V63" i="3"/>
  <c r="T63" i="3"/>
  <c r="U63" i="3" s="1"/>
  <c r="S63" i="3"/>
  <c r="R63" i="3"/>
  <c r="Q63" i="3"/>
  <c r="K63" i="3"/>
  <c r="X62" i="3"/>
  <c r="W62" i="3"/>
  <c r="V62" i="3"/>
  <c r="T62" i="3"/>
  <c r="U62" i="3" s="1"/>
  <c r="S62" i="3"/>
  <c r="R62" i="3"/>
  <c r="Q62" i="3"/>
  <c r="K62" i="3"/>
  <c r="X61" i="3"/>
  <c r="W61" i="3"/>
  <c r="V61" i="3"/>
  <c r="T61" i="3"/>
  <c r="U61" i="3" s="1"/>
  <c r="S61" i="3"/>
  <c r="R61" i="3"/>
  <c r="Q61" i="3"/>
  <c r="K61" i="3"/>
  <c r="X60" i="3"/>
  <c r="W60" i="3"/>
  <c r="T60" i="3"/>
  <c r="V60" i="3" s="1"/>
  <c r="S60" i="3"/>
  <c r="R60" i="3"/>
  <c r="Q60" i="3"/>
  <c r="K60" i="3"/>
  <c r="X59" i="3"/>
  <c r="W59" i="3"/>
  <c r="V59" i="3"/>
  <c r="T59" i="3"/>
  <c r="U59" i="3" s="1"/>
  <c r="S59" i="3"/>
  <c r="R59" i="3"/>
  <c r="Q59" i="3"/>
  <c r="K59" i="3"/>
  <c r="X58" i="3"/>
  <c r="W58" i="3"/>
  <c r="T58" i="3"/>
  <c r="U58" i="3" s="1"/>
  <c r="S58" i="3"/>
  <c r="R58" i="3"/>
  <c r="Q58" i="3"/>
  <c r="K58" i="3"/>
  <c r="X57" i="3"/>
  <c r="W57" i="3"/>
  <c r="V57" i="3"/>
  <c r="T57" i="3"/>
  <c r="U57" i="3" s="1"/>
  <c r="S57" i="3"/>
  <c r="R57" i="3"/>
  <c r="Q57" i="3"/>
  <c r="K57" i="3"/>
  <c r="X56" i="3"/>
  <c r="W56" i="3"/>
  <c r="T56" i="3"/>
  <c r="V56" i="3" s="1"/>
  <c r="S56" i="3"/>
  <c r="R56" i="3"/>
  <c r="Q56" i="3"/>
  <c r="K56" i="3"/>
  <c r="X55" i="3"/>
  <c r="W55" i="3"/>
  <c r="V55" i="3"/>
  <c r="T55" i="3"/>
  <c r="U55" i="3" s="1"/>
  <c r="S55" i="3"/>
  <c r="R55" i="3"/>
  <c r="Q55" i="3"/>
  <c r="K55" i="3"/>
  <c r="X54" i="3"/>
  <c r="W54" i="3"/>
  <c r="T54" i="3"/>
  <c r="U54" i="3" s="1"/>
  <c r="S54" i="3"/>
  <c r="R54" i="3"/>
  <c r="Q54" i="3"/>
  <c r="K54" i="3"/>
  <c r="X53" i="3"/>
  <c r="W53" i="3"/>
  <c r="V53" i="3"/>
  <c r="T53" i="3"/>
  <c r="U53" i="3" s="1"/>
  <c r="S53" i="3"/>
  <c r="R53" i="3"/>
  <c r="Q53" i="3"/>
  <c r="K53" i="3"/>
  <c r="X52" i="3"/>
  <c r="W52" i="3"/>
  <c r="T52" i="3"/>
  <c r="V52" i="3" s="1"/>
  <c r="S52" i="3"/>
  <c r="R52" i="3"/>
  <c r="Q52" i="3"/>
  <c r="K52" i="3"/>
  <c r="X51" i="3"/>
  <c r="W51" i="3"/>
  <c r="V51" i="3"/>
  <c r="T51" i="3"/>
  <c r="U51" i="3" s="1"/>
  <c r="S51" i="3"/>
  <c r="R51" i="3"/>
  <c r="Q51" i="3"/>
  <c r="K51" i="3"/>
  <c r="X50" i="3"/>
  <c r="W50" i="3"/>
  <c r="T50" i="3"/>
  <c r="U50" i="3" s="1"/>
  <c r="S50" i="3"/>
  <c r="R50" i="3"/>
  <c r="Q50" i="3"/>
  <c r="K50" i="3"/>
  <c r="X49" i="3"/>
  <c r="W49" i="3"/>
  <c r="V49" i="3"/>
  <c r="T49" i="3"/>
  <c r="U49" i="3" s="1"/>
  <c r="S49" i="3"/>
  <c r="R49" i="3"/>
  <c r="Q49" i="3"/>
  <c r="K49" i="3"/>
  <c r="X48" i="3"/>
  <c r="W48" i="3"/>
  <c r="T48" i="3"/>
  <c r="V48" i="3" s="1"/>
  <c r="S48" i="3"/>
  <c r="R48" i="3"/>
  <c r="Q48" i="3"/>
  <c r="K48" i="3"/>
  <c r="X47" i="3"/>
  <c r="W47" i="3"/>
  <c r="T47" i="3"/>
  <c r="U47" i="3" s="1"/>
  <c r="S47" i="3"/>
  <c r="R47" i="3"/>
  <c r="Q47" i="3"/>
  <c r="K47" i="3"/>
  <c r="X46" i="3"/>
  <c r="W46" i="3"/>
  <c r="T46" i="3"/>
  <c r="U46" i="3" s="1"/>
  <c r="S46" i="3"/>
  <c r="R46" i="3"/>
  <c r="Q46" i="3"/>
  <c r="K46" i="3"/>
  <c r="X45" i="3"/>
  <c r="W45" i="3"/>
  <c r="V45" i="3"/>
  <c r="T45" i="3"/>
  <c r="U45" i="3" s="1"/>
  <c r="S45" i="3"/>
  <c r="R45" i="3"/>
  <c r="Q45" i="3"/>
  <c r="K45" i="3"/>
  <c r="X44" i="3"/>
  <c r="W44" i="3"/>
  <c r="T44" i="3"/>
  <c r="V44" i="3" s="1"/>
  <c r="S44" i="3"/>
  <c r="R44" i="3"/>
  <c r="Q44" i="3"/>
  <c r="K44" i="3"/>
  <c r="X43" i="3"/>
  <c r="W43" i="3"/>
  <c r="V43" i="3"/>
  <c r="T43" i="3"/>
  <c r="U43" i="3" s="1"/>
  <c r="S43" i="3"/>
  <c r="R43" i="3"/>
  <c r="Q43" i="3"/>
  <c r="K43" i="3"/>
  <c r="X42" i="3"/>
  <c r="W42" i="3"/>
  <c r="T42" i="3"/>
  <c r="U42" i="3" s="1"/>
  <c r="S42" i="3"/>
  <c r="R42" i="3"/>
  <c r="Q42" i="3"/>
  <c r="K42" i="3"/>
  <c r="X41" i="3"/>
  <c r="W41" i="3"/>
  <c r="V41" i="3"/>
  <c r="T41" i="3"/>
  <c r="U41" i="3" s="1"/>
  <c r="S41" i="3"/>
  <c r="R41" i="3"/>
  <c r="Q41" i="3"/>
  <c r="K41" i="3"/>
  <c r="E41" i="3"/>
  <c r="X40" i="3"/>
  <c r="W40" i="3"/>
  <c r="T40" i="3"/>
  <c r="V40" i="3" s="1"/>
  <c r="S40" i="3"/>
  <c r="R40" i="3"/>
  <c r="Q40" i="3"/>
  <c r="K40" i="3"/>
  <c r="X39" i="3"/>
  <c r="W39" i="3"/>
  <c r="V39" i="3"/>
  <c r="T39" i="3"/>
  <c r="U39" i="3" s="1"/>
  <c r="S39" i="3"/>
  <c r="R39" i="3"/>
  <c r="Q39" i="3"/>
  <c r="K39" i="3"/>
  <c r="X38" i="3"/>
  <c r="W38" i="3"/>
  <c r="T38" i="3"/>
  <c r="U38" i="3" s="1"/>
  <c r="S38" i="3"/>
  <c r="R38" i="3"/>
  <c r="Q38" i="3"/>
  <c r="K38" i="3"/>
  <c r="X37" i="3"/>
  <c r="W37" i="3"/>
  <c r="V37" i="3"/>
  <c r="T37" i="3"/>
  <c r="U37" i="3" s="1"/>
  <c r="S37" i="3"/>
  <c r="R37" i="3"/>
  <c r="Q37" i="3"/>
  <c r="K37" i="3"/>
  <c r="E37" i="3"/>
  <c r="X36" i="3"/>
  <c r="W36" i="3"/>
  <c r="T36" i="3"/>
  <c r="V36" i="3" s="1"/>
  <c r="S36" i="3"/>
  <c r="R36" i="3"/>
  <c r="Q36" i="3"/>
  <c r="K36" i="3"/>
  <c r="X35" i="3"/>
  <c r="W35" i="3"/>
  <c r="V35" i="3"/>
  <c r="T35" i="3"/>
  <c r="U35" i="3" s="1"/>
  <c r="S35" i="3"/>
  <c r="R35" i="3"/>
  <c r="Q35" i="3"/>
  <c r="K35" i="3"/>
  <c r="X34" i="3"/>
  <c r="W34" i="3"/>
  <c r="T34" i="3"/>
  <c r="U34" i="3" s="1"/>
  <c r="S34" i="3"/>
  <c r="R34" i="3"/>
  <c r="Q34" i="3"/>
  <c r="K34" i="3"/>
  <c r="X33" i="3"/>
  <c r="W33" i="3"/>
  <c r="V33" i="3"/>
  <c r="T33" i="3"/>
  <c r="U33" i="3" s="1"/>
  <c r="S33" i="3"/>
  <c r="R33" i="3"/>
  <c r="Q33" i="3"/>
  <c r="K33" i="3"/>
  <c r="E33" i="3"/>
  <c r="X32" i="3"/>
  <c r="W32" i="3"/>
  <c r="T32" i="3"/>
  <c r="V32" i="3" s="1"/>
  <c r="S32" i="3"/>
  <c r="R32" i="3"/>
  <c r="Q32" i="3"/>
  <c r="K32" i="3"/>
  <c r="X31" i="3"/>
  <c r="W31" i="3"/>
  <c r="V31" i="3"/>
  <c r="T31" i="3"/>
  <c r="U31" i="3" s="1"/>
  <c r="S31" i="3"/>
  <c r="R31" i="3"/>
  <c r="Q31" i="3"/>
  <c r="K31" i="3"/>
  <c r="X30" i="3"/>
  <c r="W30" i="3"/>
  <c r="T30" i="3"/>
  <c r="U30" i="3" s="1"/>
  <c r="S30" i="3"/>
  <c r="R30" i="3"/>
  <c r="Q30" i="3"/>
  <c r="K30" i="3"/>
  <c r="X29" i="3"/>
  <c r="W29" i="3"/>
  <c r="V29" i="3"/>
  <c r="T29" i="3"/>
  <c r="U29" i="3" s="1"/>
  <c r="S29" i="3"/>
  <c r="R29" i="3"/>
  <c r="Q29" i="3"/>
  <c r="K29" i="3"/>
  <c r="E29" i="3"/>
  <c r="X28" i="3"/>
  <c r="W28" i="3"/>
  <c r="T28" i="3"/>
  <c r="V28" i="3" s="1"/>
  <c r="S28" i="3"/>
  <c r="R28" i="3"/>
  <c r="Q28" i="3"/>
  <c r="K28" i="3"/>
  <c r="X27" i="3"/>
  <c r="W27" i="3"/>
  <c r="V27" i="3"/>
  <c r="T27" i="3"/>
  <c r="U27" i="3" s="1"/>
  <c r="S27" i="3"/>
  <c r="R27" i="3"/>
  <c r="Q27" i="3"/>
  <c r="K27" i="3"/>
  <c r="X26" i="3"/>
  <c r="W26" i="3"/>
  <c r="T26" i="3"/>
  <c r="U26" i="3" s="1"/>
  <c r="S26" i="3"/>
  <c r="R26" i="3"/>
  <c r="Q26" i="3"/>
  <c r="K26" i="3"/>
  <c r="X25" i="3"/>
  <c r="W25" i="3"/>
  <c r="V25" i="3"/>
  <c r="T25" i="3"/>
  <c r="U25" i="3" s="1"/>
  <c r="S25" i="3"/>
  <c r="R25" i="3"/>
  <c r="Q25" i="3"/>
  <c r="K25" i="3"/>
  <c r="E25" i="3"/>
  <c r="X24" i="3"/>
  <c r="W24" i="3"/>
  <c r="T24" i="3"/>
  <c r="V24" i="3" s="1"/>
  <c r="S24" i="3"/>
  <c r="R24" i="3"/>
  <c r="Q24" i="3"/>
  <c r="K24" i="3"/>
  <c r="X23" i="3"/>
  <c r="W23" i="3"/>
  <c r="U23" i="3"/>
  <c r="T23" i="3"/>
  <c r="V23" i="3" s="1"/>
  <c r="S23" i="3"/>
  <c r="R23" i="3"/>
  <c r="Q23" i="3"/>
  <c r="K23" i="3"/>
  <c r="X22" i="3"/>
  <c r="W22" i="3"/>
  <c r="T22" i="3"/>
  <c r="V22" i="3" s="1"/>
  <c r="S22" i="3"/>
  <c r="R22" i="3"/>
  <c r="Q22" i="3"/>
  <c r="K22" i="3"/>
  <c r="X21" i="3"/>
  <c r="W21" i="3"/>
  <c r="T21" i="3"/>
  <c r="U21" i="3" s="1"/>
  <c r="S21" i="3"/>
  <c r="R21" i="3"/>
  <c r="Q21" i="3"/>
  <c r="K21" i="3"/>
  <c r="X20" i="3"/>
  <c r="W20" i="3"/>
  <c r="V20" i="3"/>
  <c r="T20" i="3"/>
  <c r="U20" i="3" s="1"/>
  <c r="S20" i="3"/>
  <c r="R20" i="3"/>
  <c r="Q20" i="3"/>
  <c r="K20" i="3"/>
  <c r="X19" i="3"/>
  <c r="W19" i="3"/>
  <c r="S19" i="3"/>
  <c r="R19" i="3"/>
  <c r="T19" i="3" s="1"/>
  <c r="Q19" i="3"/>
  <c r="K19" i="3"/>
  <c r="X18" i="3"/>
  <c r="W18" i="3"/>
  <c r="T18" i="3"/>
  <c r="V18" i="3" s="1"/>
  <c r="S18" i="3"/>
  <c r="R18" i="3"/>
  <c r="Q18" i="3"/>
  <c r="K18" i="3"/>
  <c r="X17" i="3"/>
  <c r="W17" i="3"/>
  <c r="T17" i="3"/>
  <c r="V17" i="3" s="1"/>
  <c r="S17" i="3"/>
  <c r="R17" i="3"/>
  <c r="Q17" i="3"/>
  <c r="K17" i="3"/>
  <c r="X16" i="3"/>
  <c r="W16" i="3"/>
  <c r="S16" i="3"/>
  <c r="R16" i="3"/>
  <c r="T16" i="3" s="1"/>
  <c r="Q16" i="3"/>
  <c r="K16" i="3"/>
  <c r="X15" i="3"/>
  <c r="W15" i="3"/>
  <c r="S15" i="3"/>
  <c r="R15" i="3"/>
  <c r="T15" i="3" s="1"/>
  <c r="Q15" i="3"/>
  <c r="K15" i="3"/>
  <c r="X14" i="3"/>
  <c r="W14" i="3"/>
  <c r="T14" i="3"/>
  <c r="V14" i="3" s="1"/>
  <c r="S14" i="3"/>
  <c r="R14" i="3"/>
  <c r="Q14" i="3"/>
  <c r="K14" i="3"/>
  <c r="X13" i="3"/>
  <c r="W13" i="3"/>
  <c r="U13" i="3"/>
  <c r="T13" i="3"/>
  <c r="V13" i="3" s="1"/>
  <c r="S13" i="3"/>
  <c r="R13" i="3"/>
  <c r="Q13" i="3"/>
  <c r="K13" i="3"/>
  <c r="X12" i="3"/>
  <c r="W12" i="3"/>
  <c r="T12" i="3"/>
  <c r="V12" i="3" s="1"/>
  <c r="S12" i="3"/>
  <c r="R12" i="3"/>
  <c r="Q12" i="3"/>
  <c r="K12" i="3"/>
  <c r="X11" i="3"/>
  <c r="W11" i="3"/>
  <c r="S11" i="3"/>
  <c r="R11" i="3"/>
  <c r="T11" i="3" s="1"/>
  <c r="Q11" i="3"/>
  <c r="K11" i="3"/>
  <c r="X10" i="3"/>
  <c r="W10" i="3"/>
  <c r="S10" i="3"/>
  <c r="R10" i="3"/>
  <c r="T10" i="3" s="1"/>
  <c r="Q10" i="3"/>
  <c r="K10" i="3"/>
  <c r="X9" i="3"/>
  <c r="W9" i="3"/>
  <c r="S9" i="3"/>
  <c r="R9" i="3"/>
  <c r="T9" i="3" s="1"/>
  <c r="Q9" i="3"/>
  <c r="K9" i="3"/>
  <c r="X8" i="3"/>
  <c r="W8" i="3"/>
  <c r="T8" i="3"/>
  <c r="U8" i="3" s="1"/>
  <c r="S8" i="3"/>
  <c r="R8" i="3"/>
  <c r="Q8" i="3"/>
  <c r="K8" i="3"/>
  <c r="X7" i="3"/>
  <c r="W7" i="3"/>
  <c r="T7" i="3"/>
  <c r="U7" i="3" s="1"/>
  <c r="S7" i="3"/>
  <c r="R7" i="3"/>
  <c r="Q7" i="3"/>
  <c r="K7" i="3"/>
  <c r="X6" i="3"/>
  <c r="W6" i="3"/>
  <c r="S6" i="3"/>
  <c r="R6" i="3"/>
  <c r="T6" i="3" s="1"/>
  <c r="Q6" i="3"/>
  <c r="K6" i="3"/>
  <c r="X5" i="3"/>
  <c r="W5" i="3"/>
  <c r="S5" i="3"/>
  <c r="R5" i="3"/>
  <c r="T5" i="3" s="1"/>
  <c r="Q5" i="3"/>
  <c r="G61" i="3" s="1"/>
  <c r="K5" i="3"/>
  <c r="O4" i="2"/>
  <c r="N4" i="2"/>
  <c r="M4" i="2"/>
  <c r="L4" i="2"/>
  <c r="K4" i="2"/>
  <c r="J4" i="2"/>
  <c r="I4" i="2"/>
  <c r="H4" i="2"/>
  <c r="G4" i="2"/>
  <c r="F4" i="2"/>
  <c r="E4" i="2"/>
  <c r="D4" i="2"/>
  <c r="C4" i="2"/>
  <c r="V47" i="3" l="1"/>
  <c r="U6" i="3"/>
  <c r="V6" i="3"/>
  <c r="V11" i="3"/>
  <c r="U11" i="3"/>
  <c r="V16" i="3"/>
  <c r="U16" i="3"/>
  <c r="U9" i="3"/>
  <c r="V9" i="3"/>
  <c r="V19" i="3"/>
  <c r="U19" i="3"/>
  <c r="U15" i="3"/>
  <c r="V15" i="3"/>
  <c r="V5" i="3"/>
  <c r="U5" i="3"/>
  <c r="V10" i="3"/>
  <c r="U10" i="3"/>
  <c r="E53" i="3"/>
  <c r="V30" i="3"/>
  <c r="V34" i="3"/>
  <c r="V54" i="3"/>
  <c r="V7" i="3"/>
  <c r="V50" i="3"/>
  <c r="B32" i="3"/>
  <c r="E5" i="3"/>
  <c r="G11" i="2" s="1"/>
  <c r="U12" i="3"/>
  <c r="U17" i="3"/>
  <c r="F5" i="3"/>
  <c r="U22" i="3"/>
  <c r="B27" i="3"/>
  <c r="C27" i="3" s="1"/>
  <c r="B31" i="3"/>
  <c r="C31" i="3" s="1"/>
  <c r="B35" i="3"/>
  <c r="C35" i="3" s="1"/>
  <c r="B39" i="3"/>
  <c r="C39" i="3" s="1"/>
  <c r="B43" i="3"/>
  <c r="C43" i="3" s="1"/>
  <c r="B47" i="3"/>
  <c r="C47" i="3" s="1"/>
  <c r="B51" i="3"/>
  <c r="C51" i="3" s="1"/>
  <c r="B55" i="3"/>
  <c r="C55" i="3" s="1"/>
  <c r="B59" i="3"/>
  <c r="C59" i="3" s="1"/>
  <c r="B63" i="3"/>
  <c r="C63" i="3" s="1"/>
  <c r="D5" i="3"/>
  <c r="B28" i="3"/>
  <c r="B40" i="3"/>
  <c r="B44" i="3"/>
  <c r="B52" i="3"/>
  <c r="B56" i="3"/>
  <c r="G5" i="3"/>
  <c r="I11" i="2" s="1"/>
  <c r="E45" i="3"/>
  <c r="C5" i="3"/>
  <c r="E11" i="2" s="1"/>
  <c r="V26" i="3"/>
  <c r="V38" i="3"/>
  <c r="V42" i="3"/>
  <c r="V46" i="3"/>
  <c r="V58" i="3"/>
  <c r="B36" i="3"/>
  <c r="B48" i="3"/>
  <c r="B60" i="3"/>
  <c r="B64" i="3"/>
  <c r="D27" i="3"/>
  <c r="D31" i="3"/>
  <c r="D35" i="3"/>
  <c r="D39" i="3"/>
  <c r="D43" i="3"/>
  <c r="D47" i="3"/>
  <c r="D51" i="3"/>
  <c r="D55" i="3"/>
  <c r="D59" i="3"/>
  <c r="D63" i="3"/>
  <c r="E63" i="3"/>
  <c r="E31" i="3"/>
  <c r="E47" i="3"/>
  <c r="E51" i="3"/>
  <c r="U24" i="3"/>
  <c r="G27" i="3"/>
  <c r="U28" i="3"/>
  <c r="G31" i="3"/>
  <c r="U32" i="3"/>
  <c r="G35" i="3"/>
  <c r="U36" i="3"/>
  <c r="G39" i="3"/>
  <c r="U40" i="3"/>
  <c r="G43" i="3"/>
  <c r="U44" i="3"/>
  <c r="G47" i="3"/>
  <c r="U48" i="3"/>
  <c r="G51" i="3"/>
  <c r="U52" i="3"/>
  <c r="G55" i="3"/>
  <c r="U56" i="3"/>
  <c r="G59" i="3"/>
  <c r="U60" i="3"/>
  <c r="G63" i="3"/>
  <c r="U64" i="3"/>
  <c r="U66" i="3"/>
  <c r="E59" i="3"/>
  <c r="C12" i="3"/>
  <c r="E17" i="2" s="1"/>
  <c r="V8" i="3"/>
  <c r="V21" i="3"/>
  <c r="B46" i="3"/>
  <c r="B50" i="3"/>
  <c r="B58" i="3"/>
  <c r="B62" i="3"/>
  <c r="E55" i="3"/>
  <c r="B12" i="3"/>
  <c r="U14" i="3"/>
  <c r="D12" i="3"/>
  <c r="B26" i="3"/>
  <c r="B30" i="3"/>
  <c r="B34" i="3"/>
  <c r="B38" i="3"/>
  <c r="B42" i="3"/>
  <c r="B54" i="3"/>
  <c r="E12" i="3"/>
  <c r="G17" i="2" s="1"/>
  <c r="F12" i="3"/>
  <c r="U18" i="3"/>
  <c r="B25" i="3"/>
  <c r="C25" i="3" s="1"/>
  <c r="B29" i="3"/>
  <c r="C29" i="3" s="1"/>
  <c r="B33" i="3"/>
  <c r="C33" i="3" s="1"/>
  <c r="B37" i="3"/>
  <c r="C37" i="3" s="1"/>
  <c r="B41" i="3"/>
  <c r="C41" i="3" s="1"/>
  <c r="B45" i="3"/>
  <c r="C45" i="3" s="1"/>
  <c r="B49" i="3"/>
  <c r="C49" i="3" s="1"/>
  <c r="B53" i="3"/>
  <c r="C53" i="3" s="1"/>
  <c r="B57" i="3"/>
  <c r="C57" i="3" s="1"/>
  <c r="B61" i="3"/>
  <c r="C61" i="3" s="1"/>
  <c r="E39" i="3"/>
  <c r="E43" i="3"/>
  <c r="G12" i="3"/>
  <c r="I17" i="2" s="1"/>
  <c r="E27" i="3"/>
  <c r="E35" i="3"/>
  <c r="D25" i="3"/>
  <c r="D29" i="3"/>
  <c r="D33" i="3"/>
  <c r="D37" i="3"/>
  <c r="D41" i="3"/>
  <c r="D45" i="3"/>
  <c r="D49" i="3"/>
  <c r="D53" i="3"/>
  <c r="D57" i="3"/>
  <c r="D61" i="3"/>
  <c r="E49" i="3"/>
  <c r="E57" i="3"/>
  <c r="E61" i="3"/>
  <c r="B5" i="3"/>
  <c r="G25" i="3"/>
  <c r="G29" i="3"/>
  <c r="G33" i="3"/>
  <c r="G37" i="3"/>
  <c r="G41" i="3"/>
  <c r="G45" i="3"/>
  <c r="G49" i="3"/>
  <c r="G53" i="3"/>
  <c r="G57" i="3"/>
  <c r="D11" i="2" l="1"/>
  <c r="B6" i="3"/>
  <c r="D12" i="2" s="1"/>
  <c r="H11" i="2"/>
  <c r="F6" i="3"/>
  <c r="H12" i="2" s="1"/>
  <c r="C22" i="3"/>
  <c r="B58" i="5" s="1"/>
  <c r="C23" i="3"/>
  <c r="B59" i="5" s="1"/>
  <c r="C21" i="3"/>
  <c r="B57" i="5" s="1"/>
  <c r="D6" i="3"/>
  <c r="F12" i="2" s="1"/>
  <c r="F11" i="2"/>
  <c r="B13" i="3"/>
  <c r="D18" i="2" s="1"/>
  <c r="D17" i="2"/>
  <c r="D13" i="3"/>
  <c r="F18" i="2" s="1"/>
  <c r="F17" i="2"/>
  <c r="E22" i="3"/>
  <c r="B61" i="5" s="1"/>
  <c r="E23" i="3"/>
  <c r="B62" i="5" s="1"/>
  <c r="E21" i="3"/>
  <c r="B60" i="5" s="1"/>
  <c r="H17" i="2"/>
  <c r="F13" i="3"/>
  <c r="H18" i="2" s="1"/>
  <c r="C56" i="5" l="1"/>
  <c r="B6" i="5" s="1"/>
  <c r="D1" i="5" s="1"/>
  <c r="D10" i="5" s="1"/>
  <c r="C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100-000001000000}">
      <text>
        <r>
          <rPr>
            <sz val="10"/>
            <color rgb="FF000000"/>
            <rFont val="Arial"/>
            <scheme val="minor"/>
          </rPr>
          <t>You may claim only one of the 100-point bonuses.</t>
        </r>
      </text>
    </comment>
    <comment ref="J11" authorId="0" shapeId="0" xr:uid="{00000000-0006-0000-0100-000002000000}">
      <text>
        <r>
          <rPr>
            <sz val="10"/>
            <color rgb="FF000000"/>
            <rFont val="Arial"/>
            <scheme val="minor"/>
          </rPr>
          <t>F - Fought before the specific cap
P - Postponed after the specific cap
M - Missed/Failed and did not battle</t>
        </r>
      </text>
    </comment>
    <comment ref="A14" authorId="0" shapeId="0" xr:uid="{00000000-0006-0000-0100-000003000000}">
      <text>
        <r>
          <rPr>
            <sz val="10"/>
            <color rgb="FF000000"/>
            <rFont val="Arial"/>
            <scheme val="minor"/>
          </rPr>
          <t>This is factored into your grand point total near the top</t>
        </r>
      </text>
    </comment>
    <comment ref="A15" authorId="0" shapeId="0" xr:uid="{00000000-0006-0000-0100-000004000000}">
      <text>
        <r>
          <rPr>
            <sz val="10"/>
            <color rgb="FF000000"/>
            <rFont val="Arial"/>
            <scheme val="minor"/>
          </rPr>
          <t>Your level cap for Cynthia is lowered to 59. You may pass this cap during the Elite Four.</t>
        </r>
      </text>
    </comment>
    <comment ref="A16" authorId="0" shapeId="0" xr:uid="{00000000-0006-0000-0100-000005000000}">
      <text>
        <r>
          <rPr>
            <sz val="10"/>
            <color rgb="FF000000"/>
            <rFont val="Arial"/>
            <scheme val="minor"/>
          </rPr>
          <t>Defeat the E4 and Champion with every team member sharing a type.</t>
        </r>
      </text>
    </comment>
    <comment ref="A17" authorId="0" shapeId="0" xr:uid="{00000000-0006-0000-0100-000006000000}">
      <text>
        <r>
          <rPr>
            <sz val="10"/>
            <color rgb="FF000000"/>
            <rFont val="Arial"/>
            <scheme val="minor"/>
          </rPr>
          <t>Defeat the E4 and Champion with none of the team members sharing types.</t>
        </r>
      </text>
    </comment>
    <comment ref="A18" authorId="0" shapeId="0" xr:uid="{00000000-0006-0000-0100-000007000000}">
      <text>
        <r>
          <rPr>
            <sz val="10"/>
            <color rgb="FF000000"/>
            <rFont val="Arial"/>
            <scheme val="minor"/>
          </rPr>
          <t>You must have a full team of 6 Pokemon. Your team must be separated into 3 different pairs you declare before entering the E4. Once the pairs are made, they last for the duration of the league. There are no restrictions on how you pair your Pokemon, and is completely up to player discretion. During battle, you may only switch between your lead’s partner and themselves. If a paired Pokemon dies, the partner goes out and continues fighting until it dies or the battle ends. If both members of a pair or a lone wolf dies, you must choose another Pokemon to switch in to become the new active pair or lone wolf. If a phasing move is used (such as Whirlwind) and it brings out a member of a different pair, you must continue the battle with that new pair. In the event you have enough lone wolves to make a new pair, they are automatically paired together.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200-000001000000}">
      <text>
        <r>
          <rPr>
            <sz val="10"/>
            <color rgb="FF000000"/>
            <rFont val="Arial"/>
            <scheme val="minor"/>
          </rPr>
          <t>For Nidoran, the correct form is NidoranF and NidoranM</t>
        </r>
      </text>
    </comment>
    <comment ref="N3" authorId="0" shapeId="0" xr:uid="{00000000-0006-0000-0200-000002000000}">
      <text>
        <r>
          <rPr>
            <sz val="10"/>
            <color rgb="FF000000"/>
            <rFont val="Arial"/>
            <scheme val="minor"/>
          </rPr>
          <t>T - Team
B - Boxed
D - Dead
F - Failed to catch</t>
        </r>
      </text>
    </comment>
    <comment ref="O3" authorId="0" shapeId="0" xr:uid="{00000000-0006-0000-0200-000003000000}">
      <text>
        <r>
          <rPr>
            <sz val="10"/>
            <color rgb="FF000000"/>
            <rFont val="Arial"/>
            <scheme val="minor"/>
          </rPr>
          <t>Type here the cause of death and select the type of battle it was</t>
        </r>
      </text>
    </comment>
    <comment ref="P3" authorId="0" shapeId="0" xr:uid="{00000000-0006-0000-0200-000004000000}">
      <text>
        <r>
          <rPr>
            <sz val="10"/>
            <color rgb="FF000000"/>
            <rFont val="Arial"/>
            <scheme val="minor"/>
          </rPr>
          <t>N - No point battle
H - Hitlist Trainer
S - Significant Battle
L - League Battle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1" authorId="0" shapeId="0" xr:uid="{00000000-0006-0000-0400-000001000000}">
      <text>
        <r>
          <rPr>
            <sz val="10"/>
            <color rgb="FF000000"/>
            <rFont val="Arial"/>
            <scheme val="minor"/>
          </rPr>
          <t>Rivals, Team Leaders, Gym Leaders</t>
        </r>
      </text>
    </comment>
    <comment ref="A62" authorId="0" shapeId="0" xr:uid="{00000000-0006-0000-0400-000002000000}">
      <text>
        <r>
          <rPr>
            <sz val="10"/>
            <color rgb="FF000000"/>
            <rFont val="Arial"/>
            <scheme val="minor"/>
          </rPr>
          <t>Elite Four and Champion</t>
        </r>
      </text>
    </comment>
  </commentList>
</comments>
</file>

<file path=xl/sharedStrings.xml><?xml version="1.0" encoding="utf-8"?>
<sst xmlns="http://schemas.openxmlformats.org/spreadsheetml/2006/main" count="1078" uniqueCount="479">
  <si>
    <t>GENERAL INFO</t>
  </si>
  <si>
    <r>
      <rPr>
        <sz val="10"/>
        <color rgb="FFFFFFFF"/>
        <rFont val="Arial"/>
      </rPr>
      <t xml:space="preserve">1. This is a tracker for Nuzlocke Run of the Month that is purely for your use and benefit. If something is broken and needs an </t>
    </r>
    <r>
      <rPr>
        <b/>
        <u/>
        <sz val="10"/>
        <color rgb="FFFFFFFF"/>
        <rFont val="Arial"/>
      </rPr>
      <t>urgent fix</t>
    </r>
    <r>
      <rPr>
        <sz val="10"/>
        <color rgb="FFFFFFFF"/>
        <rFont val="Arial"/>
      </rPr>
      <t>, feel free to ping or DM @Cinder5319 and I will try my best to fix. If it's a minor bug, please submit a bug report using</t>
    </r>
    <r>
      <rPr>
        <sz val="10"/>
        <color rgb="FF1155CC"/>
        <rFont val="Arial"/>
      </rPr>
      <t xml:space="preserve"> </t>
    </r>
    <r>
      <rPr>
        <b/>
        <u/>
        <sz val="10"/>
        <color rgb="FFFFFF00"/>
        <rFont val="Arial"/>
      </rPr>
      <t>this form.</t>
    </r>
  </si>
  <si>
    <t>2. In order to use this sheet, all you have to do is make a copy for yourself that way you can edit as you need to. Don't forget to click the "Share" button and set the link for anyone to view.</t>
  </si>
  <si>
    <t>POINTS</t>
  </si>
  <si>
    <t>3. Your points gained, and any points that are lost from deaths, are both automatically populated from the information you key in under the "Tracker" and "Team &amp; Encounters" tabs respectively.</t>
  </si>
  <si>
    <t>4. For the remaining categories that give you points to affect your score, all you have to do is click the check boxes as you complete each part of the run.</t>
  </si>
  <si>
    <t>5. All of the math is completely 100% automated so you don't have to worry about any of that!</t>
  </si>
  <si>
    <t>6. If it's your first run, check the box for "Start Game" to earn your starting 60 points. Check the box for "STAB" if you are following this month's ruleset, "Set Mode" if you are playing on Set mode, and finally, select a League Bonus if you decide to do one.</t>
  </si>
  <si>
    <t>HITLIST</t>
  </si>
  <si>
    <t>7. The Hitlist trainers' list includes all regular trainers that are required to be defeated as you progress. The list also includes the trainers' names, location and any restrictions that apply for the battle. Please make sure to read the rules to not miss any restrictions.</t>
  </si>
  <si>
    <t>8. Each Hitlist trainer includes a drop-down menu that you can select F, P, or M. | F = Fought before specific cap | P = Postponed and fought after the specific cap | M = Missed and did not battle, or failed the quest. Refer to the rules for more information.</t>
  </si>
  <si>
    <t>TEAM &amp; ENCOUNTERS</t>
  </si>
  <si>
    <t>9. Select your encounters from the encounters list. Give them a nickname and include their current form if they have evolved.</t>
  </si>
  <si>
    <t>10. Select their Status: T, B, D or F. | T = They're on your party | B = They're boxed | D = They're dead | F = Failed to catch the encounter. Teamview is automated and it will reflect your current party.</t>
  </si>
  <si>
    <t>11. If any of your Pokémon die, go to Status and mark them with a D. Then type in the cause of death and choose the type of battle they died to. | N = Died to a battle that doesn't award points | H = Died to a Hitlist trainer | S = Died to a Significant battle (Rival, Team Leader, Gym Leader) | L = Died to the Elite Four or Champion</t>
  </si>
  <si>
    <t>EXTRAS</t>
  </si>
  <si>
    <t>Here is a link to the rules sheet!</t>
  </si>
  <si>
    <t>CHANGELOG</t>
  </si>
  <si>
    <t>v.1.0- Nothing has changed!</t>
  </si>
  <si>
    <t>Platinum</t>
  </si>
  <si>
    <t>August 2024 NRotM - Platinum Healless Typeban Nuzlocke</t>
  </si>
  <si>
    <t>[Insert Player Name]</t>
  </si>
  <si>
    <t>Level Caps, Gym Leaders, &amp; League Members</t>
  </si>
  <si>
    <t>Roark</t>
  </si>
  <si>
    <t>Gardenia</t>
  </si>
  <si>
    <t>Fantina</t>
  </si>
  <si>
    <t>Maylene</t>
  </si>
  <si>
    <t>CrasherWake</t>
  </si>
  <si>
    <t>Byron</t>
  </si>
  <si>
    <t>Candice</t>
  </si>
  <si>
    <t>Volkner</t>
  </si>
  <si>
    <t>Aaron</t>
  </si>
  <si>
    <t>Bertha</t>
  </si>
  <si>
    <t>Flint</t>
  </si>
  <si>
    <t>Lucian</t>
  </si>
  <si>
    <t>Cynthia</t>
  </si>
  <si>
    <t>TOTAL POINTS</t>
  </si>
  <si>
    <t>CURRENT PARTY</t>
  </si>
  <si>
    <t>ADDITIONAL BONUSES</t>
  </si>
  <si>
    <t>Status</t>
  </si>
  <si>
    <t>Hitlist Trainers</t>
  </si>
  <si>
    <t>Enemy Party</t>
  </si>
  <si>
    <t>Start Game</t>
  </si>
  <si>
    <t>Before Roark: (Level Cap 14)</t>
  </si>
  <si>
    <t>Set Mode</t>
  </si>
  <si>
    <t>Youngster Logan</t>
  </si>
  <si>
    <t>Route 202</t>
  </si>
  <si>
    <t>STAB (Grand Total x1.5)</t>
  </si>
  <si>
    <t>Youngster Sebastian</t>
  </si>
  <si>
    <t>Route 203</t>
  </si>
  <si>
    <t>Level Cap+</t>
  </si>
  <si>
    <t>Camper Curtis</t>
  </si>
  <si>
    <t>Oreburgh Gate</t>
  </si>
  <si>
    <t>Monotype</t>
  </si>
  <si>
    <t>Worker Colin</t>
  </si>
  <si>
    <t>Oreburgh Mine</t>
  </si>
  <si>
    <t>Variety</t>
  </si>
  <si>
    <t>Before Gardenia: (Level Cap 22)</t>
  </si>
  <si>
    <t>Banned Together</t>
  </si>
  <si>
    <t>Twins Liv &amp; Liz</t>
  </si>
  <si>
    <r>
      <rPr>
        <i/>
        <sz val="10"/>
        <color theme="1"/>
        <rFont val="Arial"/>
      </rPr>
      <t xml:space="preserve">Route 204 </t>
    </r>
    <r>
      <rPr>
        <b/>
        <i/>
        <sz val="10"/>
        <color rgb="FFFF9900"/>
        <rFont val="Arial"/>
      </rPr>
      <t>DOUBLE</t>
    </r>
  </si>
  <si>
    <t>Commander Mars</t>
  </si>
  <si>
    <t>Valley Windworks</t>
  </si>
  <si>
    <t>RIVAL BATTLES</t>
  </si>
  <si>
    <t>Fisherman Andrew</t>
  </si>
  <si>
    <t>Route 205</t>
  </si>
  <si>
    <t>Barry 2 - Route 203</t>
  </si>
  <si>
    <t>Aroma Lady Angela</t>
  </si>
  <si>
    <t>Eterna City Gym</t>
  </si>
  <si>
    <t>Barry 3 - Route 209</t>
  </si>
  <si>
    <t>Before Fantina: (Level Cap 26)</t>
  </si>
  <si>
    <t>Barry 4 - Pastoria City</t>
  </si>
  <si>
    <t>OPTIONAL HITLIST CHALLENGES</t>
  </si>
  <si>
    <t>Commander Jupiter</t>
  </si>
  <si>
    <t>Eterna Galactic Building</t>
  </si>
  <si>
    <t>Barry 5 - Canalave City</t>
  </si>
  <si>
    <t>Cyclist Megan</t>
  </si>
  <si>
    <t>Route 206</t>
  </si>
  <si>
    <t>Barry 6 - Pokemon League</t>
  </si>
  <si>
    <t>Roark must be fought with the Level Cap lowered to 12 entering the fight.</t>
  </si>
  <si>
    <t>Pre-Roark</t>
  </si>
  <si>
    <t>Youngster Austin</t>
  </si>
  <si>
    <t>Route 207</t>
  </si>
  <si>
    <t>Before Maylene: (Level Cap 32)</t>
  </si>
  <si>
    <t>TEAM LEADER BATTLES</t>
  </si>
  <si>
    <t>No Psychic or Flying type Pokemon may be used in battle against Gardenia.</t>
  </si>
  <si>
    <t>Pre-Gardenia</t>
  </si>
  <si>
    <t>Pokemon Breeder Albert</t>
  </si>
  <si>
    <t>Route 209</t>
  </si>
  <si>
    <t>Cyrus 1 - Celestic Town</t>
  </si>
  <si>
    <t>Young Couple Ty &amp; Sue</t>
  </si>
  <si>
    <r>
      <rPr>
        <i/>
        <sz val="10"/>
        <color theme="1"/>
        <rFont val="Arial"/>
      </rPr>
      <t xml:space="preserve">Route 209 </t>
    </r>
    <r>
      <rPr>
        <b/>
        <i/>
        <sz val="10"/>
        <color rgb="FFFF9900"/>
        <rFont val="Arial"/>
      </rPr>
      <t>DOUBLE</t>
    </r>
  </si>
  <si>
    <t>Cyrus 2 - Galactic HQ</t>
  </si>
  <si>
    <t>Get the Spooky Plate from Amity Square.</t>
  </si>
  <si>
    <t>Pre-Fantina</t>
  </si>
  <si>
    <t>Ruin Maniac Karl</t>
  </si>
  <si>
    <t>Solaceon Ruins</t>
  </si>
  <si>
    <t>Cyrus 3 - Distortion World</t>
  </si>
  <si>
    <t>Belle &amp; Pa Ava and Matt</t>
  </si>
  <si>
    <r>
      <rPr>
        <i/>
        <sz val="10"/>
        <color theme="1"/>
        <rFont val="Arial"/>
      </rPr>
      <t xml:space="preserve">Route 210 </t>
    </r>
    <r>
      <rPr>
        <b/>
        <i/>
        <sz val="10"/>
        <color rgb="FFFF9900"/>
        <rFont val="Arial"/>
      </rPr>
      <t>DOUBLE</t>
    </r>
  </si>
  <si>
    <t xml:space="preserve"> A full team of 6 Pokemon must be taken into the battle with Maylene. All 6 Pokemon must enter battle at least once and use at least a single move.</t>
  </si>
  <si>
    <t>Pre-Maylene</t>
  </si>
  <si>
    <t>Black Belt Nathaniel</t>
  </si>
  <si>
    <t>Route 215</t>
  </si>
  <si>
    <t>Before Wake: (Level Cap 37)</t>
  </si>
  <si>
    <t>Help the woman at Hotel Grand Lake find her suite key.</t>
  </si>
  <si>
    <t>Pre-Wake</t>
  </si>
  <si>
    <t>Psychic Mitchell</t>
  </si>
  <si>
    <t>Route 214</t>
  </si>
  <si>
    <t>Collector Douglas</t>
  </si>
  <si>
    <t>Win an Ultra Rank Super Contest.</t>
  </si>
  <si>
    <t>Pre-Byron</t>
  </si>
  <si>
    <t>Fisherman Kenneth</t>
  </si>
  <si>
    <t>Route 213</t>
  </si>
  <si>
    <t>Collector Dean</t>
  </si>
  <si>
    <t>Route 212</t>
  </si>
  <si>
    <t>Defeat all 9 trainers on Route 217.</t>
  </si>
  <si>
    <t>Pre-Candice</t>
  </si>
  <si>
    <t>Pokemon Ranger Taylor</t>
  </si>
  <si>
    <t>Before Byron: (Level Cap 41)</t>
  </si>
  <si>
    <t>Defeat Giratina without using any Super Effective moves.</t>
  </si>
  <si>
    <t>Pre-Volkner</t>
  </si>
  <si>
    <t>Galactic Grunt</t>
  </si>
  <si>
    <t>Valor Lakefront</t>
  </si>
  <si>
    <t>Double Team Zac &amp; Jen</t>
  </si>
  <si>
    <r>
      <rPr>
        <i/>
        <sz val="10"/>
        <color theme="1"/>
        <rFont val="Arial"/>
      </rPr>
      <t xml:space="preserve">Route 210 </t>
    </r>
    <r>
      <rPr>
        <b/>
        <i/>
        <sz val="10"/>
        <color rgb="FFFF9900"/>
        <rFont val="Arial"/>
      </rPr>
      <t>DOUBLE</t>
    </r>
  </si>
  <si>
    <t>Win the final Barry fight without using Status moves.</t>
  </si>
  <si>
    <t>Pre-Elite 4</t>
  </si>
  <si>
    <t>Ace Trainer Ernest</t>
  </si>
  <si>
    <t>Route 210</t>
  </si>
  <si>
    <t>Fisherman Miguel</t>
  </si>
  <si>
    <t>Route 218</t>
  </si>
  <si>
    <t>Before Candice: (Level Cap 44)</t>
  </si>
  <si>
    <t>Commander Saturn</t>
  </si>
  <si>
    <t>Lake Valor</t>
  </si>
  <si>
    <t>Lake Verity</t>
  </si>
  <si>
    <t>Ace Trainer Blake</t>
  </si>
  <si>
    <t>Route 216</t>
  </si>
  <si>
    <t>Ace Trainer Garrett</t>
  </si>
  <si>
    <t>Before Volkner: (Level Cap 50)</t>
  </si>
  <si>
    <t>Galactic HQ</t>
  </si>
  <si>
    <t>Giratina</t>
  </si>
  <si>
    <t>Distortion World</t>
  </si>
  <si>
    <t>Rich Boy Trey</t>
  </si>
  <si>
    <t>Route 222</t>
  </si>
  <si>
    <t>Sailor Luther</t>
  </si>
  <si>
    <t>Fisherman George</t>
  </si>
  <si>
    <t>Fisherman Cole</t>
  </si>
  <si>
    <t>Guitarist Preston</t>
  </si>
  <si>
    <t>Sunyshore Gym</t>
  </si>
  <si>
    <t>Before the E4 &amp; Champion: (Level Cap 62)</t>
  </si>
  <si>
    <t>Psychic Bryce</t>
  </si>
  <si>
    <t>Victory Road</t>
  </si>
  <si>
    <t>Bird Keeper Hana</t>
  </si>
  <si>
    <t>Ace Trainer Mariah</t>
  </si>
  <si>
    <t>Ace Trainer Omar</t>
  </si>
  <si>
    <t>Ace Trainer Sydney</t>
  </si>
  <si>
    <t>Veteran Clayton</t>
  </si>
  <si>
    <t>Double Team Al &amp; Kay</t>
  </si>
  <si>
    <r>
      <rPr>
        <i/>
        <sz val="10"/>
        <color theme="1"/>
        <rFont val="Arial"/>
      </rPr>
      <t xml:space="preserve">Victory Road </t>
    </r>
    <r>
      <rPr>
        <b/>
        <i/>
        <sz val="10"/>
        <color rgb="FFFF9900"/>
        <rFont val="Arial"/>
      </rPr>
      <t>DOUBLE</t>
    </r>
  </si>
  <si>
    <t>Black Belt Miles</t>
  </si>
  <si>
    <t>Psychic Valencia</t>
  </si>
  <si>
    <t>Double Team Pat &amp; Jo</t>
  </si>
  <si>
    <r>
      <rPr>
        <i/>
        <sz val="10"/>
        <color theme="1"/>
        <rFont val="Arial"/>
      </rPr>
      <t xml:space="preserve">Victory Road </t>
    </r>
    <r>
      <rPr>
        <b/>
        <i/>
        <sz val="10"/>
        <color rgb="FFFF9900"/>
        <rFont val="Arial"/>
      </rPr>
      <t>DOUBLE</t>
    </r>
  </si>
  <si>
    <t>Ace Trainer Henry</t>
  </si>
  <si>
    <t>Dragon Tamer Ondrej</t>
  </si>
  <si>
    <t>Veteran Edgar</t>
  </si>
  <si>
    <t>Dragon Tamer Clinton</t>
  </si>
  <si>
    <r>
      <rPr>
        <b/>
        <sz val="16"/>
        <color rgb="FF000000"/>
        <rFont val="Trebuchet MS"/>
      </rPr>
      <t>August 2024 NRotM -</t>
    </r>
    <r>
      <rPr>
        <b/>
        <sz val="16"/>
        <color rgb="FF9900FF"/>
        <rFont val="Trebuchet MS"/>
      </rPr>
      <t xml:space="preserve"> </t>
    </r>
    <r>
      <rPr>
        <b/>
        <sz val="16"/>
        <color rgb="FF999999"/>
        <rFont val="Trebuchet MS"/>
      </rPr>
      <t>Platinum</t>
    </r>
    <r>
      <rPr>
        <b/>
        <sz val="16"/>
        <color rgb="FFFFFF00"/>
        <rFont val="Trebuchet MS"/>
      </rPr>
      <t xml:space="preserve"> </t>
    </r>
    <r>
      <rPr>
        <b/>
        <sz val="16"/>
        <color rgb="FF000000"/>
        <rFont val="Trebuchet MS"/>
      </rPr>
      <t>Healless Typeban</t>
    </r>
  </si>
  <si>
    <t>Location</t>
  </si>
  <si>
    <t>Encounter</t>
  </si>
  <si>
    <t>Nickname</t>
  </si>
  <si>
    <t>Evolution Form</t>
  </si>
  <si>
    <t>Cause of Death</t>
  </si>
  <si>
    <t>Point Battle?</t>
  </si>
  <si>
    <t>id</t>
  </si>
  <si>
    <t>base form</t>
  </si>
  <si>
    <t>nickname</t>
  </si>
  <si>
    <t>current form</t>
  </si>
  <si>
    <t>Stage</t>
  </si>
  <si>
    <t>Points</t>
  </si>
  <si>
    <t>Starter</t>
  </si>
  <si>
    <t>Turtwig</t>
  </si>
  <si>
    <t>Route 201</t>
  </si>
  <si>
    <t>Twinleaf Town</t>
  </si>
  <si>
    <t>Route 204</t>
  </si>
  <si>
    <t>Oreburgh City</t>
  </si>
  <si>
    <t>NO</t>
  </si>
  <si>
    <t>ENCOUNTERS</t>
  </si>
  <si>
    <t>Ravaged Path</t>
  </si>
  <si>
    <t>Floroama Meadow</t>
  </si>
  <si>
    <t>Death Counts (DO NOT TOUCH)</t>
  </si>
  <si>
    <t>Eterna Forest</t>
  </si>
  <si>
    <t>Base Stage:</t>
  </si>
  <si>
    <t>Hitlist Deaths:</t>
  </si>
  <si>
    <t>Eterna City</t>
  </si>
  <si>
    <t>Middle Stage:</t>
  </si>
  <si>
    <t>Significant Deaths:</t>
  </si>
  <si>
    <t>Old Chateau</t>
  </si>
  <si>
    <t>Final/Single Stage:</t>
  </si>
  <si>
    <t>League Deaths:</t>
  </si>
  <si>
    <t>Route 211</t>
  </si>
  <si>
    <t>Pokemon</t>
  </si>
  <si>
    <t>Mt. Coronet</t>
  </si>
  <si>
    <t>Wayward Cave</t>
  </si>
  <si>
    <t>Route 208</t>
  </si>
  <si>
    <t>Hearthome City</t>
  </si>
  <si>
    <t>Lost Tower</t>
  </si>
  <si>
    <t>Route 210 South</t>
  </si>
  <si>
    <t>Route 210 Fog</t>
  </si>
  <si>
    <t>Veilstone City</t>
  </si>
  <si>
    <t>Ruin Maniac Cave</t>
  </si>
  <si>
    <t>Pastoria City</t>
  </si>
  <si>
    <t>Great Marsh</t>
  </si>
  <si>
    <t>Route 212 Clear</t>
  </si>
  <si>
    <t>Route 212 Rain</t>
  </si>
  <si>
    <t>Trophy Garden</t>
  </si>
  <si>
    <t>Celestic Town</t>
  </si>
  <si>
    <t>Fuego Ironworks</t>
  </si>
  <si>
    <t>Route 219</t>
  </si>
  <si>
    <t>Route 220</t>
  </si>
  <si>
    <t>Route 221</t>
  </si>
  <si>
    <t>Canalave City</t>
  </si>
  <si>
    <t>Iron Island Exterior</t>
  </si>
  <si>
    <t>Iron Island Cave</t>
  </si>
  <si>
    <t>Route 217</t>
  </si>
  <si>
    <t>Acuity Lakefront</t>
  </si>
  <si>
    <t>Lake Acuity</t>
  </si>
  <si>
    <t>Sendoff Spring</t>
  </si>
  <si>
    <t>Sunyshore City</t>
  </si>
  <si>
    <t>Route 223</t>
  </si>
  <si>
    <t>Pokemon League</t>
  </si>
  <si>
    <t>Base Stage</t>
  </si>
  <si>
    <t>Middle Stage</t>
  </si>
  <si>
    <t>Final or Single Stage</t>
  </si>
  <si>
    <t>B</t>
  </si>
  <si>
    <t>Grotle</t>
  </si>
  <si>
    <t>M</t>
  </si>
  <si>
    <t>Golduck</t>
  </si>
  <si>
    <t>F/S</t>
  </si>
  <si>
    <t>Chimchar</t>
  </si>
  <si>
    <t>Monferno</t>
  </si>
  <si>
    <t>Gyarados</t>
  </si>
  <si>
    <t>Piplup</t>
  </si>
  <si>
    <t>Prinplup</t>
  </si>
  <si>
    <t>Seaking</t>
  </si>
  <si>
    <t>Psyduck</t>
  </si>
  <si>
    <t>Kadabra</t>
  </si>
  <si>
    <t>Kricketune</t>
  </si>
  <si>
    <t>Magikarp</t>
  </si>
  <si>
    <t>Silcoon</t>
  </si>
  <si>
    <t>Alakazam</t>
  </si>
  <si>
    <t>Goldeen</t>
  </si>
  <si>
    <t>Cascoon</t>
  </si>
  <si>
    <t>Beautifly</t>
  </si>
  <si>
    <t>Kricketot</t>
  </si>
  <si>
    <t>Machoke</t>
  </si>
  <si>
    <t>Rampardos</t>
  </si>
  <si>
    <t>Abra</t>
  </si>
  <si>
    <t>Kirlia</t>
  </si>
  <si>
    <t>Machamp</t>
  </si>
  <si>
    <t>Wurmple</t>
  </si>
  <si>
    <t>Dusclops</t>
  </si>
  <si>
    <t>Rapidash</t>
  </si>
  <si>
    <t>Cranidos</t>
  </si>
  <si>
    <t>Marill</t>
  </si>
  <si>
    <t>Heracross</t>
  </si>
  <si>
    <t>Machop</t>
  </si>
  <si>
    <t>Magmar</t>
  </si>
  <si>
    <t>Mothim</t>
  </si>
  <si>
    <t>Ponyta</t>
  </si>
  <si>
    <t>Wormadam</t>
  </si>
  <si>
    <t>Burmy</t>
  </si>
  <si>
    <t>Vespiquen</t>
  </si>
  <si>
    <t>Combee</t>
  </si>
  <si>
    <t>Cherrim</t>
  </si>
  <si>
    <t>Cherubi</t>
  </si>
  <si>
    <t>Floatzel</t>
  </si>
  <si>
    <t>Buizel</t>
  </si>
  <si>
    <t>Lumineon</t>
  </si>
  <si>
    <t>Shellos</t>
  </si>
  <si>
    <t>Drifblim</t>
  </si>
  <si>
    <t>Finneon</t>
  </si>
  <si>
    <t>Medicham</t>
  </si>
  <si>
    <t>Drifloon</t>
  </si>
  <si>
    <t>Chimecho</t>
  </si>
  <si>
    <t>Meditite</t>
  </si>
  <si>
    <t>Milotic</t>
  </si>
  <si>
    <t>Chingling</t>
  </si>
  <si>
    <t>Absol</t>
  </si>
  <si>
    <t>Nosepass</t>
  </si>
  <si>
    <t>Abomasnow</t>
  </si>
  <si>
    <t>Feebas</t>
  </si>
  <si>
    <t>Gardevoir</t>
  </si>
  <si>
    <t>Snover</t>
  </si>
  <si>
    <t>Gallade</t>
  </si>
  <si>
    <t>Ralts</t>
  </si>
  <si>
    <t>Vaporeon</t>
  </si>
  <si>
    <t>Eevee</t>
  </si>
  <si>
    <t>Flareon</t>
  </si>
  <si>
    <t>Duskull</t>
  </si>
  <si>
    <t>Espeon</t>
  </si>
  <si>
    <t>Scyther</t>
  </si>
  <si>
    <t>Umbreon</t>
  </si>
  <si>
    <t>Swablu</t>
  </si>
  <si>
    <t>Leafeon</t>
  </si>
  <si>
    <t>Azurill</t>
  </si>
  <si>
    <t>Glaceon</t>
  </si>
  <si>
    <t>Houndour</t>
  </si>
  <si>
    <t>Dusknoir</t>
  </si>
  <si>
    <t>Wingull</t>
  </si>
  <si>
    <t>Unown</t>
  </si>
  <si>
    <t>Remoraid</t>
  </si>
  <si>
    <t>Altaria</t>
  </si>
  <si>
    <t>Tangela</t>
  </si>
  <si>
    <t>Azumarill</t>
  </si>
  <si>
    <t>Yanma</t>
  </si>
  <si>
    <t>Houndoom</t>
  </si>
  <si>
    <t>Magby</t>
  </si>
  <si>
    <t>Pelipper</t>
  </si>
  <si>
    <t>Mime-Jr</t>
  </si>
  <si>
    <t>Octillery</t>
  </si>
  <si>
    <t>Bonsly</t>
  </si>
  <si>
    <t>Tangrowth</t>
  </si>
  <si>
    <t>Sneasel</t>
  </si>
  <si>
    <t>Yanmega</t>
  </si>
  <si>
    <t>Snorunt</t>
  </si>
  <si>
    <t>Tropius</t>
  </si>
  <si>
    <t>Mantyke</t>
  </si>
  <si>
    <t>Carnivine</t>
  </si>
  <si>
    <t>Magmortar</t>
  </si>
  <si>
    <t>Mr-Mime</t>
  </si>
  <si>
    <t>Sudowoodo</t>
  </si>
  <si>
    <t>Weavile</t>
  </si>
  <si>
    <t>Glalie</t>
  </si>
  <si>
    <t>Froslass</t>
  </si>
  <si>
    <t>Mantine</t>
  </si>
  <si>
    <t>POINT LOG</t>
  </si>
  <si>
    <t>INITIAL TOTAL</t>
  </si>
  <si>
    <t>Deaths</t>
  </si>
  <si>
    <t>STAB?</t>
  </si>
  <si>
    <t>Hitlist</t>
  </si>
  <si>
    <t>Bonuses</t>
  </si>
  <si>
    <t>Rivals</t>
  </si>
  <si>
    <t>Gym Leaders</t>
  </si>
  <si>
    <t>FINAL TOTAL</t>
  </si>
  <si>
    <t>Team Leaders</t>
  </si>
  <si>
    <t>Elite Four</t>
  </si>
  <si>
    <t>Champion</t>
  </si>
  <si>
    <t>RUN BONUSES</t>
  </si>
  <si>
    <t>STAB</t>
  </si>
  <si>
    <t>League 1</t>
  </si>
  <si>
    <t>League 2</t>
  </si>
  <si>
    <t>League 3</t>
  </si>
  <si>
    <t>League 4</t>
  </si>
  <si>
    <t>Barry 2</t>
  </si>
  <si>
    <t>Barry 3</t>
  </si>
  <si>
    <t>Barry 4</t>
  </si>
  <si>
    <t>Barry 5</t>
  </si>
  <si>
    <t>Barry 6</t>
  </si>
  <si>
    <t>GYM LEADERS</t>
  </si>
  <si>
    <t>Wake</t>
  </si>
  <si>
    <t>Cyrus 1</t>
  </si>
  <si>
    <t>Cyrus 2</t>
  </si>
  <si>
    <t>Cyrus 3</t>
  </si>
  <si>
    <t>ELITE FOUR BATTLES</t>
  </si>
  <si>
    <t>CHAMPION BATTLE</t>
  </si>
  <si>
    <t>ENCOUNTER DEATHS</t>
  </si>
  <si>
    <t>DEATHS FOR POINT LOSS</t>
  </si>
  <si>
    <t>Base Stage Deaths (-5)</t>
  </si>
  <si>
    <t>Middle Stage Deaths (-10)</t>
  </si>
  <si>
    <t>Final/Single Stage Deaths (-15)</t>
  </si>
  <si>
    <t>Hitlist Deaths (-5)</t>
  </si>
  <si>
    <t>Significant Deaths (-10)</t>
  </si>
  <si>
    <t>League Deaths (-15)</t>
  </si>
  <si>
    <t>HITLIST TRAINERS</t>
  </si>
  <si>
    <t>HITLIST POINTS</t>
  </si>
  <si>
    <t>Fought Within Listed Cap (+10)</t>
  </si>
  <si>
    <t>Postponed After Listed Cap (+5)</t>
  </si>
  <si>
    <t>Before Roark: Level Cap 14</t>
  </si>
  <si>
    <t>youngster-gen4dp</t>
  </si>
  <si>
    <t>camper</t>
  </si>
  <si>
    <t>Starly</t>
  </si>
  <si>
    <t>Shinx</t>
  </si>
  <si>
    <t>worker-gen4</t>
  </si>
  <si>
    <t>Geodude</t>
  </si>
  <si>
    <r>
      <rPr>
        <b/>
        <sz val="10"/>
        <color theme="1"/>
        <rFont val="Arial"/>
      </rPr>
      <t>Optional Challenge:</t>
    </r>
    <r>
      <rPr>
        <sz val="10"/>
        <color theme="1"/>
        <rFont val="Arial"/>
      </rPr>
      <t xml:space="preserve"> </t>
    </r>
    <r>
      <rPr>
        <i/>
        <sz val="10"/>
        <color theme="1"/>
        <rFont val="Arial"/>
      </rPr>
      <t>Roark must be fought with the Level Cap lowered to 12 entering the fight.</t>
    </r>
  </si>
  <si>
    <t>Before Gardenia: Level Cap 22</t>
  </si>
  <si>
    <t>twins-gen4</t>
  </si>
  <si>
    <r>
      <rPr>
        <i/>
        <sz val="10"/>
        <color theme="1"/>
        <rFont val="Arial"/>
      </rPr>
      <t xml:space="preserve">Route 204 </t>
    </r>
    <r>
      <rPr>
        <b/>
        <i/>
        <sz val="10"/>
        <color rgb="FFFF9900"/>
        <rFont val="Arial"/>
      </rPr>
      <t>DOUBLE</t>
    </r>
  </si>
  <si>
    <t>Pachirisu</t>
  </si>
  <si>
    <t>mars</t>
  </si>
  <si>
    <t>Zubat</t>
  </si>
  <si>
    <t>Purugly</t>
  </si>
  <si>
    <t>fisherman-gen4</t>
  </si>
  <si>
    <t>Aromalady</t>
  </si>
  <si>
    <t>Roselia</t>
  </si>
  <si>
    <r>
      <rPr>
        <b/>
        <sz val="10"/>
        <color theme="1"/>
        <rFont val="Arial"/>
      </rPr>
      <t>Optional Challenge:</t>
    </r>
    <r>
      <rPr>
        <sz val="10"/>
        <color theme="1"/>
        <rFont val="Arial"/>
      </rPr>
      <t xml:space="preserve"> </t>
    </r>
    <r>
      <rPr>
        <i/>
        <sz val="10"/>
        <color theme="1"/>
        <rFont val="Arial"/>
      </rPr>
      <t>No Psychic or Flying type Pokemon may be used in battle against Gardenia.</t>
    </r>
  </si>
  <si>
    <t>Before Fantina: Level Cap 26</t>
  </si>
  <si>
    <t>jupiter</t>
  </si>
  <si>
    <t>Skuntank</t>
  </si>
  <si>
    <t>cyclistf-gen4</t>
  </si>
  <si>
    <t>Staravia</t>
  </si>
  <si>
    <t>Luxio</t>
  </si>
  <si>
    <t>Gligar</t>
  </si>
  <si>
    <r>
      <rPr>
        <b/>
        <sz val="10"/>
        <color theme="1"/>
        <rFont val="Arial"/>
      </rPr>
      <t>Optional Challenge:</t>
    </r>
    <r>
      <rPr>
        <sz val="10"/>
        <color theme="1"/>
        <rFont val="Arial"/>
      </rPr>
      <t xml:space="preserve"> </t>
    </r>
    <r>
      <rPr>
        <i/>
        <sz val="10"/>
        <color theme="1"/>
        <rFont val="Arial"/>
      </rPr>
      <t>Get the Spooky Plate from Amity Square.</t>
    </r>
  </si>
  <si>
    <t>Before Maylene: Level Cap 32</t>
  </si>
  <si>
    <t>pokemonbreeder-gen4</t>
  </si>
  <si>
    <t>Budew</t>
  </si>
  <si>
    <t>Pichu</t>
  </si>
  <si>
    <t>youngcouple-gen4dp</t>
  </si>
  <si>
    <r>
      <rPr>
        <i/>
        <sz val="10"/>
        <color theme="1"/>
        <rFont val="Arial"/>
      </rPr>
      <t xml:space="preserve">Route 209 </t>
    </r>
    <r>
      <rPr>
        <b/>
        <i/>
        <sz val="10"/>
        <color rgb="FFFF9900"/>
        <rFont val="Arial"/>
      </rPr>
      <t>DOUBLE</t>
    </r>
  </si>
  <si>
    <t>Buneary</t>
  </si>
  <si>
    <t>ruinmaniac</t>
  </si>
  <si>
    <t>Bronzor</t>
  </si>
  <si>
    <t>bellepa</t>
  </si>
  <si>
    <r>
      <rPr>
        <i/>
        <sz val="10"/>
        <color theme="1"/>
        <rFont val="Arial"/>
      </rPr>
      <t xml:space="preserve">Route 210 </t>
    </r>
    <r>
      <rPr>
        <b/>
        <i/>
        <sz val="10"/>
        <color rgb="FFFF9900"/>
        <rFont val="Arial"/>
      </rPr>
      <t>DOUBLE</t>
    </r>
  </si>
  <si>
    <t>Blackbelt-gen4dp</t>
  </si>
  <si>
    <t>Croagunk</t>
  </si>
  <si>
    <r>
      <rPr>
        <b/>
        <sz val="10"/>
        <color theme="1"/>
        <rFont val="Arial"/>
      </rPr>
      <t>Optional Challenge:</t>
    </r>
    <r>
      <rPr>
        <sz val="10"/>
        <color theme="1"/>
        <rFont val="Arial"/>
      </rPr>
      <t xml:space="preserve"> </t>
    </r>
    <r>
      <rPr>
        <i/>
        <sz val="10"/>
        <color theme="1"/>
        <rFont val="Arial"/>
      </rPr>
      <t>A full team of 6 Pokemon must be taken into the battle with Maylene. All 6 Pokemon must enter battle at least once and use at least a single move.</t>
    </r>
  </si>
  <si>
    <t>Before Wake: Level Cap 37</t>
  </si>
  <si>
    <t>psychic-gen4</t>
  </si>
  <si>
    <t>collector</t>
  </si>
  <si>
    <t>Jolteon</t>
  </si>
  <si>
    <t>pokemonranger-gen4</t>
  </si>
  <si>
    <r>
      <rPr>
        <b/>
        <sz val="10"/>
        <color theme="1"/>
        <rFont val="Arial"/>
      </rPr>
      <t>Optional Challenge:</t>
    </r>
    <r>
      <rPr>
        <sz val="10"/>
        <color theme="1"/>
        <rFont val="Arial"/>
      </rPr>
      <t xml:space="preserve"> </t>
    </r>
    <r>
      <rPr>
        <i/>
        <sz val="10"/>
        <color theme="1"/>
        <rFont val="Arial"/>
      </rPr>
      <t>Help the woman at Hotel Grand Lake find her suite key.</t>
    </r>
  </si>
  <si>
    <t>Before Byron: Level Cap 41</t>
  </si>
  <si>
    <t>galacticgrunt</t>
  </si>
  <si>
    <t>doubleteam</t>
  </si>
  <si>
    <r>
      <rPr>
        <i/>
        <sz val="10"/>
        <color theme="1"/>
        <rFont val="Arial"/>
      </rPr>
      <t xml:space="preserve">Route 210 </t>
    </r>
    <r>
      <rPr>
        <b/>
        <i/>
        <sz val="10"/>
        <color rgb="FFFF9900"/>
        <rFont val="Arial"/>
      </rPr>
      <t>DOUBLE</t>
    </r>
  </si>
  <si>
    <t>Raichu</t>
  </si>
  <si>
    <t>Acetrainer-gen4dp</t>
  </si>
  <si>
    <t>Probopass</t>
  </si>
  <si>
    <r>
      <rPr>
        <b/>
        <sz val="10"/>
        <color theme="1"/>
        <rFont val="Arial"/>
      </rPr>
      <t>Optional Challenge:</t>
    </r>
    <r>
      <rPr>
        <sz val="10"/>
        <color theme="1"/>
        <rFont val="Arial"/>
      </rPr>
      <t xml:space="preserve"> </t>
    </r>
    <r>
      <rPr>
        <i/>
        <sz val="10"/>
        <color theme="1"/>
        <rFont val="Arial"/>
      </rPr>
      <t>Win an Ultra Rank Super Contest.</t>
    </r>
  </si>
  <si>
    <t>Before Candice (lol): Level Cap 44</t>
  </si>
  <si>
    <t>saturn</t>
  </si>
  <si>
    <t>Golbat</t>
  </si>
  <si>
    <t>Toxicroak</t>
  </si>
  <si>
    <t>acetrainersnow</t>
  </si>
  <si>
    <t>Ambipom</t>
  </si>
  <si>
    <t>Porygon2</t>
  </si>
  <si>
    <t>MrMime</t>
  </si>
  <si>
    <r>
      <rPr>
        <b/>
        <sz val="10"/>
        <color theme="1"/>
        <rFont val="Arial"/>
      </rPr>
      <t>Optional Challenge:</t>
    </r>
    <r>
      <rPr>
        <sz val="10"/>
        <color theme="1"/>
        <rFont val="Arial"/>
      </rPr>
      <t xml:space="preserve"> </t>
    </r>
    <r>
      <rPr>
        <i/>
        <sz val="10"/>
        <color theme="1"/>
        <rFont val="Arial"/>
      </rPr>
      <t>Defeat all 9 trainers on Route 217.</t>
    </r>
  </si>
  <si>
    <t>Before Volkner: Level Cap 50</t>
  </si>
  <si>
    <t>Saturn</t>
  </si>
  <si>
    <t>richboy</t>
  </si>
  <si>
    <t>Luxray</t>
  </si>
  <si>
    <t>sailor</t>
  </si>
  <si>
    <t>Gastrodon</t>
  </si>
  <si>
    <t>guitarist-gen4</t>
  </si>
  <si>
    <r>
      <rPr>
        <b/>
        <sz val="10"/>
        <color theme="1"/>
        <rFont val="Arial"/>
      </rPr>
      <t>Optional Challenge:</t>
    </r>
    <r>
      <rPr>
        <sz val="10"/>
        <color theme="1"/>
        <rFont val="Arial"/>
      </rPr>
      <t xml:space="preserve"> </t>
    </r>
    <r>
      <rPr>
        <i/>
        <sz val="10"/>
        <color theme="1"/>
        <rFont val="Arial"/>
      </rPr>
      <t>Defeat Giratina without using any Super Effective moves.</t>
    </r>
  </si>
  <si>
    <t>Before League: Level Cap 62</t>
  </si>
  <si>
    <t>Haunter</t>
  </si>
  <si>
    <t>Gengar</t>
  </si>
  <si>
    <t>birdkeeper-gen4dp</t>
  </si>
  <si>
    <t>Noctowl</t>
  </si>
  <si>
    <t>Togetic</t>
  </si>
  <si>
    <t>acetrainerf-gen4dp</t>
  </si>
  <si>
    <t>Blissey</t>
  </si>
  <si>
    <t>Magnezone</t>
  </si>
  <si>
    <t>acetrainer-gen4dp</t>
  </si>
  <si>
    <t>Mamoswine</t>
  </si>
  <si>
    <t>Clefable</t>
  </si>
  <si>
    <t>Torterra</t>
  </si>
  <si>
    <t>veteran-gen4</t>
  </si>
  <si>
    <t>Staraptor</t>
  </si>
  <si>
    <t>Lickilicky</t>
  </si>
  <si>
    <r>
      <rPr>
        <i/>
        <sz val="10"/>
        <color theme="1"/>
        <rFont val="Arial"/>
      </rPr>
      <t xml:space="preserve">Victory Road </t>
    </r>
    <r>
      <rPr>
        <b/>
        <i/>
        <sz val="10"/>
        <color rgb="FFFF9900"/>
        <rFont val="Arial"/>
      </rPr>
      <t>DOUBLE</t>
    </r>
  </si>
  <si>
    <t>blackbelt-gen4dp</t>
  </si>
  <si>
    <t>psychicf-gen4</t>
  </si>
  <si>
    <r>
      <rPr>
        <i/>
        <sz val="10"/>
        <color theme="1"/>
        <rFont val="Arial"/>
      </rPr>
      <t xml:space="preserve">Victory Road </t>
    </r>
    <r>
      <rPr>
        <b/>
        <i/>
        <sz val="10"/>
        <color rgb="FFFF9900"/>
        <rFont val="Arial"/>
      </rPr>
      <t>DOUBLE</t>
    </r>
  </si>
  <si>
    <t>Rhydon</t>
  </si>
  <si>
    <t>dragontamer</t>
  </si>
  <si>
    <t>Gabite</t>
  </si>
  <si>
    <t>PorygonZ</t>
  </si>
  <si>
    <t>Empoleon</t>
  </si>
  <si>
    <t>Gible</t>
  </si>
  <si>
    <r>
      <rPr>
        <b/>
        <sz val="10"/>
        <color theme="1"/>
        <rFont val="Arial"/>
      </rPr>
      <t>Optional Challenge:</t>
    </r>
    <r>
      <rPr>
        <sz val="10"/>
        <color theme="1"/>
        <rFont val="Arial"/>
      </rPr>
      <t xml:space="preserve"> </t>
    </r>
    <r>
      <rPr>
        <i/>
        <sz val="10"/>
        <color theme="1"/>
        <rFont val="Arial"/>
      </rPr>
      <t>Win the final Barry fight without using Status moves.</t>
    </r>
  </si>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</sst>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Arial"/>
      <scheme val="minor"/>
    </font>
    <font>
      <b/>
      <sz val="18"/>
      <color rgb="FF72BAE4"/>
      <name val="Montserrat"/>
    </font>
    <font>
      <sz val="10"/>
      <color rgb="FFFFFFFF"/>
      <name val="Arial"/>
    </font>
    <font>
      <sz val="10"/>
      <color rgb="FFFFFFFF"/>
      <name val="Arial"/>
      <scheme val="minor"/>
    </font>
    <font>
      <b/>
      <u/>
      <sz val="10"/>
      <color rgb="FFFFFF00"/>
      <name val="Arial"/>
    </font>
    <font>
      <b/>
      <sz val="18"/>
      <color rgb="FF000000"/>
      <name val="Montserrat"/>
    </font>
    <font>
      <sz val="10"/>
      <name val="Arial"/>
    </font>
    <font>
      <b/>
      <sz val="15"/>
      <color rgb="FF000000"/>
      <name val="Montserrat"/>
    </font>
    <font>
      <b/>
      <sz val="10"/>
      <color rgb="FF000000"/>
      <name val="Montserrat"/>
    </font>
    <font>
      <b/>
      <sz val="10"/>
      <color rgb="FF000000"/>
      <name val="Montserrat"/>
    </font>
    <font>
      <b/>
      <sz val="15"/>
      <color rgb="FFFFFF00"/>
      <name val="Montserrat"/>
    </font>
    <font>
      <b/>
      <sz val="10"/>
      <color rgb="FFFFFFFF"/>
      <name val="Montserrat"/>
    </font>
    <font>
      <b/>
      <sz val="10"/>
      <color rgb="FFFFFFFF"/>
      <name val="Arial"/>
      <scheme val="minor"/>
    </font>
    <font>
      <b/>
      <i/>
      <sz val="10"/>
      <color rgb="FFFFFFFF"/>
      <name val="Arial"/>
      <scheme val="minor"/>
    </font>
    <font>
      <b/>
      <sz val="10"/>
      <color theme="1"/>
      <name val="Roboto"/>
    </font>
    <font>
      <b/>
      <sz val="10"/>
      <color theme="1"/>
      <name val="Arial"/>
      <scheme val="minor"/>
    </font>
    <font>
      <sz val="10"/>
      <color theme="1"/>
      <name val="Arial"/>
      <scheme val="minor"/>
    </font>
    <font>
      <b/>
      <sz val="10"/>
      <color theme="1"/>
      <name val="Arial"/>
    </font>
    <font>
      <i/>
      <sz val="10"/>
      <color theme="1"/>
      <name val="Arial"/>
    </font>
    <font>
      <sz val="10"/>
      <color theme="1"/>
      <name val="Arial"/>
    </font>
    <font>
      <b/>
      <sz val="10"/>
      <color rgb="FF000000"/>
      <name val="Arial"/>
      <scheme val="minor"/>
    </font>
    <font>
      <b/>
      <sz val="10"/>
      <color theme="1"/>
      <name val="Roboto"/>
    </font>
    <font>
      <b/>
      <sz val="15"/>
      <color theme="1"/>
      <name val="Montserrat"/>
    </font>
    <font>
      <b/>
      <i/>
      <sz val="10"/>
      <color theme="1"/>
      <name val="Arial"/>
    </font>
    <font>
      <sz val="10"/>
      <color rgb="FF000000"/>
      <name val="Arial"/>
    </font>
    <font>
      <b/>
      <i/>
      <sz val="9"/>
      <color rgb="FF000000"/>
      <name val="Arial"/>
    </font>
    <font>
      <sz val="10"/>
      <color rgb="FF000000"/>
      <name val="Arial"/>
      <scheme val="minor"/>
    </font>
    <font>
      <b/>
      <sz val="10"/>
      <color rgb="FF000000"/>
      <name val="Arial"/>
      <scheme val="minor"/>
    </font>
    <font>
      <b/>
      <sz val="16"/>
      <color rgb="FF666666"/>
      <name val="Trebuchet MS"/>
    </font>
    <font>
      <sz val="10"/>
      <color rgb="FF999999"/>
      <name val="Arial"/>
      <scheme val="minor"/>
    </font>
    <font>
      <sz val="10"/>
      <color theme="1"/>
      <name val="Oswald"/>
    </font>
    <font>
      <sz val="11"/>
      <color rgb="FF000000"/>
      <name val="Inconsolata"/>
    </font>
    <font>
      <i/>
      <sz val="10"/>
      <color theme="1"/>
      <name val="Merriweather"/>
    </font>
    <font>
      <i/>
      <sz val="10"/>
      <color theme="1"/>
      <name val="Arial"/>
      <scheme val="minor"/>
    </font>
    <font>
      <b/>
      <sz val="10"/>
      <color rgb="FFEA4335"/>
      <name val="Arial"/>
      <scheme val="minor"/>
    </font>
    <font>
      <sz val="10"/>
      <color rgb="FF666666"/>
      <name val="Arial"/>
      <scheme val="minor"/>
    </font>
    <font>
      <b/>
      <i/>
      <sz val="10"/>
      <color theme="1"/>
      <name val="Arial"/>
      <scheme val="minor"/>
    </font>
    <font>
      <sz val="10"/>
      <color rgb="FFB7B7B7"/>
      <name val="Arial"/>
      <scheme val="minor"/>
    </font>
    <font>
      <sz val="10"/>
      <color theme="1"/>
      <name val="Arial"/>
      <scheme val="minor"/>
    </font>
    <font>
      <b/>
      <sz val="18"/>
      <color theme="1"/>
      <name val="Oswald"/>
    </font>
    <font>
      <b/>
      <sz val="18"/>
      <color theme="0"/>
      <name val="Oswald"/>
    </font>
    <font>
      <b/>
      <sz val="18"/>
      <color rgb="FFFFFF00"/>
      <name val="Oswald"/>
    </font>
    <font>
      <b/>
      <sz val="13"/>
      <color theme="1"/>
      <name val="Arial"/>
      <scheme val="minor"/>
    </font>
    <font>
      <b/>
      <sz val="16"/>
      <color rgb="FFFFFFFF"/>
      <name val="Oswald"/>
    </font>
    <font>
      <b/>
      <sz val="18"/>
      <color rgb="FFFFFFFF"/>
      <name val="Oswald"/>
    </font>
    <font>
      <b/>
      <sz val="20"/>
      <color theme="1"/>
      <name val="Lexend"/>
    </font>
    <font>
      <sz val="9"/>
      <color rgb="FF000000"/>
      <name val="&quot;Google Sans Mono&quot;"/>
    </font>
    <font>
      <i/>
      <sz val="10"/>
      <color theme="1"/>
      <name val="Arial"/>
      <scheme val="minor"/>
    </font>
    <font>
      <b/>
      <sz val="10"/>
      <color theme="1"/>
      <name val="Arial"/>
      <scheme val="minor"/>
    </font>
    <font>
      <b/>
      <u/>
      <sz val="10"/>
      <color rgb="FFFFFFFF"/>
      <name val="Arial"/>
    </font>
    <font>
      <sz val="10"/>
      <color rgb="FF1155CC"/>
      <name val="Arial"/>
    </font>
    <font>
      <b/>
      <i/>
      <sz val="10"/>
      <color rgb="FFFF9900"/>
      <name val="Arial"/>
    </font>
    <font>
      <b/>
      <sz val="16"/>
      <color rgb="FF000000"/>
      <name val="Trebuchet MS"/>
    </font>
    <font>
      <b/>
      <sz val="16"/>
      <color rgb="FF9900FF"/>
      <name val="Trebuchet MS"/>
    </font>
    <font>
      <b/>
      <sz val="16"/>
      <color rgb="FF999999"/>
      <name val="Trebuchet MS"/>
    </font>
    <font>
      <b/>
      <sz val="16"/>
      <color rgb="FFFFFF00"/>
      <name val="Trebuchet MS"/>
    </font>
  </fonts>
  <fills count="39">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rgb="FFE6B8AF"/>
        <bgColor rgb="FFE6B8AF"/>
      </patternFill>
    </fill>
    <fill>
      <patternFill patternType="solid">
        <fgColor rgb="FF999999"/>
        <bgColor rgb="FF999999"/>
      </patternFill>
    </fill>
    <fill>
      <patternFill patternType="solid">
        <fgColor rgb="FFF1C232"/>
        <bgColor rgb="FFF1C232"/>
      </patternFill>
    </fill>
    <fill>
      <patternFill patternType="solid">
        <fgColor rgb="FF666666"/>
        <bgColor rgb="FF666666"/>
      </patternFill>
    </fill>
    <fill>
      <patternFill patternType="solid">
        <fgColor rgb="FFFFEA79"/>
        <bgColor rgb="FFFFEA79"/>
      </patternFill>
    </fill>
    <fill>
      <patternFill patternType="solid">
        <fgColor rgb="FFB8A038"/>
        <bgColor rgb="FFB8A038"/>
      </patternFill>
    </fill>
    <fill>
      <patternFill patternType="solid">
        <fgColor rgb="FFD9D9D9"/>
        <bgColor rgb="FFD9D9D9"/>
      </patternFill>
    </fill>
    <fill>
      <patternFill patternType="solid">
        <fgColor rgb="FFFFFFFF"/>
        <bgColor rgb="FFFFFFFF"/>
      </patternFill>
    </fill>
    <fill>
      <patternFill patternType="solid">
        <fgColor rgb="FF85D55E"/>
        <bgColor rgb="FF85D55E"/>
      </patternFill>
    </fill>
    <fill>
      <patternFill patternType="solid">
        <fgColor rgb="FF00BA71"/>
        <bgColor rgb="FF00BA71"/>
      </patternFill>
    </fill>
    <fill>
      <patternFill patternType="solid">
        <fgColor rgb="FF77BBA0"/>
        <bgColor rgb="FF77BBA0"/>
      </patternFill>
    </fill>
    <fill>
      <patternFill patternType="solid">
        <fgColor rgb="FF8265B1"/>
        <bgColor rgb="FF8265B1"/>
      </patternFill>
    </fill>
    <fill>
      <patternFill patternType="solid">
        <fgColor rgb="FFEFEFEF"/>
        <bgColor rgb="FFEFEFEF"/>
      </patternFill>
    </fill>
    <fill>
      <patternFill patternType="solid">
        <fgColor rgb="FFD7453D"/>
        <bgColor rgb="FFD7453D"/>
      </patternFill>
    </fill>
    <fill>
      <patternFill patternType="solid">
        <fgColor rgb="FF00418D"/>
        <bgColor rgb="FF00418D"/>
      </patternFill>
    </fill>
    <fill>
      <patternFill patternType="solid">
        <fgColor rgb="FF7BA3D3"/>
        <bgColor rgb="FF7BA3D3"/>
      </patternFill>
    </fill>
    <fill>
      <patternFill patternType="solid">
        <fgColor rgb="FF6890F0"/>
        <bgColor rgb="FF6890F0"/>
      </patternFill>
    </fill>
    <fill>
      <patternFill patternType="solid">
        <fgColor rgb="FFB8B8D0"/>
        <bgColor rgb="FFB8B8D0"/>
      </patternFill>
    </fill>
    <fill>
      <patternFill patternType="solid">
        <fgColor rgb="FFA0E4E4"/>
        <bgColor rgb="FFA0E4E4"/>
      </patternFill>
    </fill>
    <fill>
      <patternFill patternType="solid">
        <fgColor rgb="FFF8D030"/>
        <bgColor rgb="FFF8D030"/>
      </patternFill>
    </fill>
    <fill>
      <patternFill patternType="solid">
        <fgColor rgb="FF88D1DB"/>
        <bgColor rgb="FF88D1DB"/>
      </patternFill>
    </fill>
    <fill>
      <patternFill patternType="solid">
        <fgColor rgb="FFCCCCCC"/>
        <bgColor rgb="FFCCCCCC"/>
      </patternFill>
    </fill>
    <fill>
      <patternFill patternType="solid">
        <fgColor rgb="FFEA4335"/>
        <bgColor rgb="FFEA4335"/>
      </patternFill>
    </fill>
    <fill>
      <patternFill patternType="solid">
        <fgColor rgb="FFB7B7B7"/>
        <bgColor rgb="FFB7B7B7"/>
      </patternFill>
    </fill>
    <fill>
      <patternFill patternType="solid">
        <fgColor rgb="FF00C2DE"/>
        <bgColor rgb="FF00C2DE"/>
      </patternFill>
    </fill>
    <fill>
      <patternFill patternType="solid">
        <fgColor rgb="FFDD82C1"/>
        <bgColor rgb="FFDD82C1"/>
      </patternFill>
    </fill>
    <fill>
      <patternFill patternType="solid">
        <fgColor rgb="FFC71791"/>
        <bgColor rgb="FFC71791"/>
      </patternFill>
    </fill>
    <fill>
      <patternFill patternType="solid">
        <fgColor rgb="FFEB6F8F"/>
        <bgColor rgb="FFEB6F8F"/>
      </patternFill>
    </fill>
    <fill>
      <patternFill patternType="solid">
        <fgColor rgb="FFD50F42"/>
        <bgColor rgb="FFD50F42"/>
      </patternFill>
    </fill>
    <fill>
      <patternFill patternType="solid">
        <fgColor rgb="FFFF9900"/>
        <bgColor rgb="FFFF9900"/>
      </patternFill>
    </fill>
    <fill>
      <patternFill patternType="solid">
        <fgColor rgb="FFF6B26B"/>
        <bgColor rgb="FFF6B26B"/>
      </patternFill>
    </fill>
    <fill>
      <patternFill patternType="solid">
        <fgColor rgb="FF674EA7"/>
        <bgColor rgb="FF674EA7"/>
      </patternFill>
    </fill>
    <fill>
      <patternFill patternType="solid">
        <fgColor rgb="FFB4A7D6"/>
        <bgColor rgb="FFB4A7D6"/>
      </patternFill>
    </fill>
    <fill>
      <patternFill patternType="solid">
        <fgColor rgb="FFFFF2CC"/>
        <bgColor rgb="FFFFF2CC"/>
      </patternFill>
    </fill>
    <fill>
      <patternFill patternType="solid">
        <fgColor rgb="FF434343"/>
        <bgColor rgb="FF434343"/>
      </patternFill>
    </fill>
  </fills>
  <borders count="62">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top style="thin">
        <color rgb="FF000000"/>
      </top>
      <bottom/>
      <diagonal/>
    </border>
    <border>
      <left/>
      <right style="thick">
        <color rgb="FF000000"/>
      </right>
      <top style="thin">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top/>
      <bottom style="thin">
        <color rgb="FF000000"/>
      </bottom>
      <diagonal/>
    </border>
    <border>
      <left style="thin">
        <color rgb="FF000000"/>
      </left>
      <right/>
      <top/>
      <bottom style="thin">
        <color rgb="FF000000"/>
      </bottom>
      <diagonal/>
    </border>
    <border>
      <left/>
      <right style="thick">
        <color rgb="FF000000"/>
      </right>
      <top/>
      <bottom style="thin">
        <color rgb="FF000000"/>
      </bottom>
      <diagonal/>
    </border>
    <border>
      <left style="thin">
        <color rgb="FF000000"/>
      </left>
      <right/>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ck">
        <color rgb="FF000000"/>
      </bottom>
      <diagonal/>
    </border>
    <border>
      <left/>
      <right style="thin">
        <color rgb="FF000000"/>
      </right>
      <top style="thin">
        <color rgb="FF000000"/>
      </top>
      <bottom/>
      <diagonal/>
    </border>
    <border>
      <left style="thick">
        <color rgb="FF000000"/>
      </left>
      <right style="thin">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n">
        <color rgb="FF000000"/>
      </top>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ck">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bottom style="thick">
        <color rgb="FF000000"/>
      </bottom>
      <diagonal/>
    </border>
    <border>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n">
        <color rgb="FF000000"/>
      </right>
      <top/>
      <bottom style="thin">
        <color rgb="FF000000"/>
      </bottom>
      <diagonal/>
    </border>
    <border>
      <left style="thick">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n">
        <color rgb="FF000000"/>
      </right>
      <top/>
      <bottom style="thin">
        <color rgb="FF000000"/>
      </bottom>
      <diagonal/>
    </border>
    <border>
      <left style="thin">
        <color rgb="FF000000"/>
      </left>
      <right/>
      <top style="thin">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234">
    <xf numFmtId="0" fontId="0" fillId="0" borderId="0" xfId="0"/>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12" fillId="3" borderId="35"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3" fillId="3" borderId="36" xfId="0" applyFont="1" applyFill="1" applyBorder="1" applyAlignment="1">
      <alignment horizontal="center" vertical="center" wrapText="1"/>
    </xf>
    <xf numFmtId="0" fontId="12" fillId="7" borderId="35" xfId="0" applyFont="1" applyFill="1" applyBorder="1" applyAlignment="1">
      <alignment horizontal="center" vertical="center"/>
    </xf>
    <xf numFmtId="0" fontId="15" fillId="8" borderId="19" xfId="0" applyFont="1" applyFill="1" applyBorder="1" applyAlignment="1">
      <alignment horizontal="center" vertical="center" wrapText="1"/>
    </xf>
    <xf numFmtId="0" fontId="12" fillId="10" borderId="17" xfId="0" applyFont="1" applyFill="1" applyBorder="1" applyAlignment="1">
      <alignment horizontal="center" vertical="center"/>
    </xf>
    <xf numFmtId="0" fontId="17"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2" fillId="3" borderId="17"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5" fillId="8" borderId="45" xfId="0" applyFont="1" applyFill="1" applyBorder="1" applyAlignment="1">
      <alignment horizontal="center" vertical="center" wrapText="1"/>
    </xf>
    <xf numFmtId="0" fontId="17" fillId="11" borderId="18" xfId="0" applyFont="1" applyFill="1" applyBorder="1" applyAlignment="1">
      <alignment horizontal="center" vertical="center" wrapText="1"/>
    </xf>
    <xf numFmtId="0" fontId="18" fillId="11" borderId="18" xfId="0" applyFont="1" applyFill="1" applyBorder="1" applyAlignment="1">
      <alignment horizontal="center" vertical="center" wrapText="1"/>
    </xf>
    <xf numFmtId="0" fontId="16" fillId="7" borderId="0" xfId="0" applyFont="1" applyFill="1"/>
    <xf numFmtId="0" fontId="16" fillId="14" borderId="19" xfId="0" applyFont="1" applyFill="1" applyBorder="1" applyAlignment="1">
      <alignment horizontal="center" vertical="center" wrapText="1"/>
    </xf>
    <xf numFmtId="0" fontId="16" fillId="14" borderId="45" xfId="0" applyFont="1" applyFill="1" applyBorder="1" applyAlignment="1">
      <alignment horizontal="center" vertical="center" wrapText="1"/>
    </xf>
    <xf numFmtId="0" fontId="16" fillId="7" borderId="5" xfId="0" applyFont="1" applyFill="1" applyBorder="1"/>
    <xf numFmtId="0" fontId="21" fillId="19" borderId="21" xfId="0" applyFont="1" applyFill="1" applyBorder="1" applyAlignment="1">
      <alignment horizontal="center" vertical="center" wrapText="1"/>
    </xf>
    <xf numFmtId="0" fontId="21" fillId="19" borderId="47" xfId="0" applyFont="1" applyFill="1" applyBorder="1" applyAlignment="1">
      <alignment horizontal="center" vertical="center" wrapText="1"/>
    </xf>
    <xf numFmtId="0" fontId="12" fillId="10" borderId="48" xfId="0" applyFont="1" applyFill="1" applyBorder="1" applyAlignment="1">
      <alignment horizontal="center" vertical="center"/>
    </xf>
    <xf numFmtId="0" fontId="17" fillId="0" borderId="49" xfId="0" applyFont="1" applyBorder="1" applyAlignment="1">
      <alignment horizontal="center" vertical="center" wrapText="1"/>
    </xf>
    <xf numFmtId="0" fontId="18" fillId="0" borderId="46" xfId="0" applyFont="1" applyBorder="1" applyAlignment="1">
      <alignment horizontal="center" vertical="center" wrapText="1"/>
    </xf>
    <xf numFmtId="0" fontId="15" fillId="7" borderId="0" xfId="0" applyFont="1" applyFill="1" applyAlignment="1">
      <alignment wrapText="1"/>
    </xf>
    <xf numFmtId="0" fontId="15" fillId="7" borderId="0" xfId="0" applyFont="1" applyFill="1"/>
    <xf numFmtId="0" fontId="29" fillId="7" borderId="0" xfId="0" applyFont="1" applyFill="1"/>
    <xf numFmtId="0" fontId="15" fillId="0" borderId="18" xfId="0" applyFont="1" applyBorder="1" applyAlignment="1">
      <alignment horizontal="center" vertical="center" wrapText="1"/>
    </xf>
    <xf numFmtId="0" fontId="30" fillId="0" borderId="18" xfId="0" applyFont="1" applyBorder="1" applyAlignment="1">
      <alignment horizontal="center" vertical="center"/>
    </xf>
    <xf numFmtId="0" fontId="31" fillId="11" borderId="18" xfId="0" applyFont="1" applyFill="1" applyBorder="1" applyAlignment="1">
      <alignment horizontal="center" vertical="center" wrapText="1"/>
    </xf>
    <xf numFmtId="0" fontId="32" fillId="0" borderId="18" xfId="0" applyFont="1" applyBorder="1" applyAlignment="1">
      <alignment horizontal="center" vertical="center"/>
    </xf>
    <xf numFmtId="0" fontId="33" fillId="0" borderId="18" xfId="0" applyFont="1" applyBorder="1" applyAlignment="1">
      <alignment horizontal="center" vertical="center"/>
    </xf>
    <xf numFmtId="0" fontId="34" fillId="0" borderId="18" xfId="0" applyFont="1" applyBorder="1" applyAlignment="1">
      <alignment horizontal="center" vertical="center"/>
    </xf>
    <xf numFmtId="0" fontId="16" fillId="0" borderId="18" xfId="0" applyFont="1" applyBorder="1" applyAlignment="1">
      <alignment horizontal="center" vertical="center"/>
    </xf>
    <xf numFmtId="0" fontId="15" fillId="0" borderId="18" xfId="0" applyFont="1" applyBorder="1" applyAlignment="1">
      <alignment horizontal="center" vertical="center"/>
    </xf>
    <xf numFmtId="0" fontId="33" fillId="25" borderId="18" xfId="0" applyFont="1" applyFill="1" applyBorder="1" applyAlignment="1">
      <alignment horizontal="center" vertical="center"/>
    </xf>
    <xf numFmtId="0" fontId="35" fillId="7" borderId="0" xfId="0" applyFont="1" applyFill="1"/>
    <xf numFmtId="0" fontId="16" fillId="25" borderId="18" xfId="0" applyFont="1" applyFill="1" applyBorder="1" applyAlignment="1">
      <alignment horizontal="center" vertical="center"/>
    </xf>
    <xf numFmtId="0" fontId="15" fillId="26" borderId="18" xfId="0" applyFont="1" applyFill="1" applyBorder="1" applyAlignment="1">
      <alignment horizontal="center" vertical="center" wrapText="1"/>
    </xf>
    <xf numFmtId="0" fontId="30" fillId="26" borderId="18" xfId="0" applyFont="1" applyFill="1" applyBorder="1" applyAlignment="1">
      <alignment horizontal="center" vertical="center"/>
    </xf>
    <xf numFmtId="0" fontId="31" fillId="26" borderId="18" xfId="0" applyFont="1" applyFill="1" applyBorder="1" applyAlignment="1">
      <alignment horizontal="center" vertical="center" wrapText="1"/>
    </xf>
    <xf numFmtId="0" fontId="36" fillId="26" borderId="18" xfId="0" applyFont="1" applyFill="1" applyBorder="1" applyAlignment="1">
      <alignment horizontal="center" vertical="center"/>
    </xf>
    <xf numFmtId="0" fontId="15" fillId="26" borderId="18" xfId="0" applyFont="1" applyFill="1" applyBorder="1" applyAlignment="1">
      <alignment horizontal="center" vertical="center"/>
    </xf>
    <xf numFmtId="0" fontId="16" fillId="26" borderId="18" xfId="0" applyFont="1" applyFill="1" applyBorder="1" applyAlignment="1">
      <alignment horizontal="center" vertical="center"/>
    </xf>
    <xf numFmtId="0" fontId="37" fillId="7" borderId="0" xfId="0" applyFont="1" applyFill="1"/>
    <xf numFmtId="0" fontId="15" fillId="10" borderId="20" xfId="0" applyFont="1" applyFill="1" applyBorder="1" applyAlignment="1">
      <alignment horizontal="center" vertical="center" wrapText="1"/>
    </xf>
    <xf numFmtId="0" fontId="15" fillId="10" borderId="18" xfId="0" applyFont="1" applyFill="1" applyBorder="1" applyAlignment="1">
      <alignment vertical="center" wrapText="1"/>
    </xf>
    <xf numFmtId="0" fontId="0" fillId="10" borderId="18" xfId="0" applyFill="1" applyBorder="1" applyAlignment="1">
      <alignment horizontal="center" vertical="center" wrapText="1"/>
    </xf>
    <xf numFmtId="0" fontId="38" fillId="10" borderId="18"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36" fillId="10" borderId="18" xfId="0" applyFont="1" applyFill="1" applyBorder="1" applyAlignment="1">
      <alignment horizontal="center" vertical="center" wrapText="1"/>
    </xf>
    <xf numFmtId="0" fontId="33" fillId="25" borderId="37" xfId="0" applyFont="1" applyFill="1" applyBorder="1" applyAlignment="1">
      <alignment horizontal="center" vertical="center"/>
    </xf>
    <xf numFmtId="0" fontId="15" fillId="7" borderId="0" xfId="0" applyFont="1" applyFill="1" applyAlignment="1">
      <alignment horizontal="center" vertical="center" wrapText="1"/>
    </xf>
    <xf numFmtId="0" fontId="30" fillId="7" borderId="0" xfId="0" applyFont="1" applyFill="1" applyAlignment="1">
      <alignment horizontal="center" vertical="center"/>
    </xf>
    <xf numFmtId="0" fontId="31" fillId="7" borderId="0" xfId="0" applyFont="1" applyFill="1" applyAlignment="1">
      <alignment horizontal="center" vertical="center" wrapText="1"/>
    </xf>
    <xf numFmtId="0" fontId="32" fillId="7" borderId="0" xfId="0" applyFont="1" applyFill="1" applyAlignment="1">
      <alignment horizontal="center" vertical="center"/>
    </xf>
    <xf numFmtId="0" fontId="33" fillId="7" borderId="0" xfId="0" applyFont="1" applyFill="1" applyAlignment="1">
      <alignment horizontal="center" vertical="center"/>
    </xf>
    <xf numFmtId="0" fontId="15" fillId="7" borderId="0" xfId="0" applyFont="1" applyFill="1" applyAlignment="1">
      <alignment horizontal="center" vertical="center"/>
    </xf>
    <xf numFmtId="0" fontId="16" fillId="7" borderId="0" xfId="0" applyFont="1" applyFill="1" applyAlignment="1">
      <alignment horizontal="center" vertical="center"/>
    </xf>
    <xf numFmtId="0" fontId="33" fillId="25" borderId="0" xfId="0" applyFont="1" applyFill="1" applyAlignment="1">
      <alignment horizontal="center" vertical="center"/>
    </xf>
    <xf numFmtId="0" fontId="16" fillId="25" borderId="0" xfId="0" applyFont="1" applyFill="1" applyAlignment="1">
      <alignment horizontal="center" vertical="center"/>
    </xf>
    <xf numFmtId="0" fontId="16" fillId="0" borderId="0" xfId="0" applyFont="1"/>
    <xf numFmtId="0" fontId="16" fillId="7" borderId="0" xfId="0" applyFont="1" applyFill="1" applyAlignment="1">
      <alignment horizontal="center" vertical="center" wrapText="1"/>
    </xf>
    <xf numFmtId="0" fontId="16" fillId="7" borderId="5" xfId="0" applyFont="1" applyFill="1" applyBorder="1" applyAlignment="1">
      <alignment horizontal="center" vertical="center" wrapText="1"/>
    </xf>
    <xf numFmtId="0" fontId="14" fillId="10" borderId="35"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14" fillId="10" borderId="57"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48" xfId="0" applyFont="1" applyFill="1" applyBorder="1" applyAlignment="1">
      <alignment horizontal="center" vertical="center" wrapText="1"/>
    </xf>
    <xf numFmtId="0" fontId="15" fillId="10" borderId="58" xfId="0" applyFont="1" applyFill="1" applyBorder="1" applyAlignment="1">
      <alignment horizontal="center" vertical="center" wrapText="1"/>
    </xf>
    <xf numFmtId="0" fontId="15" fillId="8" borderId="50"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18" xfId="0" applyFont="1" applyFill="1" applyBorder="1" applyAlignment="1">
      <alignment horizontal="center" vertical="center" wrapText="1"/>
    </xf>
    <xf numFmtId="0" fontId="15" fillId="8" borderId="20" xfId="0" applyFont="1" applyFill="1" applyBorder="1" applyAlignment="1">
      <alignment horizontal="center" vertical="center" wrapText="1"/>
    </xf>
    <xf numFmtId="0" fontId="15" fillId="14" borderId="50" xfId="0" applyFont="1" applyFill="1" applyBorder="1" applyAlignment="1">
      <alignment horizontal="center" vertical="center" wrapText="1"/>
    </xf>
    <xf numFmtId="0" fontId="15" fillId="14" borderId="14"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24" borderId="41" xfId="0" applyFont="1" applyFill="1" applyBorder="1" applyAlignment="1">
      <alignment horizontal="center" vertical="center" wrapText="1"/>
    </xf>
    <xf numFmtId="0" fontId="15" fillId="24" borderId="14" xfId="0" applyFont="1" applyFill="1" applyBorder="1" applyAlignment="1">
      <alignment horizontal="center" vertical="center" wrapText="1"/>
    </xf>
    <xf numFmtId="0" fontId="15" fillId="24" borderId="37" xfId="0" applyFont="1" applyFill="1" applyBorder="1" applyAlignment="1">
      <alignment horizontal="center" vertical="center" wrapText="1"/>
    </xf>
    <xf numFmtId="0" fontId="15" fillId="24" borderId="50" xfId="0" applyFont="1" applyFill="1" applyBorder="1" applyAlignment="1">
      <alignment horizontal="center" vertical="center" wrapText="1"/>
    </xf>
    <xf numFmtId="0" fontId="15" fillId="24" borderId="18" xfId="0" applyFont="1" applyFill="1" applyBorder="1" applyAlignment="1">
      <alignment horizontal="center" vertical="center" wrapText="1"/>
    </xf>
    <xf numFmtId="0" fontId="17" fillId="19" borderId="50" xfId="0" applyFont="1" applyFill="1" applyBorder="1" applyAlignment="1">
      <alignment horizontal="center" vertical="center" wrapText="1"/>
    </xf>
    <xf numFmtId="0" fontId="17" fillId="19" borderId="14" xfId="0" applyFont="1" applyFill="1" applyBorder="1" applyAlignment="1">
      <alignment horizontal="center" vertical="center" wrapText="1"/>
    </xf>
    <xf numFmtId="0" fontId="17" fillId="19" borderId="18" xfId="0" applyFont="1" applyFill="1" applyBorder="1" applyAlignment="1">
      <alignment horizontal="center" vertical="center" wrapText="1"/>
    </xf>
    <xf numFmtId="0" fontId="17" fillId="29" borderId="50" xfId="0" applyFont="1" applyFill="1" applyBorder="1" applyAlignment="1">
      <alignment horizontal="center" vertical="center" wrapText="1"/>
    </xf>
    <xf numFmtId="0" fontId="17" fillId="29" borderId="14" xfId="0" applyFont="1" applyFill="1" applyBorder="1" applyAlignment="1">
      <alignment horizontal="center" vertical="center" wrapText="1"/>
    </xf>
    <xf numFmtId="0" fontId="17" fillId="29" borderId="18" xfId="0" applyFont="1" applyFill="1" applyBorder="1" applyAlignment="1">
      <alignment horizontal="center" vertical="center" wrapText="1"/>
    </xf>
    <xf numFmtId="0" fontId="17" fillId="29" borderId="20" xfId="0" applyFont="1" applyFill="1" applyBorder="1" applyAlignment="1">
      <alignment horizontal="center" vertical="center" wrapText="1"/>
    </xf>
    <xf numFmtId="0" fontId="17" fillId="31" borderId="50" xfId="0" applyFont="1" applyFill="1" applyBorder="1" applyAlignment="1">
      <alignment horizontal="center" vertical="center" wrapText="1"/>
    </xf>
    <xf numFmtId="0" fontId="17" fillId="31" borderId="14" xfId="0" applyFont="1" applyFill="1" applyBorder="1" applyAlignment="1">
      <alignment horizontal="center" vertical="center" wrapText="1"/>
    </xf>
    <xf numFmtId="0" fontId="17" fillId="34" borderId="18" xfId="0" applyFont="1" applyFill="1" applyBorder="1" applyAlignment="1">
      <alignment horizontal="center" vertical="center" wrapText="1"/>
    </xf>
    <xf numFmtId="0" fontId="17" fillId="34" borderId="20" xfId="0" applyFont="1" applyFill="1" applyBorder="1" applyAlignment="1">
      <alignment horizontal="center" vertical="center" wrapText="1"/>
    </xf>
    <xf numFmtId="0" fontId="17" fillId="36" borderId="18" xfId="0" applyFont="1" applyFill="1" applyBorder="1" applyAlignment="1">
      <alignment horizontal="center" vertical="center" wrapText="1"/>
    </xf>
    <xf numFmtId="0" fontId="17" fillId="36" borderId="20" xfId="0" applyFont="1" applyFill="1" applyBorder="1" applyAlignment="1">
      <alignment horizontal="center" vertical="center" wrapText="1"/>
    </xf>
    <xf numFmtId="0" fontId="16" fillId="0" borderId="18" xfId="0" applyFont="1" applyBorder="1" applyAlignment="1">
      <alignment horizontal="center" vertical="center" wrapText="1"/>
    </xf>
    <xf numFmtId="0" fontId="33" fillId="0" borderId="18" xfId="0" applyFont="1" applyBorder="1" applyAlignment="1">
      <alignment horizontal="center" vertical="center" wrapText="1"/>
    </xf>
    <xf numFmtId="0" fontId="16" fillId="10" borderId="18" xfId="0" applyFont="1" applyFill="1" applyBorder="1" applyAlignment="1">
      <alignment horizontal="center" vertical="center" wrapText="1"/>
    </xf>
    <xf numFmtId="0" fontId="45" fillId="10" borderId="18"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33" fillId="11" borderId="18" xfId="0" applyFont="1" applyFill="1" applyBorder="1" applyAlignment="1">
      <alignment horizontal="center" vertical="center" wrapText="1"/>
    </xf>
    <xf numFmtId="0" fontId="46" fillId="11" borderId="18" xfId="0" applyFont="1" applyFill="1" applyBorder="1" applyAlignment="1">
      <alignment horizontal="center" vertical="center" wrapText="1"/>
    </xf>
    <xf numFmtId="0" fontId="47" fillId="0" borderId="18" xfId="0" applyFont="1" applyBorder="1" applyAlignment="1">
      <alignment horizontal="center" vertical="center" wrapText="1"/>
    </xf>
    <xf numFmtId="0" fontId="27" fillId="0" borderId="18" xfId="0" applyFont="1" applyBorder="1" applyAlignment="1">
      <alignment horizontal="center" vertical="center" wrapText="1"/>
    </xf>
    <xf numFmtId="0" fontId="48" fillId="10" borderId="18" xfId="0" applyFont="1" applyFill="1" applyBorder="1" applyAlignment="1">
      <alignment horizontal="center" vertical="center" wrapText="1"/>
    </xf>
    <xf numFmtId="0" fontId="1" fillId="2" borderId="0" xfId="0" applyFont="1" applyFill="1" applyAlignment="1">
      <alignment vertical="center" wrapText="1"/>
    </xf>
    <xf numFmtId="0" fontId="0" fillId="0" borderId="0" xfId="0"/>
    <xf numFmtId="0" fontId="3" fillId="2" borderId="0" xfId="0" applyFont="1" applyFill="1" applyAlignment="1">
      <alignment vertical="center" wrapText="1"/>
    </xf>
    <xf numFmtId="0" fontId="3" fillId="2" borderId="0" xfId="0" applyFont="1" applyFill="1" applyAlignment="1">
      <alignment horizontal="left" vertical="center" wrapText="1"/>
    </xf>
    <xf numFmtId="0" fontId="4" fillId="2" borderId="0" xfId="0" applyFont="1" applyFill="1" applyAlignment="1">
      <alignment vertical="center" wrapText="1"/>
    </xf>
    <xf numFmtId="0" fontId="2" fillId="3" borderId="0" xfId="0" applyFont="1" applyFill="1" applyAlignment="1">
      <alignment vertical="center" wrapText="1"/>
    </xf>
    <xf numFmtId="0" fontId="22" fillId="11" borderId="1" xfId="0" applyFont="1" applyFill="1" applyBorder="1" applyAlignment="1">
      <alignment horizontal="center" vertical="center"/>
    </xf>
    <xf numFmtId="0" fontId="6" fillId="0" borderId="2" xfId="0" applyFont="1" applyBorder="1"/>
    <xf numFmtId="0" fontId="6" fillId="0" borderId="3" xfId="0" applyFont="1" applyBorder="1"/>
    <xf numFmtId="0" fontId="6" fillId="0" borderId="6" xfId="0" applyFont="1" applyBorder="1"/>
    <xf numFmtId="0" fontId="6" fillId="0" borderId="7" xfId="0" applyFont="1" applyBorder="1"/>
    <xf numFmtId="0" fontId="6" fillId="0" borderId="8" xfId="0" applyFont="1" applyBorder="1"/>
    <xf numFmtId="0" fontId="21" fillId="14" borderId="24" xfId="0" applyFont="1" applyFill="1" applyBorder="1" applyAlignment="1">
      <alignment horizontal="center" vertical="center" wrapText="1"/>
    </xf>
    <xf numFmtId="0" fontId="6" fillId="0" borderId="37" xfId="0" applyFont="1" applyBorder="1"/>
    <xf numFmtId="0" fontId="24" fillId="16" borderId="4" xfId="0" applyFont="1" applyFill="1" applyBorder="1" applyAlignment="1">
      <alignment horizontal="center" vertical="center" wrapText="1"/>
    </xf>
    <xf numFmtId="0" fontId="6" fillId="0" borderId="39" xfId="0" applyFont="1" applyBorder="1"/>
    <xf numFmtId="0" fontId="6" fillId="0" borderId="13" xfId="0" applyFont="1" applyBorder="1"/>
    <xf numFmtId="0" fontId="6" fillId="0" borderId="42" xfId="0" applyFont="1" applyBorder="1"/>
    <xf numFmtId="0" fontId="6" fillId="0" borderId="41" xfId="0" applyFont="1" applyBorder="1"/>
    <xf numFmtId="0" fontId="25" fillId="16" borderId="39" xfId="0" applyFont="1" applyFill="1" applyBorder="1" applyAlignment="1">
      <alignment horizontal="center" vertical="center" wrapText="1"/>
    </xf>
    <xf numFmtId="0" fontId="24" fillId="16" borderId="5" xfId="0" applyFont="1" applyFill="1" applyBorder="1" applyAlignment="1">
      <alignment horizontal="center" vertical="center"/>
    </xf>
    <xf numFmtId="0" fontId="6" fillId="0" borderId="15" xfId="0" applyFont="1" applyBorder="1"/>
    <xf numFmtId="0" fontId="14" fillId="8" borderId="24" xfId="0" applyFont="1" applyFill="1" applyBorder="1" applyAlignment="1">
      <alignment horizontal="center" vertical="center" wrapText="1"/>
    </xf>
    <xf numFmtId="0" fontId="14" fillId="8" borderId="43" xfId="0" applyFont="1" applyFill="1" applyBorder="1" applyAlignment="1">
      <alignment horizontal="center" vertical="center" wrapText="1"/>
    </xf>
    <xf numFmtId="0" fontId="6" fillId="0" borderId="44" xfId="0" applyFont="1" applyBorder="1"/>
    <xf numFmtId="0" fontId="16" fillId="5" borderId="38" xfId="0" applyFont="1" applyFill="1" applyBorder="1" applyAlignment="1">
      <alignment horizontal="center" vertical="center"/>
    </xf>
    <xf numFmtId="0" fontId="6" fillId="0" borderId="27" xfId="0" applyFont="1" applyBorder="1"/>
    <xf numFmtId="0" fontId="6" fillId="0" borderId="4" xfId="0" applyFont="1" applyBorder="1"/>
    <xf numFmtId="0" fontId="6" fillId="0" borderId="46" xfId="0" applyFont="1" applyBorder="1"/>
    <xf numFmtId="0" fontId="16" fillId="5" borderId="9" xfId="0" applyFont="1" applyFill="1" applyBorder="1" applyAlignment="1">
      <alignment horizontal="center" vertical="center"/>
    </xf>
    <xf numFmtId="0" fontId="6" fillId="0" borderId="16" xfId="0" applyFont="1" applyBorder="1"/>
    <xf numFmtId="0" fontId="6" fillId="0" borderId="26" xfId="0" applyFont="1" applyBorder="1"/>
    <xf numFmtId="0" fontId="6" fillId="0" borderId="10" xfId="0" applyFont="1" applyBorder="1"/>
    <xf numFmtId="0" fontId="6" fillId="0" borderId="5" xfId="0" applyFont="1" applyBorder="1"/>
    <xf numFmtId="0" fontId="8" fillId="0" borderId="24" xfId="0" applyFont="1" applyBorder="1" applyAlignment="1">
      <alignment horizontal="center" vertical="center" wrapText="1"/>
    </xf>
    <xf numFmtId="0" fontId="6" fillId="0" borderId="25" xfId="0" applyFont="1" applyBorder="1"/>
    <xf numFmtId="0" fontId="6" fillId="0" borderId="21" xfId="0" applyFont="1" applyBorder="1"/>
    <xf numFmtId="0" fontId="8" fillId="0" borderId="9" xfId="0" applyFont="1" applyBorder="1" applyAlignment="1">
      <alignment horizontal="center" vertical="center" wrapText="1"/>
    </xf>
    <xf numFmtId="0" fontId="6" fillId="0" borderId="14" xfId="0" applyFont="1" applyBorder="1"/>
    <xf numFmtId="0" fontId="7" fillId="4" borderId="9" xfId="0" applyFont="1" applyFill="1" applyBorder="1" applyAlignment="1">
      <alignment horizontal="center" vertical="center" wrapText="1"/>
    </xf>
    <xf numFmtId="0" fontId="7" fillId="0" borderId="1" xfId="0" applyFont="1" applyBorder="1" applyAlignment="1">
      <alignment horizontal="center" vertical="center" wrapText="1"/>
    </xf>
    <xf numFmtId="0" fontId="10" fillId="5" borderId="29" xfId="0" applyFont="1" applyFill="1" applyBorder="1" applyAlignment="1">
      <alignment horizontal="center" vertical="center" wrapText="1"/>
    </xf>
    <xf numFmtId="0" fontId="6" fillId="0" borderId="30" xfId="0" applyFont="1" applyBorder="1"/>
    <xf numFmtId="0" fontId="6" fillId="0" borderId="31" xfId="0" applyFont="1" applyBorder="1"/>
    <xf numFmtId="0" fontId="7" fillId="0" borderId="1" xfId="0" applyFont="1" applyBorder="1" applyAlignment="1">
      <alignment horizontal="center" vertical="center"/>
    </xf>
    <xf numFmtId="0" fontId="11" fillId="6" borderId="32" xfId="0" applyFont="1" applyFill="1" applyBorder="1" applyAlignment="1">
      <alignment horizontal="center" vertical="center" wrapText="1"/>
    </xf>
    <xf numFmtId="0" fontId="6" fillId="0" borderId="33" xfId="0" applyFont="1" applyBorder="1"/>
    <xf numFmtId="0" fontId="6" fillId="0" borderId="34" xfId="0" applyFont="1" applyBorder="1"/>
    <xf numFmtId="0" fontId="5" fillId="0" borderId="1"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0" xfId="0" applyFont="1" applyBorder="1" applyAlignment="1">
      <alignment horizontal="center" vertical="center" wrapText="1"/>
    </xf>
    <xf numFmtId="0" fontId="26" fillId="11" borderId="0" xfId="0" applyFont="1" applyFill="1"/>
    <xf numFmtId="0" fontId="21" fillId="19" borderId="43" xfId="0" applyFont="1" applyFill="1" applyBorder="1" applyAlignment="1">
      <alignment horizontal="center" vertical="center" wrapText="1"/>
    </xf>
    <xf numFmtId="0" fontId="11" fillId="13" borderId="32" xfId="0" applyFont="1" applyFill="1" applyBorder="1" applyAlignment="1">
      <alignment horizontal="center" vertical="center" wrapText="1"/>
    </xf>
    <xf numFmtId="0" fontId="21" fillId="14" borderId="43" xfId="0" applyFont="1" applyFill="1" applyBorder="1" applyAlignment="1">
      <alignment horizontal="center" vertical="center" wrapText="1"/>
    </xf>
    <xf numFmtId="0" fontId="11" fillId="18" borderId="32" xfId="0" applyFont="1" applyFill="1" applyBorder="1" applyAlignment="1">
      <alignment horizontal="center" vertical="center" wrapText="1"/>
    </xf>
    <xf numFmtId="0" fontId="21" fillId="19" borderId="24" xfId="0" applyFont="1" applyFill="1" applyBorder="1" applyAlignment="1">
      <alignment horizontal="center" vertical="center" wrapText="1"/>
    </xf>
    <xf numFmtId="0" fontId="19" fillId="0" borderId="0" xfId="0" applyFont="1" applyAlignment="1">
      <alignment horizontal="left" vertical="center" wrapText="1"/>
    </xf>
    <xf numFmtId="0" fontId="19" fillId="11" borderId="9" xfId="0" applyFont="1" applyFill="1" applyBorder="1" applyAlignment="1">
      <alignment horizontal="left" vertical="center" wrapText="1"/>
    </xf>
    <xf numFmtId="0" fontId="6" fillId="0" borderId="40" xfId="0" applyFont="1" applyBorder="1"/>
    <xf numFmtId="0" fontId="23" fillId="11" borderId="40" xfId="0" applyFont="1" applyFill="1" applyBorder="1" applyAlignment="1">
      <alignment horizontal="left" vertical="center" wrapText="1"/>
    </xf>
    <xf numFmtId="0" fontId="19" fillId="11" borderId="40" xfId="0" applyFont="1" applyFill="1" applyBorder="1" applyAlignment="1">
      <alignment horizontal="left" vertical="center" wrapText="1"/>
    </xf>
    <xf numFmtId="0" fontId="15" fillId="21" borderId="24" xfId="0" applyFont="1" applyFill="1" applyBorder="1" applyAlignment="1">
      <alignment horizontal="center" vertical="center"/>
    </xf>
    <xf numFmtId="0" fontId="23" fillId="11" borderId="0" xfId="0" applyFont="1" applyFill="1" applyAlignment="1">
      <alignment horizontal="left" vertical="center" wrapText="1"/>
    </xf>
    <xf numFmtId="0" fontId="15" fillId="22" borderId="24" xfId="0" applyFont="1" applyFill="1" applyBorder="1" applyAlignment="1">
      <alignment horizontal="center" vertical="center"/>
    </xf>
    <xf numFmtId="0" fontId="15" fillId="17" borderId="24" xfId="0" applyFont="1" applyFill="1" applyBorder="1" applyAlignment="1">
      <alignment horizontal="center" vertical="center"/>
    </xf>
    <xf numFmtId="0" fontId="15" fillId="20" borderId="24" xfId="0" applyFont="1" applyFill="1" applyBorder="1" applyAlignment="1">
      <alignment horizontal="center" vertical="center"/>
    </xf>
    <xf numFmtId="0" fontId="15" fillId="15" borderId="24" xfId="0" applyFont="1" applyFill="1" applyBorder="1" applyAlignment="1">
      <alignment horizontal="center" vertical="center"/>
    </xf>
    <xf numFmtId="0" fontId="27" fillId="23" borderId="24" xfId="0" applyFont="1" applyFill="1" applyBorder="1" applyAlignment="1">
      <alignment horizontal="center" vertical="center"/>
    </xf>
    <xf numFmtId="0" fontId="12" fillId="3" borderId="24" xfId="0" applyFont="1" applyFill="1" applyBorder="1" applyAlignment="1">
      <alignment horizontal="center" vertical="center"/>
    </xf>
    <xf numFmtId="0" fontId="12" fillId="7" borderId="12" xfId="0" applyFont="1" applyFill="1" applyBorder="1" applyAlignment="1">
      <alignment horizontal="center" vertical="center" wrapText="1"/>
    </xf>
    <xf numFmtId="0" fontId="15" fillId="9" borderId="24" xfId="0" applyFont="1" applyFill="1" applyBorder="1" applyAlignment="1">
      <alignment horizontal="center" vertical="center"/>
    </xf>
    <xf numFmtId="0" fontId="20" fillId="12" borderId="24" xfId="0" applyFont="1" applyFill="1" applyBorder="1" applyAlignment="1">
      <alignment horizontal="center" vertical="center"/>
    </xf>
    <xf numFmtId="0" fontId="31" fillId="10" borderId="39" xfId="0" applyFont="1" applyFill="1" applyBorder="1" applyAlignment="1">
      <alignment horizontal="center" vertical="center" wrapText="1"/>
    </xf>
    <xf numFmtId="0" fontId="15" fillId="10" borderId="22" xfId="0" applyFont="1" applyFill="1" applyBorder="1" applyAlignment="1">
      <alignment horizontal="center" vertical="center" wrapText="1"/>
    </xf>
    <xf numFmtId="0" fontId="6" fillId="0" borderId="50" xfId="0" applyFont="1" applyBorder="1"/>
    <xf numFmtId="0" fontId="15" fillId="10" borderId="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28" fillId="10" borderId="9" xfId="0" applyFont="1" applyFill="1" applyBorder="1" applyAlignment="1">
      <alignment horizontal="center" vertical="center"/>
    </xf>
    <xf numFmtId="0" fontId="15" fillId="24" borderId="22" xfId="0" applyFont="1" applyFill="1" applyBorder="1" applyAlignment="1">
      <alignment horizontal="center" vertical="center" wrapText="1"/>
    </xf>
    <xf numFmtId="0" fontId="42" fillId="27" borderId="59" xfId="0" applyFont="1" applyFill="1" applyBorder="1" applyAlignment="1">
      <alignment horizontal="center" vertical="center" wrapText="1"/>
    </xf>
    <xf numFmtId="0" fontId="6" fillId="0" borderId="60" xfId="0" applyFont="1" applyBorder="1"/>
    <xf numFmtId="0" fontId="6" fillId="0" borderId="61" xfId="0" applyFont="1" applyBorder="1"/>
    <xf numFmtId="0" fontId="11" fillId="35" borderId="14" xfId="0" applyFont="1" applyFill="1" applyBorder="1" applyAlignment="1">
      <alignment horizontal="center" vertical="center" wrapText="1"/>
    </xf>
    <xf numFmtId="0" fontId="44" fillId="35" borderId="1" xfId="0" applyFont="1" applyFill="1" applyBorder="1" applyAlignment="1">
      <alignment horizontal="center" vertical="center" wrapText="1"/>
    </xf>
    <xf numFmtId="0" fontId="44" fillId="18" borderId="1" xfId="0" applyFont="1" applyFill="1" applyBorder="1" applyAlignment="1">
      <alignment horizontal="center" vertical="center" wrapText="1"/>
    </xf>
    <xf numFmtId="0" fontId="44" fillId="30" borderId="1" xfId="0" applyFont="1" applyFill="1" applyBorder="1" applyAlignment="1">
      <alignment horizontal="center" vertical="center" wrapText="1"/>
    </xf>
    <xf numFmtId="0" fontId="44" fillId="32" borderId="59" xfId="0" applyFont="1" applyFill="1" applyBorder="1" applyAlignment="1">
      <alignment horizontal="center" vertical="center" wrapText="1"/>
    </xf>
    <xf numFmtId="0" fontId="11" fillId="33" borderId="14" xfId="0" applyFont="1" applyFill="1" applyBorder="1" applyAlignment="1">
      <alignment horizontal="center" vertical="center" wrapText="1"/>
    </xf>
    <xf numFmtId="0" fontId="43" fillId="13" borderId="1" xfId="0" applyFont="1" applyFill="1" applyBorder="1" applyAlignment="1">
      <alignment horizontal="center" vertical="center" wrapText="1"/>
    </xf>
    <xf numFmtId="0" fontId="44" fillId="28" borderId="1" xfId="0" applyFont="1" applyFill="1" applyBorder="1" applyAlignment="1">
      <alignment horizontal="center" vertical="center" wrapText="1"/>
    </xf>
    <xf numFmtId="0" fontId="44" fillId="33" borderId="1" xfId="0" applyFont="1" applyFill="1" applyBorder="1" applyAlignment="1">
      <alignment horizontal="center" vertical="center" wrapText="1"/>
    </xf>
    <xf numFmtId="0" fontId="40" fillId="5" borderId="51" xfId="0" applyFont="1" applyFill="1" applyBorder="1" applyAlignment="1">
      <alignment horizontal="center" vertical="center" wrapText="1"/>
    </xf>
    <xf numFmtId="0" fontId="6" fillId="0" borderId="53" xfId="0" applyFont="1" applyBorder="1"/>
    <xf numFmtId="0" fontId="6" fillId="0" borderId="55" xfId="0" applyFont="1" applyBorder="1"/>
    <xf numFmtId="0" fontId="41" fillId="27" borderId="52" xfId="0" applyFont="1" applyFill="1" applyBorder="1" applyAlignment="1">
      <alignment horizontal="center" vertical="center" wrapText="1"/>
    </xf>
    <xf numFmtId="0" fontId="6" fillId="0" borderId="54" xfId="0" applyFont="1" applyBorder="1"/>
    <xf numFmtId="0" fontId="6" fillId="0" borderId="56" xfId="0" applyFont="1" applyBorder="1"/>
    <xf numFmtId="0" fontId="40" fillId="6" borderId="1" xfId="0" applyFont="1" applyFill="1" applyBorder="1" applyAlignment="1">
      <alignment horizontal="center" vertical="center" wrapText="1"/>
    </xf>
    <xf numFmtId="0" fontId="39" fillId="10" borderId="1" xfId="0" applyFont="1" applyFill="1" applyBorder="1" applyAlignment="1">
      <alignment horizontal="center" vertical="center" wrapText="1"/>
    </xf>
    <xf numFmtId="0" fontId="39" fillId="27" borderId="52" xfId="0" applyFont="1" applyFill="1" applyBorder="1" applyAlignment="1">
      <alignment horizontal="center" vertical="center" wrapText="1"/>
    </xf>
    <xf numFmtId="0" fontId="15" fillId="20" borderId="20" xfId="0" applyFont="1" applyFill="1" applyBorder="1" applyAlignment="1">
      <alignment horizontal="center" vertical="center" wrapText="1"/>
    </xf>
    <xf numFmtId="0" fontId="16" fillId="37" borderId="20"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12" fillId="38" borderId="20" xfId="0" applyFont="1" applyFill="1" applyBorder="1" applyAlignment="1">
      <alignment horizontal="center" vertical="center" wrapText="1"/>
    </xf>
    <xf numFmtId="0" fontId="16" fillId="3" borderId="20" xfId="0" quotePrefix="1" applyFont="1" applyFill="1" applyBorder="1" applyAlignment="1">
      <alignment horizontal="center" vertical="center" wrapText="1"/>
    </xf>
    <xf numFmtId="0" fontId="15" fillId="21" borderId="20" xfId="0" applyFont="1" applyFill="1" applyBorder="1" applyAlignment="1">
      <alignment horizontal="center" vertical="center" wrapText="1"/>
    </xf>
    <xf numFmtId="0" fontId="15" fillId="22" borderId="20" xfId="0" applyFont="1" applyFill="1" applyBorder="1" applyAlignment="1">
      <alignment horizontal="center" vertical="center" wrapText="1"/>
    </xf>
    <xf numFmtId="0" fontId="27" fillId="23" borderId="20" xfId="0" applyFont="1" applyFill="1" applyBorder="1" applyAlignment="1">
      <alignment horizontal="center" vertical="center" wrapText="1"/>
    </xf>
    <xf numFmtId="0" fontId="15" fillId="15" borderId="20" xfId="0" applyFont="1" applyFill="1" applyBorder="1" applyAlignment="1">
      <alignment horizontal="center" vertical="center" wrapText="1"/>
    </xf>
    <xf numFmtId="0" fontId="27" fillId="17" borderId="0" xfId="0" applyFont="1" applyFill="1" applyAlignment="1">
      <alignment horizontal="center" vertical="center" wrapText="1"/>
    </xf>
    <xf numFmtId="0" fontId="15" fillId="9" borderId="20" xfId="0" applyFont="1" applyFill="1" applyBorder="1" applyAlignment="1">
      <alignment horizontal="center" vertical="center"/>
    </xf>
    <xf numFmtId="0" fontId="27" fillId="12" borderId="20" xfId="0" applyFont="1" applyFill="1" applyBorder="1" applyAlignment="1">
      <alignment horizontal="center" vertical="center"/>
    </xf>
  </cellXfs>
  <cellStyles count="1">
    <cellStyle name="Normal" xfId="0" builtinId="0"/>
  </cellStyles>
  <dxfs count="29">
    <dxf>
      <font>
        <color theme="5"/>
      </font>
      <fill>
        <patternFill patternType="solid">
          <fgColor theme="1"/>
          <bgColor theme="1"/>
        </patternFill>
      </fill>
    </dxf>
    <dxf>
      <font>
        <color theme="0"/>
      </font>
      <fill>
        <patternFill patternType="solid">
          <fgColor rgb="FFCC0000"/>
          <bgColor rgb="FFCC0000"/>
        </patternFill>
      </fill>
    </dxf>
    <dxf>
      <fill>
        <patternFill patternType="solid">
          <fgColor rgb="FFB6D7A8"/>
          <bgColor rgb="FFB6D7A8"/>
        </patternFill>
      </fill>
    </dxf>
    <dxf>
      <fill>
        <patternFill patternType="solid">
          <fgColor rgb="FFA4C2F4"/>
          <bgColor rgb="FFA4C2F4"/>
        </patternFill>
      </fill>
    </dxf>
    <dxf>
      <font>
        <color theme="0"/>
      </font>
      <fill>
        <patternFill patternType="solid">
          <fgColor rgb="FF434343"/>
          <bgColor rgb="FF434343"/>
        </patternFill>
      </fill>
    </dxf>
    <dxf>
      <font>
        <color theme="0"/>
      </font>
      <fill>
        <patternFill patternType="solid">
          <fgColor rgb="FF666666"/>
          <bgColor rgb="FF666666"/>
        </patternFill>
      </fill>
    </dxf>
    <dxf>
      <font>
        <color theme="0"/>
      </font>
      <fill>
        <patternFill patternType="solid">
          <fgColor rgb="FF999999"/>
          <bgColor rgb="FF999999"/>
        </patternFill>
      </fill>
    </dxf>
    <dxf>
      <font>
        <color theme="0"/>
      </font>
      <fill>
        <patternFill patternType="solid">
          <fgColor rgb="FF000000"/>
          <bgColor rgb="FF000000"/>
        </patternFill>
      </fill>
    </dxf>
    <dxf>
      <font>
        <color rgb="FFFFFFFF"/>
      </font>
      <fill>
        <patternFill patternType="solid">
          <fgColor rgb="FFB7B7B7"/>
          <bgColor rgb="FFB7B7B7"/>
        </patternFill>
      </fill>
    </dxf>
    <dxf>
      <font>
        <color rgb="FF000000"/>
      </font>
      <fill>
        <patternFill patternType="solid">
          <fgColor rgb="FFF1C232"/>
          <bgColor rgb="FFF1C232"/>
        </patternFill>
      </fill>
    </dxf>
    <dxf>
      <font>
        <color theme="0"/>
      </font>
      <fill>
        <patternFill patternType="solid">
          <fgColor rgb="FF38761D"/>
          <bgColor rgb="FF38761D"/>
        </patternFill>
      </fill>
    </dxf>
    <dxf>
      <font>
        <color rgb="FFFF0000"/>
      </font>
      <fill>
        <patternFill patternType="solid">
          <fgColor theme="1"/>
          <bgColor theme="1"/>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ont>
        <color rgb="FFFFFFFF"/>
      </font>
      <fill>
        <patternFill patternType="solid">
          <fgColor theme="1"/>
          <bgColor theme="1"/>
        </patternFill>
      </fill>
    </dxf>
    <dxf>
      <fill>
        <patternFill patternType="solid">
          <fgColor rgb="FFF8D030"/>
          <bgColor rgb="FFF8D030"/>
        </patternFill>
      </fill>
    </dxf>
    <dxf>
      <fill>
        <patternFill patternType="solid">
          <fgColor rgb="FFA0E4E4"/>
          <bgColor rgb="FFA0E4E4"/>
        </patternFill>
      </fill>
    </dxf>
    <dxf>
      <fill>
        <patternFill patternType="solid">
          <fgColor rgb="FFB8B8D0"/>
          <bgColor rgb="FFB8B8D0"/>
        </patternFill>
      </fill>
    </dxf>
    <dxf>
      <fill>
        <patternFill patternType="solid">
          <fgColor rgb="FF6890F0"/>
          <bgColor rgb="FF6890F0"/>
        </patternFill>
      </fill>
    </dxf>
    <dxf>
      <fill>
        <patternFill patternType="solid">
          <fgColor rgb="FFD7453D"/>
          <bgColor rgb="FFD7453D"/>
        </patternFill>
      </fill>
    </dxf>
    <dxf>
      <font>
        <color rgb="FF000000"/>
      </font>
      <fill>
        <patternFill patternType="solid">
          <fgColor rgb="FF8265B1"/>
          <bgColor rgb="FF8265B1"/>
        </patternFill>
      </fill>
    </dxf>
    <dxf>
      <font>
        <color rgb="FF000000"/>
      </font>
      <fill>
        <patternFill patternType="solid">
          <fgColor rgb="FF85D55E"/>
          <bgColor rgb="FF85D55E"/>
        </patternFill>
      </fill>
    </dxf>
    <dxf>
      <font>
        <color rgb="FF000000"/>
      </font>
      <fill>
        <patternFill patternType="solid">
          <fgColor rgb="FFB8A038"/>
          <bgColor rgb="FFB8A038"/>
        </patternFill>
      </fill>
    </dxf>
    <dxf>
      <fill>
        <patternFill patternType="solid">
          <fgColor rgb="FFFCE5CD"/>
          <bgColor rgb="FFFCE5CD"/>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oneCellAnchor>
    <xdr:from>
      <xdr:col>12</xdr:col>
      <xdr:colOff>0</xdr:colOff>
      <xdr:row>12</xdr:row>
      <xdr:rowOff>0</xdr:rowOff>
    </xdr:from>
    <xdr:ext cx="219075" cy="333375"/>
    <xdr:pic>
      <xdr:nvPicPr>
        <xdr:cNvPr id="2" name="image9.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17</xdr:row>
      <xdr:rowOff>0</xdr:rowOff>
    </xdr:from>
    <xdr:ext cx="676275" cy="333375"/>
    <xdr:pic>
      <xdr:nvPicPr>
        <xdr:cNvPr id="3" name="image4.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22</xdr:row>
      <xdr:rowOff>0</xdr:rowOff>
    </xdr:from>
    <xdr:ext cx="447675" cy="333375"/>
    <xdr:pic>
      <xdr:nvPicPr>
        <xdr:cNvPr id="4" name="image1.jp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0</xdr:colOff>
      <xdr:row>26</xdr:row>
      <xdr:rowOff>0</xdr:rowOff>
    </xdr:from>
    <xdr:ext cx="352425" cy="333375"/>
    <xdr:pic>
      <xdr:nvPicPr>
        <xdr:cNvPr id="5" name="image3.jp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0</xdr:colOff>
      <xdr:row>32</xdr:row>
      <xdr:rowOff>0</xdr:rowOff>
    </xdr:from>
    <xdr:ext cx="266700" cy="333375"/>
    <xdr:pic>
      <xdr:nvPicPr>
        <xdr:cNvPr id="6" name="image2.jp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12</xdr:col>
      <xdr:colOff>0</xdr:colOff>
      <xdr:row>38</xdr:row>
      <xdr:rowOff>0</xdr:rowOff>
    </xdr:from>
    <xdr:ext cx="333375" cy="333375"/>
    <xdr:pic>
      <xdr:nvPicPr>
        <xdr:cNvPr id="7" name="image8.jp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12</xdr:col>
      <xdr:colOff>0</xdr:colOff>
      <xdr:row>43</xdr:row>
      <xdr:rowOff>0</xdr:rowOff>
    </xdr:from>
    <xdr:ext cx="333375" cy="333375"/>
    <xdr:pic>
      <xdr:nvPicPr>
        <xdr:cNvPr id="8" name="image5.jp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12</xdr:col>
      <xdr:colOff>0</xdr:colOff>
      <xdr:row>48</xdr:row>
      <xdr:rowOff>0</xdr:rowOff>
    </xdr:from>
    <xdr:ext cx="257175" cy="333375"/>
    <xdr:pic>
      <xdr:nvPicPr>
        <xdr:cNvPr id="9" name="image10.jp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56</xdr:row>
      <xdr:rowOff>0</xdr:rowOff>
    </xdr:from>
    <xdr:ext cx="190500" cy="333375"/>
    <xdr:pic>
      <xdr:nvPicPr>
        <xdr:cNvPr id="10" name="image6.jp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12</xdr:col>
      <xdr:colOff>0</xdr:colOff>
      <xdr:row>63</xdr:row>
      <xdr:rowOff>0</xdr:rowOff>
    </xdr:from>
    <xdr:ext cx="190500" cy="333375"/>
    <xdr:pic>
      <xdr:nvPicPr>
        <xdr:cNvPr id="11" name="image7.jp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document/d/19BLuI-sqZY99BHs0ru0YihUfzun8kGAcxDIeyx1D_og/edit?usp=sharing" TargetMode="External"/><Relationship Id="rId1" Type="http://schemas.openxmlformats.org/officeDocument/2006/relationships/hyperlink" Target="https://docs.google.com/forms/d/e/1FAIpQLSfBvIKNxWqpc-ddCurosB5Bu_9HJf2f9UrAGHhAJl9HV1KObQ/viewfor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9"/>
  <sheetViews>
    <sheetView workbookViewId="0"/>
  </sheetViews>
  <sheetFormatPr defaultColWidth="12.59765625" defaultRowHeight="15.75" customHeight="1"/>
  <sheetData>
    <row r="1" spans="1:7" ht="27" customHeight="1">
      <c r="A1" s="121" t="s">
        <v>0</v>
      </c>
      <c r="B1" s="122"/>
      <c r="C1" s="122"/>
      <c r="D1" s="122"/>
      <c r="E1" s="122"/>
      <c r="F1" s="122"/>
      <c r="G1" s="122"/>
    </row>
    <row r="2" spans="1:7" ht="47.25" customHeight="1">
      <c r="A2" s="126" t="s">
        <v>1</v>
      </c>
      <c r="B2" s="122"/>
      <c r="C2" s="122"/>
      <c r="D2" s="122"/>
      <c r="E2" s="122"/>
      <c r="F2" s="122"/>
      <c r="G2" s="122"/>
    </row>
    <row r="3" spans="1:7" ht="29.25" customHeight="1">
      <c r="A3" s="123" t="s">
        <v>2</v>
      </c>
      <c r="B3" s="122"/>
      <c r="C3" s="122"/>
      <c r="D3" s="122"/>
      <c r="E3" s="122"/>
      <c r="F3" s="122"/>
      <c r="G3" s="122"/>
    </row>
    <row r="4" spans="1:7" ht="27" customHeight="1">
      <c r="A4" s="121" t="s">
        <v>3</v>
      </c>
      <c r="B4" s="122"/>
      <c r="C4" s="122"/>
      <c r="D4" s="122"/>
      <c r="E4" s="122"/>
      <c r="F4" s="122"/>
      <c r="G4" s="122"/>
    </row>
    <row r="5" spans="1:7" ht="27" customHeight="1">
      <c r="A5" s="124" t="s">
        <v>4</v>
      </c>
      <c r="B5" s="122"/>
      <c r="C5" s="122"/>
      <c r="D5" s="122"/>
      <c r="E5" s="122"/>
      <c r="F5" s="122"/>
      <c r="G5" s="122"/>
    </row>
    <row r="6" spans="1:7" ht="27" customHeight="1">
      <c r="A6" s="123" t="s">
        <v>5</v>
      </c>
      <c r="B6" s="122"/>
      <c r="C6" s="122"/>
      <c r="D6" s="122"/>
      <c r="E6" s="122"/>
      <c r="F6" s="122"/>
      <c r="G6" s="122"/>
    </row>
    <row r="7" spans="1:7" ht="27" customHeight="1">
      <c r="A7" s="123" t="s">
        <v>6</v>
      </c>
      <c r="B7" s="122"/>
      <c r="C7" s="122"/>
      <c r="D7" s="122"/>
      <c r="E7" s="122"/>
      <c r="F7" s="122"/>
      <c r="G7" s="122"/>
    </row>
    <row r="8" spans="1:7" ht="45" customHeight="1">
      <c r="A8" s="123" t="s">
        <v>7</v>
      </c>
      <c r="B8" s="122"/>
      <c r="C8" s="122"/>
      <c r="D8" s="122"/>
      <c r="E8" s="122"/>
      <c r="F8" s="122"/>
      <c r="G8" s="122"/>
    </row>
    <row r="9" spans="1:7" ht="27" customHeight="1">
      <c r="A9" s="121" t="s">
        <v>8</v>
      </c>
      <c r="B9" s="122"/>
      <c r="C9" s="122"/>
      <c r="D9" s="122"/>
      <c r="E9" s="122"/>
      <c r="F9" s="122"/>
      <c r="G9" s="122"/>
    </row>
    <row r="10" spans="1:7" ht="40.5" customHeight="1">
      <c r="A10" s="123" t="s">
        <v>9</v>
      </c>
      <c r="B10" s="122"/>
      <c r="C10" s="122"/>
      <c r="D10" s="122"/>
      <c r="E10" s="122"/>
      <c r="F10" s="122"/>
      <c r="G10" s="122"/>
    </row>
    <row r="11" spans="1:7" ht="41.25" customHeight="1">
      <c r="A11" s="123" t="s">
        <v>10</v>
      </c>
      <c r="B11" s="122"/>
      <c r="C11" s="122"/>
      <c r="D11" s="122"/>
      <c r="E11" s="122"/>
      <c r="F11" s="122"/>
      <c r="G11" s="122"/>
    </row>
    <row r="12" spans="1:7" ht="27" customHeight="1">
      <c r="A12" s="121" t="s">
        <v>11</v>
      </c>
      <c r="B12" s="122"/>
      <c r="C12" s="122"/>
      <c r="D12" s="122"/>
      <c r="E12" s="122"/>
      <c r="F12" s="122"/>
      <c r="G12" s="122"/>
    </row>
    <row r="13" spans="1:7" ht="27" customHeight="1">
      <c r="A13" s="124" t="s">
        <v>12</v>
      </c>
      <c r="B13" s="122"/>
      <c r="C13" s="122"/>
      <c r="D13" s="122"/>
      <c r="E13" s="122"/>
      <c r="F13" s="122"/>
      <c r="G13" s="122"/>
    </row>
    <row r="14" spans="1:7" ht="33" customHeight="1">
      <c r="A14" s="123" t="s">
        <v>13</v>
      </c>
      <c r="B14" s="122"/>
      <c r="C14" s="122"/>
      <c r="D14" s="122"/>
      <c r="E14" s="122"/>
      <c r="F14" s="122"/>
      <c r="G14" s="122"/>
    </row>
    <row r="15" spans="1:7" ht="54" customHeight="1">
      <c r="A15" s="123" t="s">
        <v>14</v>
      </c>
      <c r="B15" s="122"/>
      <c r="C15" s="122"/>
      <c r="D15" s="122"/>
      <c r="E15" s="122"/>
      <c r="F15" s="122"/>
      <c r="G15" s="122"/>
    </row>
    <row r="16" spans="1:7" ht="27" customHeight="1">
      <c r="A16" s="121" t="s">
        <v>15</v>
      </c>
      <c r="B16" s="122"/>
      <c r="C16" s="122"/>
      <c r="D16" s="122"/>
      <c r="E16" s="122"/>
      <c r="F16" s="122"/>
      <c r="G16" s="122"/>
    </row>
    <row r="17" spans="1:7" ht="27" customHeight="1">
      <c r="A17" s="125" t="s">
        <v>16</v>
      </c>
      <c r="B17" s="122"/>
      <c r="C17" s="122"/>
      <c r="D17" s="122"/>
      <c r="E17" s="122"/>
      <c r="F17" s="122"/>
      <c r="G17" s="122"/>
    </row>
    <row r="18" spans="1:7" ht="27" customHeight="1">
      <c r="A18" s="121" t="s">
        <v>17</v>
      </c>
      <c r="B18" s="122"/>
      <c r="C18" s="122"/>
      <c r="D18" s="122"/>
      <c r="E18" s="122"/>
      <c r="F18" s="122"/>
      <c r="G18" s="122"/>
    </row>
    <row r="19" spans="1:7" ht="27" customHeight="1">
      <c r="A19" s="123" t="s">
        <v>18</v>
      </c>
      <c r="B19" s="122"/>
      <c r="C19" s="122"/>
      <c r="D19" s="122"/>
      <c r="E19" s="122"/>
      <c r="F19" s="122"/>
      <c r="G19" s="122"/>
    </row>
  </sheetData>
  <mergeCells count="19">
    <mergeCell ref="A1:G1"/>
    <mergeCell ref="A2:G2"/>
    <mergeCell ref="A3:G3"/>
    <mergeCell ref="A4:G4"/>
    <mergeCell ref="A5:G5"/>
    <mergeCell ref="A6:G6"/>
    <mergeCell ref="A7:G7"/>
    <mergeCell ref="A15:G15"/>
    <mergeCell ref="A16:G16"/>
    <mergeCell ref="A17:G17"/>
    <mergeCell ref="A18:G18"/>
    <mergeCell ref="A19:G19"/>
    <mergeCell ref="A8:G8"/>
    <mergeCell ref="A9:G9"/>
    <mergeCell ref="A10:G10"/>
    <mergeCell ref="A11:G11"/>
    <mergeCell ref="A12:G12"/>
    <mergeCell ref="A13:G13"/>
    <mergeCell ref="A14:G14"/>
  </mergeCells>
  <hyperlinks>
    <hyperlink ref="A2" r:id="rId1" xr:uid="{00000000-0004-0000-0000-000000000000}"/>
    <hyperlink ref="A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71"/>
  <sheetViews>
    <sheetView workbookViewId="0">
      <selection sqref="A1:D3"/>
    </sheetView>
  </sheetViews>
  <sheetFormatPr defaultColWidth="12.59765625" defaultRowHeight="15.75" customHeight="1"/>
  <cols>
    <col min="2" max="2" width="14.265625" customWidth="1"/>
    <col min="3" max="3" width="13.1328125" customWidth="1"/>
    <col min="4" max="4" width="13" customWidth="1"/>
    <col min="5" max="5" width="14.1328125" customWidth="1"/>
    <col min="6" max="6" width="13.1328125" customWidth="1"/>
    <col min="7" max="10" width="14.3984375" customWidth="1"/>
    <col min="11" max="11" width="17.73046875" customWidth="1"/>
    <col min="12" max="12" width="17.46484375" customWidth="1"/>
    <col min="13" max="13" width="17.59765625" customWidth="1"/>
    <col min="14" max="14" width="17.46484375" customWidth="1"/>
    <col min="15" max="16" width="12.265625" customWidth="1"/>
  </cols>
  <sheetData>
    <row r="1" spans="1:16" ht="12.75">
      <c r="A1" s="169" t="s">
        <v>19</v>
      </c>
      <c r="B1" s="128"/>
      <c r="C1" s="128"/>
      <c r="D1" s="129"/>
      <c r="E1" s="169" t="s">
        <v>20</v>
      </c>
      <c r="F1" s="128"/>
      <c r="G1" s="128"/>
      <c r="H1" s="128"/>
      <c r="I1" s="128"/>
      <c r="J1" s="128"/>
      <c r="K1" s="128"/>
      <c r="L1" s="129"/>
      <c r="M1" s="169" t="s">
        <v>21</v>
      </c>
      <c r="N1" s="128"/>
      <c r="O1" s="128"/>
      <c r="P1" s="129"/>
    </row>
    <row r="2" spans="1:16" ht="12.75">
      <c r="A2" s="148"/>
      <c r="B2" s="122"/>
      <c r="C2" s="122"/>
      <c r="D2" s="154"/>
      <c r="E2" s="148"/>
      <c r="F2" s="122"/>
      <c r="G2" s="122"/>
      <c r="H2" s="122"/>
      <c r="I2" s="122"/>
      <c r="J2" s="122"/>
      <c r="K2" s="122"/>
      <c r="L2" s="154"/>
      <c r="M2" s="148"/>
      <c r="N2" s="122"/>
      <c r="O2" s="122"/>
      <c r="P2" s="154"/>
    </row>
    <row r="3" spans="1:16" ht="12.75">
      <c r="A3" s="130"/>
      <c r="B3" s="131"/>
      <c r="C3" s="131"/>
      <c r="D3" s="132"/>
      <c r="E3" s="130"/>
      <c r="F3" s="131"/>
      <c r="G3" s="131"/>
      <c r="H3" s="131"/>
      <c r="I3" s="131"/>
      <c r="J3" s="131"/>
      <c r="K3" s="131"/>
      <c r="L3" s="132"/>
      <c r="M3" s="130"/>
      <c r="N3" s="131"/>
      <c r="O3" s="131"/>
      <c r="P3" s="132"/>
    </row>
    <row r="4" spans="1:16" ht="97.5" customHeight="1">
      <c r="A4" s="160" t="s">
        <v>22</v>
      </c>
      <c r="B4" s="153"/>
      <c r="C4" s="1" t="e">
        <f t="shared" ref="C4:O4" ca="1" si="0">_xludf.image("http://play.pokemonshowdown.com/sprites/trainers/"&amp;LOWER(C5)&amp;".png")</f>
        <v>#NAME?</v>
      </c>
      <c r="D4" s="1" t="e">
        <f t="shared" ca="1" si="0"/>
        <v>#NAME?</v>
      </c>
      <c r="E4" s="1" t="e">
        <f t="shared" ca="1" si="0"/>
        <v>#NAME?</v>
      </c>
      <c r="F4" s="1" t="e">
        <f t="shared" ca="1" si="0"/>
        <v>#NAME?</v>
      </c>
      <c r="G4" s="1" t="e">
        <f t="shared" ca="1" si="0"/>
        <v>#NAME?</v>
      </c>
      <c r="H4" s="1" t="e">
        <f t="shared" ca="1" si="0"/>
        <v>#NAME?</v>
      </c>
      <c r="I4" s="1" t="e">
        <f t="shared" ca="1" si="0"/>
        <v>#NAME?</v>
      </c>
      <c r="J4" s="2" t="e">
        <f t="shared" ca="1" si="0"/>
        <v>#NAME?</v>
      </c>
      <c r="K4" s="3" t="e">
        <f t="shared" ca="1" si="0"/>
        <v>#NAME?</v>
      </c>
      <c r="L4" s="4" t="e">
        <f t="shared" ca="1" si="0"/>
        <v>#NAME?</v>
      </c>
      <c r="M4" s="4" t="e">
        <f t="shared" ca="1" si="0"/>
        <v>#NAME?</v>
      </c>
      <c r="N4" s="4" t="e">
        <f t="shared" ca="1" si="0"/>
        <v>#NAME?</v>
      </c>
      <c r="O4" s="170" t="e">
        <f t="shared" ca="1" si="0"/>
        <v>#NAME?</v>
      </c>
      <c r="P4" s="142"/>
    </row>
    <row r="5" spans="1:16" ht="15.4">
      <c r="A5" s="151"/>
      <c r="B5" s="154"/>
      <c r="C5" s="5" t="s">
        <v>23</v>
      </c>
      <c r="D5" s="6" t="s">
        <v>24</v>
      </c>
      <c r="E5" s="7" t="s">
        <v>25</v>
      </c>
      <c r="F5" s="7" t="s">
        <v>26</v>
      </c>
      <c r="G5" s="7" t="s">
        <v>27</v>
      </c>
      <c r="H5" s="7" t="s">
        <v>28</v>
      </c>
      <c r="I5" s="7" t="s">
        <v>29</v>
      </c>
      <c r="J5" s="8" t="s">
        <v>30</v>
      </c>
      <c r="K5" s="9" t="s">
        <v>31</v>
      </c>
      <c r="L5" s="7" t="s">
        <v>32</v>
      </c>
      <c r="M5" s="7" t="s">
        <v>33</v>
      </c>
      <c r="N5" s="7" t="s">
        <v>34</v>
      </c>
      <c r="O5" s="171" t="s">
        <v>35</v>
      </c>
      <c r="P5" s="157"/>
    </row>
    <row r="6" spans="1:16" ht="15.4">
      <c r="A6" s="151"/>
      <c r="B6" s="154"/>
      <c r="C6" s="9">
        <v>14</v>
      </c>
      <c r="D6" s="7">
        <v>22</v>
      </c>
      <c r="E6" s="10">
        <v>26</v>
      </c>
      <c r="F6" s="10">
        <v>32</v>
      </c>
      <c r="G6" s="10">
        <v>37</v>
      </c>
      <c r="H6" s="10">
        <v>41</v>
      </c>
      <c r="I6" s="10">
        <v>44</v>
      </c>
      <c r="J6" s="11">
        <v>50</v>
      </c>
      <c r="K6" s="155">
        <v>62</v>
      </c>
      <c r="L6" s="156"/>
      <c r="M6" s="156"/>
      <c r="N6" s="156"/>
      <c r="O6" s="156"/>
      <c r="P6" s="157"/>
    </row>
    <row r="7" spans="1:16" ht="15.4">
      <c r="A7" s="152"/>
      <c r="B7" s="132"/>
      <c r="C7" s="12" t="b">
        <v>0</v>
      </c>
      <c r="D7" s="10" t="b">
        <v>0</v>
      </c>
      <c r="E7" s="10" t="b">
        <v>0</v>
      </c>
      <c r="F7" s="10" t="b">
        <v>0</v>
      </c>
      <c r="G7" s="10" t="b">
        <v>0</v>
      </c>
      <c r="H7" s="10" t="b">
        <v>0</v>
      </c>
      <c r="I7" s="10" t="b">
        <v>0</v>
      </c>
      <c r="J7" s="11" t="b">
        <v>0</v>
      </c>
      <c r="K7" s="13" t="b">
        <v>0</v>
      </c>
      <c r="L7" s="10" t="b">
        <v>0</v>
      </c>
      <c r="M7" s="10" t="b">
        <v>0</v>
      </c>
      <c r="N7" s="10" t="b">
        <v>0</v>
      </c>
      <c r="O7" s="158" t="b">
        <v>0</v>
      </c>
      <c r="P7" s="153"/>
    </row>
    <row r="8" spans="1:16" ht="12.75">
      <c r="A8" s="161" t="s">
        <v>36</v>
      </c>
      <c r="B8" s="128"/>
      <c r="C8" s="162">
        <f>('Points Calculation'!D10)</f>
        <v>0</v>
      </c>
      <c r="D8" s="165" t="s">
        <v>37</v>
      </c>
      <c r="E8" s="128"/>
      <c r="F8" s="128"/>
      <c r="G8" s="128"/>
      <c r="H8" s="128"/>
      <c r="I8" s="129"/>
      <c r="J8" s="161" t="s">
        <v>8</v>
      </c>
      <c r="K8" s="128"/>
      <c r="L8" s="128"/>
      <c r="M8" s="128"/>
      <c r="N8" s="128"/>
      <c r="O8" s="128"/>
      <c r="P8" s="129"/>
    </row>
    <row r="9" spans="1:16" ht="12.75">
      <c r="A9" s="148"/>
      <c r="B9" s="122"/>
      <c r="C9" s="163"/>
      <c r="D9" s="148"/>
      <c r="E9" s="122"/>
      <c r="F9" s="122"/>
      <c r="G9" s="122"/>
      <c r="H9" s="122"/>
      <c r="I9" s="154"/>
      <c r="J9" s="148"/>
      <c r="K9" s="122"/>
      <c r="L9" s="122"/>
      <c r="M9" s="122"/>
      <c r="N9" s="122"/>
      <c r="O9" s="122"/>
      <c r="P9" s="154"/>
    </row>
    <row r="10" spans="1:16" ht="12.75">
      <c r="A10" s="130"/>
      <c r="B10" s="131"/>
      <c r="C10" s="164"/>
      <c r="D10" s="130"/>
      <c r="E10" s="131"/>
      <c r="F10" s="131"/>
      <c r="G10" s="131"/>
      <c r="H10" s="131"/>
      <c r="I10" s="132"/>
      <c r="J10" s="130"/>
      <c r="K10" s="131"/>
      <c r="L10" s="131"/>
      <c r="M10" s="131"/>
      <c r="N10" s="131"/>
      <c r="O10" s="131"/>
      <c r="P10" s="132"/>
    </row>
    <row r="11" spans="1:16" ht="26.25" customHeight="1">
      <c r="A11" s="166" t="s">
        <v>38</v>
      </c>
      <c r="B11" s="167"/>
      <c r="C11" s="168"/>
      <c r="D11" s="14" t="str">
        <f>'Team &amp; Encounters'!B5</f>
        <v/>
      </c>
      <c r="E11" s="15" t="str">
        <f>'Team &amp; Encounters'!C5</f>
        <v/>
      </c>
      <c r="F11" s="16" t="str">
        <f>'Team &amp; Encounters'!D5</f>
        <v/>
      </c>
      <c r="G11" s="15" t="str">
        <f>'Team &amp; Encounters'!E5</f>
        <v/>
      </c>
      <c r="H11" s="16" t="str">
        <f>'Team &amp; Encounters'!F5</f>
        <v/>
      </c>
      <c r="I11" s="17" t="str">
        <f>'Team &amp; Encounters'!G5</f>
        <v/>
      </c>
      <c r="J11" s="18" t="s">
        <v>39</v>
      </c>
      <c r="K11" s="191" t="s">
        <v>40</v>
      </c>
      <c r="L11" s="167"/>
      <c r="M11" s="191" t="s">
        <v>41</v>
      </c>
      <c r="N11" s="167"/>
      <c r="O11" s="167"/>
      <c r="P11" s="168"/>
    </row>
    <row r="12" spans="1:16" ht="26.25" customHeight="1">
      <c r="A12" s="143" t="s">
        <v>42</v>
      </c>
      <c r="B12" s="134"/>
      <c r="C12" s="19" t="b">
        <v>0</v>
      </c>
      <c r="D12" s="146" t="e">
        <f ca="1">'Team &amp; Encounters'!B6</f>
        <v>#NAME?</v>
      </c>
      <c r="E12" s="147"/>
      <c r="F12" s="150" t="e">
        <f ca="1">'Team &amp; Encounters'!D6</f>
        <v>#NAME?</v>
      </c>
      <c r="G12" s="147"/>
      <c r="H12" s="150" t="e">
        <f ca="1">'Team &amp; Encounters'!F6</f>
        <v>#NAME?</v>
      </c>
      <c r="I12" s="153"/>
      <c r="J12" s="192" t="s">
        <v>43</v>
      </c>
      <c r="K12" s="156"/>
      <c r="L12" s="156"/>
      <c r="M12" s="156"/>
      <c r="N12" s="156"/>
      <c r="O12" s="156"/>
      <c r="P12" s="157"/>
    </row>
    <row r="13" spans="1:16" ht="26.25" customHeight="1">
      <c r="A13" s="143" t="s">
        <v>44</v>
      </c>
      <c r="B13" s="134"/>
      <c r="C13" s="19" t="b">
        <v>0</v>
      </c>
      <c r="D13" s="148"/>
      <c r="E13" s="136"/>
      <c r="F13" s="151"/>
      <c r="G13" s="136"/>
      <c r="H13" s="151"/>
      <c r="I13" s="154"/>
      <c r="J13" s="20"/>
      <c r="K13" s="21" t="s">
        <v>45</v>
      </c>
      <c r="L13" s="22" t="s">
        <v>46</v>
      </c>
      <c r="M13" s="179"/>
      <c r="N13" s="180"/>
      <c r="O13" s="180"/>
      <c r="P13" s="153"/>
    </row>
    <row r="14" spans="1:16" ht="26.25" customHeight="1">
      <c r="A14" s="143" t="s">
        <v>47</v>
      </c>
      <c r="B14" s="134"/>
      <c r="C14" s="19" t="b">
        <v>0</v>
      </c>
      <c r="D14" s="148"/>
      <c r="E14" s="136"/>
      <c r="F14" s="151"/>
      <c r="G14" s="136"/>
      <c r="H14" s="151"/>
      <c r="I14" s="154"/>
      <c r="J14" s="20"/>
      <c r="K14" s="21" t="s">
        <v>48</v>
      </c>
      <c r="L14" s="22" t="s">
        <v>49</v>
      </c>
      <c r="M14" s="151"/>
      <c r="N14" s="122"/>
      <c r="O14" s="122"/>
      <c r="P14" s="154"/>
    </row>
    <row r="15" spans="1:16" ht="26.25" customHeight="1">
      <c r="A15" s="143" t="s">
        <v>50</v>
      </c>
      <c r="B15" s="134"/>
      <c r="C15" s="19" t="b">
        <v>0</v>
      </c>
      <c r="D15" s="148"/>
      <c r="E15" s="136"/>
      <c r="F15" s="151"/>
      <c r="G15" s="136"/>
      <c r="H15" s="151"/>
      <c r="I15" s="154"/>
      <c r="J15" s="20"/>
      <c r="K15" s="21" t="s">
        <v>51</v>
      </c>
      <c r="L15" s="22" t="s">
        <v>52</v>
      </c>
      <c r="M15" s="151"/>
      <c r="N15" s="122"/>
      <c r="O15" s="122"/>
      <c r="P15" s="154"/>
    </row>
    <row r="16" spans="1:16" ht="26.25" customHeight="1">
      <c r="A16" s="143" t="s">
        <v>53</v>
      </c>
      <c r="B16" s="134"/>
      <c r="C16" s="19" t="b">
        <v>0</v>
      </c>
      <c r="D16" s="137"/>
      <c r="E16" s="139"/>
      <c r="F16" s="159"/>
      <c r="G16" s="139"/>
      <c r="H16" s="159"/>
      <c r="I16" s="142"/>
      <c r="J16" s="20"/>
      <c r="K16" s="21" t="s">
        <v>54</v>
      </c>
      <c r="L16" s="22" t="s">
        <v>55</v>
      </c>
      <c r="M16" s="159"/>
      <c r="N16" s="138"/>
      <c r="O16" s="138"/>
      <c r="P16" s="142"/>
    </row>
    <row r="17" spans="1:16" ht="26.25" customHeight="1">
      <c r="A17" s="143" t="s">
        <v>56</v>
      </c>
      <c r="B17" s="134"/>
      <c r="C17" s="19" t="b">
        <v>0</v>
      </c>
      <c r="D17" s="23" t="str">
        <f>'Team &amp; Encounters'!B12</f>
        <v/>
      </c>
      <c r="E17" s="24" t="str">
        <f>'Team &amp; Encounters'!C12</f>
        <v/>
      </c>
      <c r="F17" s="25" t="str">
        <f>'Team &amp; Encounters'!D12</f>
        <v/>
      </c>
      <c r="G17" s="24" t="str">
        <f>'Team &amp; Encounters'!E12</f>
        <v/>
      </c>
      <c r="H17" s="25" t="str">
        <f>'Team &amp; Encounters'!F12</f>
        <v/>
      </c>
      <c r="I17" s="26" t="str">
        <f>'Team &amp; Encounters'!G12</f>
        <v/>
      </c>
      <c r="J17" s="193" t="s">
        <v>57</v>
      </c>
      <c r="K17" s="156"/>
      <c r="L17" s="156"/>
      <c r="M17" s="156"/>
      <c r="N17" s="156"/>
      <c r="O17" s="156"/>
      <c r="P17" s="157"/>
    </row>
    <row r="18" spans="1:16" ht="26.25" customHeight="1">
      <c r="A18" s="144" t="s">
        <v>58</v>
      </c>
      <c r="B18" s="145"/>
      <c r="C18" s="27" t="b">
        <v>0</v>
      </c>
      <c r="D18" s="146" t="e">
        <f ca="1">'Team &amp; Encounters'!B13</f>
        <v>#NAME?</v>
      </c>
      <c r="E18" s="147"/>
      <c r="F18" s="150" t="e">
        <f ca="1">'Team &amp; Encounters'!D13</f>
        <v>#NAME?</v>
      </c>
      <c r="G18" s="147"/>
      <c r="H18" s="150" t="e">
        <f ca="1">'Team &amp; Encounters'!F13</f>
        <v>#NAME?</v>
      </c>
      <c r="I18" s="153"/>
      <c r="J18" s="20"/>
      <c r="K18" s="28" t="s">
        <v>59</v>
      </c>
      <c r="L18" s="29" t="s">
        <v>60</v>
      </c>
      <c r="M18" s="179"/>
      <c r="N18" s="180"/>
      <c r="O18" s="180"/>
      <c r="P18" s="153"/>
    </row>
    <row r="19" spans="1:16" ht="26.25" customHeight="1">
      <c r="A19" s="30"/>
      <c r="B19" s="30"/>
      <c r="C19" s="30"/>
      <c r="D19" s="148"/>
      <c r="E19" s="136"/>
      <c r="F19" s="151"/>
      <c r="G19" s="136"/>
      <c r="H19" s="151"/>
      <c r="I19" s="154"/>
      <c r="J19" s="20"/>
      <c r="K19" s="21" t="s">
        <v>61</v>
      </c>
      <c r="L19" s="22" t="s">
        <v>62</v>
      </c>
      <c r="M19" s="151"/>
      <c r="N19" s="122"/>
      <c r="O19" s="122"/>
      <c r="P19" s="154"/>
    </row>
    <row r="20" spans="1:16" ht="26.25" customHeight="1">
      <c r="A20" s="174" t="s">
        <v>63</v>
      </c>
      <c r="B20" s="167"/>
      <c r="C20" s="168"/>
      <c r="D20" s="148"/>
      <c r="E20" s="136"/>
      <c r="F20" s="151"/>
      <c r="G20" s="136"/>
      <c r="H20" s="151"/>
      <c r="I20" s="154"/>
      <c r="J20" s="20"/>
      <c r="K20" s="28" t="s">
        <v>64</v>
      </c>
      <c r="L20" s="29" t="s">
        <v>65</v>
      </c>
      <c r="M20" s="151"/>
      <c r="N20" s="122"/>
      <c r="O20" s="122"/>
      <c r="P20" s="154"/>
    </row>
    <row r="21" spans="1:16" ht="26.25" customHeight="1">
      <c r="A21" s="133" t="s">
        <v>66</v>
      </c>
      <c r="B21" s="134"/>
      <c r="C21" s="31" t="b">
        <v>0</v>
      </c>
      <c r="D21" s="148"/>
      <c r="E21" s="136"/>
      <c r="F21" s="151"/>
      <c r="G21" s="136"/>
      <c r="H21" s="151"/>
      <c r="I21" s="154"/>
      <c r="J21" s="20"/>
      <c r="K21" s="28" t="s">
        <v>67</v>
      </c>
      <c r="L21" s="29" t="s">
        <v>68</v>
      </c>
      <c r="M21" s="151"/>
      <c r="N21" s="122"/>
      <c r="O21" s="122"/>
      <c r="P21" s="154"/>
    </row>
    <row r="22" spans="1:16" ht="26.25" customHeight="1">
      <c r="A22" s="133" t="s">
        <v>69</v>
      </c>
      <c r="B22" s="134"/>
      <c r="C22" s="31" t="b">
        <v>0</v>
      </c>
      <c r="D22" s="130"/>
      <c r="E22" s="149"/>
      <c r="F22" s="152"/>
      <c r="G22" s="149"/>
      <c r="H22" s="152"/>
      <c r="I22" s="132"/>
      <c r="J22" s="188" t="s">
        <v>70</v>
      </c>
      <c r="K22" s="156"/>
      <c r="L22" s="156"/>
      <c r="M22" s="156"/>
      <c r="N22" s="156"/>
      <c r="O22" s="156"/>
      <c r="P22" s="157"/>
    </row>
    <row r="23" spans="1:16" ht="26.25" customHeight="1">
      <c r="A23" s="133" t="s">
        <v>71</v>
      </c>
      <c r="B23" s="134"/>
      <c r="C23" s="31" t="b">
        <v>0</v>
      </c>
      <c r="D23" s="127" t="s">
        <v>72</v>
      </c>
      <c r="E23" s="128"/>
      <c r="F23" s="128"/>
      <c r="G23" s="128"/>
      <c r="H23" s="128"/>
      <c r="I23" s="129"/>
      <c r="J23" s="20"/>
      <c r="K23" s="21" t="s">
        <v>73</v>
      </c>
      <c r="L23" s="22" t="s">
        <v>74</v>
      </c>
      <c r="M23" s="181"/>
      <c r="N23" s="180"/>
      <c r="O23" s="180"/>
      <c r="P23" s="153"/>
    </row>
    <row r="24" spans="1:16" ht="26.25" customHeight="1">
      <c r="A24" s="133" t="s">
        <v>75</v>
      </c>
      <c r="B24" s="134"/>
      <c r="C24" s="31" t="b">
        <v>0</v>
      </c>
      <c r="D24" s="130"/>
      <c r="E24" s="131"/>
      <c r="F24" s="131"/>
      <c r="G24" s="131"/>
      <c r="H24" s="131"/>
      <c r="I24" s="132"/>
      <c r="J24" s="20"/>
      <c r="K24" s="21" t="s">
        <v>76</v>
      </c>
      <c r="L24" s="22" t="s">
        <v>77</v>
      </c>
      <c r="M24" s="122"/>
      <c r="N24" s="122"/>
      <c r="O24" s="122"/>
      <c r="P24" s="154"/>
    </row>
    <row r="25" spans="1:16" ht="26.25" customHeight="1">
      <c r="A25" s="175" t="s">
        <v>78</v>
      </c>
      <c r="B25" s="145"/>
      <c r="C25" s="32" t="b">
        <v>0</v>
      </c>
      <c r="D25" s="135" t="s">
        <v>79</v>
      </c>
      <c r="E25" s="122"/>
      <c r="F25" s="122"/>
      <c r="G25" s="136"/>
      <c r="H25" s="140" t="s">
        <v>80</v>
      </c>
      <c r="I25" s="141" t="b">
        <v>0</v>
      </c>
      <c r="J25" s="20"/>
      <c r="K25" s="21" t="s">
        <v>81</v>
      </c>
      <c r="L25" s="29" t="s">
        <v>82</v>
      </c>
      <c r="M25" s="138"/>
      <c r="N25" s="138"/>
      <c r="O25" s="138"/>
      <c r="P25" s="142"/>
    </row>
    <row r="26" spans="1:16" ht="26.25" customHeight="1">
      <c r="A26" s="30"/>
      <c r="B26" s="30"/>
      <c r="C26" s="33"/>
      <c r="D26" s="137"/>
      <c r="E26" s="138"/>
      <c r="F26" s="138"/>
      <c r="G26" s="139"/>
      <c r="H26" s="139"/>
      <c r="I26" s="142"/>
      <c r="J26" s="186" t="s">
        <v>83</v>
      </c>
      <c r="K26" s="156"/>
      <c r="L26" s="156"/>
      <c r="M26" s="156"/>
      <c r="N26" s="156"/>
      <c r="O26" s="156"/>
      <c r="P26" s="157"/>
    </row>
    <row r="27" spans="1:16" ht="26.25" customHeight="1">
      <c r="A27" s="176" t="s">
        <v>84</v>
      </c>
      <c r="B27" s="167"/>
      <c r="C27" s="168"/>
      <c r="D27" s="135" t="s">
        <v>85</v>
      </c>
      <c r="E27" s="122"/>
      <c r="F27" s="122"/>
      <c r="G27" s="136"/>
      <c r="H27" s="140" t="s">
        <v>86</v>
      </c>
      <c r="I27" s="141" t="b">
        <v>0</v>
      </c>
      <c r="J27" s="20"/>
      <c r="K27" s="21" t="s">
        <v>87</v>
      </c>
      <c r="L27" s="29" t="s">
        <v>88</v>
      </c>
      <c r="M27" s="182"/>
      <c r="N27" s="180"/>
      <c r="O27" s="180"/>
      <c r="P27" s="153"/>
    </row>
    <row r="28" spans="1:16" ht="26.25" customHeight="1">
      <c r="A28" s="177" t="s">
        <v>89</v>
      </c>
      <c r="B28" s="134"/>
      <c r="C28" s="34" t="b">
        <v>0</v>
      </c>
      <c r="D28" s="137"/>
      <c r="E28" s="138"/>
      <c r="F28" s="138"/>
      <c r="G28" s="139"/>
      <c r="H28" s="139"/>
      <c r="I28" s="142"/>
      <c r="J28" s="20"/>
      <c r="K28" s="21" t="s">
        <v>90</v>
      </c>
      <c r="L28" s="22" t="s">
        <v>91</v>
      </c>
      <c r="M28" s="122"/>
      <c r="N28" s="122"/>
      <c r="O28" s="122"/>
      <c r="P28" s="154"/>
    </row>
    <row r="29" spans="1:16" ht="26.25" customHeight="1">
      <c r="A29" s="177" t="s">
        <v>92</v>
      </c>
      <c r="B29" s="134"/>
      <c r="C29" s="34" t="b">
        <v>0</v>
      </c>
      <c r="D29" s="135" t="s">
        <v>93</v>
      </c>
      <c r="E29" s="122"/>
      <c r="F29" s="122"/>
      <c r="G29" s="136"/>
      <c r="H29" s="140" t="s">
        <v>94</v>
      </c>
      <c r="I29" s="141" t="b">
        <v>0</v>
      </c>
      <c r="J29" s="20"/>
      <c r="K29" s="21" t="s">
        <v>95</v>
      </c>
      <c r="L29" s="22" t="s">
        <v>96</v>
      </c>
      <c r="M29" s="122"/>
      <c r="N29" s="122"/>
      <c r="O29" s="122"/>
      <c r="P29" s="154"/>
    </row>
    <row r="30" spans="1:16" ht="26.25" customHeight="1">
      <c r="A30" s="173" t="s">
        <v>97</v>
      </c>
      <c r="B30" s="145"/>
      <c r="C30" s="35" t="b">
        <v>0</v>
      </c>
      <c r="D30" s="137"/>
      <c r="E30" s="138"/>
      <c r="F30" s="138"/>
      <c r="G30" s="139"/>
      <c r="H30" s="139"/>
      <c r="I30" s="142"/>
      <c r="J30" s="20"/>
      <c r="K30" s="21" t="s">
        <v>98</v>
      </c>
      <c r="L30" s="22" t="s">
        <v>99</v>
      </c>
      <c r="M30" s="122"/>
      <c r="N30" s="122"/>
      <c r="O30" s="122"/>
      <c r="P30" s="154"/>
    </row>
    <row r="31" spans="1:16" ht="26.25" customHeight="1">
      <c r="A31" s="172"/>
      <c r="B31" s="122"/>
      <c r="C31" s="122"/>
      <c r="D31" s="135" t="s">
        <v>100</v>
      </c>
      <c r="E31" s="122"/>
      <c r="F31" s="122"/>
      <c r="G31" s="136"/>
      <c r="H31" s="140" t="s">
        <v>101</v>
      </c>
      <c r="I31" s="141" t="b">
        <v>0</v>
      </c>
      <c r="J31" s="20"/>
      <c r="K31" s="21" t="s">
        <v>102</v>
      </c>
      <c r="L31" s="22" t="s">
        <v>103</v>
      </c>
      <c r="M31" s="138"/>
      <c r="N31" s="138"/>
      <c r="O31" s="138"/>
      <c r="P31" s="142"/>
    </row>
    <row r="32" spans="1:16" ht="26.25" customHeight="1">
      <c r="A32" s="122"/>
      <c r="B32" s="122"/>
      <c r="C32" s="122"/>
      <c r="D32" s="137"/>
      <c r="E32" s="138"/>
      <c r="F32" s="138"/>
      <c r="G32" s="139"/>
      <c r="H32" s="139"/>
      <c r="I32" s="142"/>
      <c r="J32" s="187" t="s">
        <v>104</v>
      </c>
      <c r="K32" s="156"/>
      <c r="L32" s="156"/>
      <c r="M32" s="156"/>
      <c r="N32" s="156"/>
      <c r="O32" s="156"/>
      <c r="P32" s="157"/>
    </row>
    <row r="33" spans="1:16" ht="26.25" customHeight="1">
      <c r="A33" s="122"/>
      <c r="B33" s="122"/>
      <c r="C33" s="122"/>
      <c r="D33" s="135" t="s">
        <v>105</v>
      </c>
      <c r="E33" s="122"/>
      <c r="F33" s="122"/>
      <c r="G33" s="136"/>
      <c r="H33" s="140" t="s">
        <v>106</v>
      </c>
      <c r="I33" s="141" t="b">
        <v>0</v>
      </c>
      <c r="J33" s="20"/>
      <c r="K33" s="21" t="s">
        <v>107</v>
      </c>
      <c r="L33" s="22" t="s">
        <v>108</v>
      </c>
      <c r="M33" s="181"/>
      <c r="N33" s="180"/>
      <c r="O33" s="180"/>
      <c r="P33" s="153"/>
    </row>
    <row r="34" spans="1:16" ht="26.25" customHeight="1">
      <c r="A34" s="122"/>
      <c r="B34" s="122"/>
      <c r="C34" s="122"/>
      <c r="D34" s="137"/>
      <c r="E34" s="138"/>
      <c r="F34" s="138"/>
      <c r="G34" s="139"/>
      <c r="H34" s="139"/>
      <c r="I34" s="142"/>
      <c r="J34" s="20"/>
      <c r="K34" s="21" t="s">
        <v>109</v>
      </c>
      <c r="L34" s="22" t="s">
        <v>108</v>
      </c>
      <c r="M34" s="122"/>
      <c r="N34" s="122"/>
      <c r="O34" s="122"/>
      <c r="P34" s="154"/>
    </row>
    <row r="35" spans="1:16" ht="26.25" customHeight="1">
      <c r="A35" s="122"/>
      <c r="B35" s="122"/>
      <c r="C35" s="122"/>
      <c r="D35" s="135" t="s">
        <v>110</v>
      </c>
      <c r="E35" s="122"/>
      <c r="F35" s="122"/>
      <c r="G35" s="136"/>
      <c r="H35" s="140" t="s">
        <v>111</v>
      </c>
      <c r="I35" s="141" t="b">
        <v>0</v>
      </c>
      <c r="J35" s="20"/>
      <c r="K35" s="21" t="s">
        <v>112</v>
      </c>
      <c r="L35" s="22" t="s">
        <v>113</v>
      </c>
      <c r="M35" s="122"/>
      <c r="N35" s="122"/>
      <c r="O35" s="122"/>
      <c r="P35" s="154"/>
    </row>
    <row r="36" spans="1:16" ht="26.25" customHeight="1">
      <c r="A36" s="122"/>
      <c r="B36" s="122"/>
      <c r="C36" s="122"/>
      <c r="D36" s="137"/>
      <c r="E36" s="138"/>
      <c r="F36" s="138"/>
      <c r="G36" s="139"/>
      <c r="H36" s="139"/>
      <c r="I36" s="142"/>
      <c r="J36" s="20"/>
      <c r="K36" s="21" t="s">
        <v>114</v>
      </c>
      <c r="L36" s="22" t="s">
        <v>115</v>
      </c>
      <c r="M36" s="122"/>
      <c r="N36" s="122"/>
      <c r="O36" s="122"/>
      <c r="P36" s="154"/>
    </row>
    <row r="37" spans="1:16" ht="26.25" customHeight="1">
      <c r="A37" s="122"/>
      <c r="B37" s="122"/>
      <c r="C37" s="122"/>
      <c r="D37" s="135" t="s">
        <v>116</v>
      </c>
      <c r="E37" s="122"/>
      <c r="F37" s="122"/>
      <c r="G37" s="136"/>
      <c r="H37" s="140" t="s">
        <v>117</v>
      </c>
      <c r="I37" s="141" t="b">
        <v>0</v>
      </c>
      <c r="J37" s="20"/>
      <c r="K37" s="21" t="s">
        <v>118</v>
      </c>
      <c r="L37" s="22" t="s">
        <v>115</v>
      </c>
      <c r="M37" s="122"/>
      <c r="N37" s="122"/>
      <c r="O37" s="122"/>
      <c r="P37" s="154"/>
    </row>
    <row r="38" spans="1:16" ht="26.25" customHeight="1">
      <c r="A38" s="122"/>
      <c r="B38" s="122"/>
      <c r="C38" s="122"/>
      <c r="D38" s="137"/>
      <c r="E38" s="138"/>
      <c r="F38" s="138"/>
      <c r="G38" s="139"/>
      <c r="H38" s="139"/>
      <c r="I38" s="142"/>
      <c r="J38" s="183" t="s">
        <v>119</v>
      </c>
      <c r="K38" s="156"/>
      <c r="L38" s="156"/>
      <c r="M38" s="156"/>
      <c r="N38" s="156"/>
      <c r="O38" s="156"/>
      <c r="P38" s="157"/>
    </row>
    <row r="39" spans="1:16" ht="26.25" customHeight="1">
      <c r="A39" s="122"/>
      <c r="B39" s="122"/>
      <c r="C39" s="122"/>
      <c r="D39" s="135" t="s">
        <v>120</v>
      </c>
      <c r="E39" s="122"/>
      <c r="F39" s="122"/>
      <c r="G39" s="136"/>
      <c r="H39" s="140" t="s">
        <v>121</v>
      </c>
      <c r="I39" s="141" t="b">
        <v>0</v>
      </c>
      <c r="J39" s="20"/>
      <c r="K39" s="21" t="s">
        <v>122</v>
      </c>
      <c r="L39" s="22" t="s">
        <v>123</v>
      </c>
      <c r="M39" s="184"/>
      <c r="N39" s="122"/>
      <c r="O39" s="122"/>
      <c r="P39" s="154"/>
    </row>
    <row r="40" spans="1:16" ht="26.25" customHeight="1">
      <c r="A40" s="122"/>
      <c r="B40" s="122"/>
      <c r="C40" s="122"/>
      <c r="D40" s="137"/>
      <c r="E40" s="138"/>
      <c r="F40" s="138"/>
      <c r="G40" s="139"/>
      <c r="H40" s="139"/>
      <c r="I40" s="142"/>
      <c r="J40" s="20"/>
      <c r="K40" s="21" t="s">
        <v>124</v>
      </c>
      <c r="L40" s="22" t="s">
        <v>125</v>
      </c>
      <c r="M40" s="122"/>
      <c r="N40" s="122"/>
      <c r="O40" s="122"/>
      <c r="P40" s="154"/>
    </row>
    <row r="41" spans="1:16" ht="26.25" customHeight="1">
      <c r="A41" s="122"/>
      <c r="B41" s="122"/>
      <c r="C41" s="122"/>
      <c r="D41" s="135" t="s">
        <v>126</v>
      </c>
      <c r="E41" s="122"/>
      <c r="F41" s="122"/>
      <c r="G41" s="136"/>
      <c r="H41" s="140" t="s">
        <v>127</v>
      </c>
      <c r="I41" s="141" t="b">
        <v>0</v>
      </c>
      <c r="J41" s="20"/>
      <c r="K41" s="21" t="s">
        <v>128</v>
      </c>
      <c r="L41" s="22" t="s">
        <v>129</v>
      </c>
      <c r="M41" s="122"/>
      <c r="N41" s="122"/>
      <c r="O41" s="122"/>
      <c r="P41" s="154"/>
    </row>
    <row r="42" spans="1:16" ht="26.25" customHeight="1">
      <c r="A42" s="122"/>
      <c r="B42" s="122"/>
      <c r="C42" s="122"/>
      <c r="D42" s="130"/>
      <c r="E42" s="131"/>
      <c r="F42" s="131"/>
      <c r="G42" s="149"/>
      <c r="H42" s="149"/>
      <c r="I42" s="132"/>
      <c r="J42" s="20"/>
      <c r="K42" s="21" t="s">
        <v>130</v>
      </c>
      <c r="L42" s="22" t="s">
        <v>131</v>
      </c>
      <c r="M42" s="138"/>
      <c r="N42" s="138"/>
      <c r="O42" s="138"/>
      <c r="P42" s="142"/>
    </row>
    <row r="43" spans="1:16" ht="26.25" customHeight="1">
      <c r="A43" s="122"/>
      <c r="B43" s="122"/>
      <c r="C43" s="122"/>
      <c r="D43" s="172"/>
      <c r="E43" s="122"/>
      <c r="F43" s="122"/>
      <c r="G43" s="122"/>
      <c r="H43" s="122"/>
      <c r="I43" s="122"/>
      <c r="J43" s="185" t="s">
        <v>132</v>
      </c>
      <c r="K43" s="156"/>
      <c r="L43" s="156"/>
      <c r="M43" s="156"/>
      <c r="N43" s="156"/>
      <c r="O43" s="156"/>
      <c r="P43" s="157"/>
    </row>
    <row r="44" spans="1:16" ht="26.25" customHeight="1">
      <c r="A44" s="122"/>
      <c r="B44" s="122"/>
      <c r="C44" s="122"/>
      <c r="D44" s="122"/>
      <c r="E44" s="122"/>
      <c r="F44" s="122"/>
      <c r="G44" s="122"/>
      <c r="H44" s="122"/>
      <c r="I44" s="122"/>
      <c r="J44" s="20"/>
      <c r="K44" s="21" t="s">
        <v>133</v>
      </c>
      <c r="L44" s="22" t="s">
        <v>134</v>
      </c>
      <c r="M44" s="178"/>
      <c r="N44" s="122"/>
      <c r="O44" s="122"/>
      <c r="P44" s="154"/>
    </row>
    <row r="45" spans="1:16" ht="26.25" customHeight="1">
      <c r="A45" s="122"/>
      <c r="B45" s="122"/>
      <c r="C45" s="122"/>
      <c r="D45" s="122"/>
      <c r="E45" s="122"/>
      <c r="F45" s="122"/>
      <c r="G45" s="122"/>
      <c r="H45" s="122"/>
      <c r="I45" s="122"/>
      <c r="J45" s="20"/>
      <c r="K45" s="21" t="s">
        <v>61</v>
      </c>
      <c r="L45" s="22" t="s">
        <v>135</v>
      </c>
      <c r="M45" s="122"/>
      <c r="N45" s="122"/>
      <c r="O45" s="122"/>
      <c r="P45" s="154"/>
    </row>
    <row r="46" spans="1:16" ht="26.25" customHeight="1">
      <c r="A46" s="122"/>
      <c r="B46" s="122"/>
      <c r="C46" s="122"/>
      <c r="D46" s="122"/>
      <c r="E46" s="122"/>
      <c r="F46" s="122"/>
      <c r="G46" s="122"/>
      <c r="H46" s="122"/>
      <c r="I46" s="122"/>
      <c r="J46" s="20"/>
      <c r="K46" s="21" t="s">
        <v>136</v>
      </c>
      <c r="L46" s="22" t="s">
        <v>137</v>
      </c>
      <c r="M46" s="122"/>
      <c r="N46" s="122"/>
      <c r="O46" s="122"/>
      <c r="P46" s="154"/>
    </row>
    <row r="47" spans="1:16" ht="26.25" customHeight="1">
      <c r="A47" s="122"/>
      <c r="B47" s="122"/>
      <c r="C47" s="122"/>
      <c r="D47" s="122"/>
      <c r="E47" s="122"/>
      <c r="F47" s="122"/>
      <c r="G47" s="122"/>
      <c r="H47" s="122"/>
      <c r="I47" s="122"/>
      <c r="J47" s="20"/>
      <c r="K47" s="21" t="s">
        <v>138</v>
      </c>
      <c r="L47" s="22" t="s">
        <v>137</v>
      </c>
      <c r="M47" s="138"/>
      <c r="N47" s="138"/>
      <c r="O47" s="138"/>
      <c r="P47" s="142"/>
    </row>
    <row r="48" spans="1:16" ht="26.25" customHeight="1">
      <c r="A48" s="122"/>
      <c r="B48" s="122"/>
      <c r="C48" s="122"/>
      <c r="D48" s="122"/>
      <c r="E48" s="122"/>
      <c r="F48" s="122"/>
      <c r="G48" s="122"/>
      <c r="H48" s="122"/>
      <c r="I48" s="122"/>
      <c r="J48" s="189" t="s">
        <v>139</v>
      </c>
      <c r="K48" s="156"/>
      <c r="L48" s="156"/>
      <c r="M48" s="156"/>
      <c r="N48" s="156"/>
      <c r="O48" s="156"/>
      <c r="P48" s="157"/>
    </row>
    <row r="49" spans="1:16" ht="26.25" customHeight="1">
      <c r="A49" s="122"/>
      <c r="B49" s="122"/>
      <c r="C49" s="122"/>
      <c r="D49" s="122"/>
      <c r="E49" s="122"/>
      <c r="F49" s="122"/>
      <c r="G49" s="122"/>
      <c r="H49" s="122"/>
      <c r="I49" s="122"/>
      <c r="J49" s="20"/>
      <c r="K49" s="21" t="s">
        <v>133</v>
      </c>
      <c r="L49" s="22" t="s">
        <v>140</v>
      </c>
      <c r="M49" s="178"/>
      <c r="N49" s="122"/>
      <c r="O49" s="122"/>
      <c r="P49" s="154"/>
    </row>
    <row r="50" spans="1:16" ht="26.25" customHeight="1">
      <c r="A50" s="122"/>
      <c r="B50" s="122"/>
      <c r="C50" s="122"/>
      <c r="D50" s="122"/>
      <c r="E50" s="122"/>
      <c r="F50" s="122"/>
      <c r="G50" s="122"/>
      <c r="H50" s="122"/>
      <c r="I50" s="122"/>
      <c r="J50" s="20"/>
      <c r="K50" s="21" t="s">
        <v>141</v>
      </c>
      <c r="L50" s="22" t="s">
        <v>142</v>
      </c>
      <c r="M50" s="122"/>
      <c r="N50" s="122"/>
      <c r="O50" s="122"/>
      <c r="P50" s="154"/>
    </row>
    <row r="51" spans="1:16" ht="26.25" customHeight="1">
      <c r="A51" s="122"/>
      <c r="B51" s="122"/>
      <c r="C51" s="122"/>
      <c r="D51" s="122"/>
      <c r="E51" s="122"/>
      <c r="F51" s="122"/>
      <c r="G51" s="122"/>
      <c r="H51" s="122"/>
      <c r="I51" s="122"/>
      <c r="J51" s="20"/>
      <c r="K51" s="21" t="s">
        <v>143</v>
      </c>
      <c r="L51" s="22" t="s">
        <v>144</v>
      </c>
      <c r="M51" s="122"/>
      <c r="N51" s="122"/>
      <c r="O51" s="122"/>
      <c r="P51" s="154"/>
    </row>
    <row r="52" spans="1:16" ht="26.25" customHeight="1">
      <c r="A52" s="122"/>
      <c r="B52" s="122"/>
      <c r="C52" s="122"/>
      <c r="D52" s="122"/>
      <c r="E52" s="122"/>
      <c r="F52" s="122"/>
      <c r="G52" s="122"/>
      <c r="H52" s="122"/>
      <c r="I52" s="122"/>
      <c r="J52" s="20"/>
      <c r="K52" s="21" t="s">
        <v>145</v>
      </c>
      <c r="L52" s="22" t="s">
        <v>144</v>
      </c>
      <c r="M52" s="122"/>
      <c r="N52" s="122"/>
      <c r="O52" s="122"/>
      <c r="P52" s="154"/>
    </row>
    <row r="53" spans="1:16" ht="26.25" customHeight="1">
      <c r="A53" s="122"/>
      <c r="B53" s="122"/>
      <c r="C53" s="122"/>
      <c r="D53" s="122"/>
      <c r="E53" s="122"/>
      <c r="F53" s="122"/>
      <c r="G53" s="122"/>
      <c r="H53" s="122"/>
      <c r="I53" s="122"/>
      <c r="J53" s="20"/>
      <c r="K53" s="21" t="s">
        <v>146</v>
      </c>
      <c r="L53" s="22" t="s">
        <v>144</v>
      </c>
      <c r="M53" s="122"/>
      <c r="N53" s="122"/>
      <c r="O53" s="122"/>
      <c r="P53" s="154"/>
    </row>
    <row r="54" spans="1:16" ht="26.25" customHeight="1">
      <c r="A54" s="122"/>
      <c r="B54" s="122"/>
      <c r="C54" s="122"/>
      <c r="D54" s="122"/>
      <c r="E54" s="122"/>
      <c r="F54" s="122"/>
      <c r="G54" s="122"/>
      <c r="H54" s="122"/>
      <c r="I54" s="122"/>
      <c r="J54" s="20"/>
      <c r="K54" s="21" t="s">
        <v>147</v>
      </c>
      <c r="L54" s="22" t="s">
        <v>144</v>
      </c>
      <c r="M54" s="122"/>
      <c r="N54" s="122"/>
      <c r="O54" s="122"/>
      <c r="P54" s="154"/>
    </row>
    <row r="55" spans="1:16" ht="26.25" customHeight="1">
      <c r="A55" s="122"/>
      <c r="B55" s="122"/>
      <c r="C55" s="122"/>
      <c r="D55" s="122"/>
      <c r="E55" s="122"/>
      <c r="F55" s="122"/>
      <c r="G55" s="122"/>
      <c r="H55" s="122"/>
      <c r="I55" s="122"/>
      <c r="J55" s="20"/>
      <c r="K55" s="21" t="s">
        <v>148</v>
      </c>
      <c r="L55" s="22" t="s">
        <v>149</v>
      </c>
      <c r="M55" s="122"/>
      <c r="N55" s="122"/>
      <c r="O55" s="122"/>
      <c r="P55" s="154"/>
    </row>
    <row r="56" spans="1:16" ht="26.25" customHeight="1">
      <c r="A56" s="122"/>
      <c r="B56" s="122"/>
      <c r="C56" s="122"/>
      <c r="D56" s="122"/>
      <c r="E56" s="122"/>
      <c r="F56" s="122"/>
      <c r="G56" s="122"/>
      <c r="H56" s="122"/>
      <c r="I56" s="122"/>
      <c r="J56" s="190" t="s">
        <v>150</v>
      </c>
      <c r="K56" s="156"/>
      <c r="L56" s="156"/>
      <c r="M56" s="156"/>
      <c r="N56" s="156"/>
      <c r="O56" s="156"/>
      <c r="P56" s="157"/>
    </row>
    <row r="57" spans="1:16" ht="26.25" customHeight="1">
      <c r="A57" s="122"/>
      <c r="B57" s="122"/>
      <c r="C57" s="122"/>
      <c r="D57" s="122"/>
      <c r="E57" s="122"/>
      <c r="F57" s="122"/>
      <c r="G57" s="122"/>
      <c r="H57" s="122"/>
      <c r="I57" s="122"/>
      <c r="J57" s="20"/>
      <c r="K57" s="21" t="s">
        <v>151</v>
      </c>
      <c r="L57" s="22" t="s">
        <v>152</v>
      </c>
      <c r="M57" s="178"/>
      <c r="N57" s="122"/>
      <c r="O57" s="122"/>
      <c r="P57" s="154"/>
    </row>
    <row r="58" spans="1:16" ht="26.25" customHeight="1">
      <c r="A58" s="122"/>
      <c r="B58" s="122"/>
      <c r="C58" s="122"/>
      <c r="D58" s="122"/>
      <c r="E58" s="122"/>
      <c r="F58" s="122"/>
      <c r="G58" s="122"/>
      <c r="H58" s="122"/>
      <c r="I58" s="122"/>
      <c r="J58" s="20"/>
      <c r="K58" s="21" t="s">
        <v>153</v>
      </c>
      <c r="L58" s="22" t="s">
        <v>152</v>
      </c>
      <c r="M58" s="122"/>
      <c r="N58" s="122"/>
      <c r="O58" s="122"/>
      <c r="P58" s="154"/>
    </row>
    <row r="59" spans="1:16" ht="26.25" customHeight="1">
      <c r="A59" s="122"/>
      <c r="B59" s="122"/>
      <c r="C59" s="122"/>
      <c r="D59" s="122"/>
      <c r="E59" s="122"/>
      <c r="F59" s="122"/>
      <c r="G59" s="122"/>
      <c r="H59" s="122"/>
      <c r="I59" s="122"/>
      <c r="J59" s="20"/>
      <c r="K59" s="21" t="s">
        <v>154</v>
      </c>
      <c r="L59" s="22" t="s">
        <v>152</v>
      </c>
      <c r="M59" s="122"/>
      <c r="N59" s="122"/>
      <c r="O59" s="122"/>
      <c r="P59" s="154"/>
    </row>
    <row r="60" spans="1:16" ht="26.25" customHeight="1">
      <c r="A60" s="122"/>
      <c r="B60" s="122"/>
      <c r="C60" s="122"/>
      <c r="D60" s="122"/>
      <c r="E60" s="122"/>
      <c r="F60" s="122"/>
      <c r="G60" s="122"/>
      <c r="H60" s="122"/>
      <c r="I60" s="122"/>
      <c r="J60" s="20"/>
      <c r="K60" s="21" t="s">
        <v>155</v>
      </c>
      <c r="L60" s="22" t="s">
        <v>152</v>
      </c>
      <c r="M60" s="122"/>
      <c r="N60" s="122"/>
      <c r="O60" s="122"/>
      <c r="P60" s="154"/>
    </row>
    <row r="61" spans="1:16" ht="26.25" customHeight="1">
      <c r="A61" s="122"/>
      <c r="B61" s="122"/>
      <c r="C61" s="122"/>
      <c r="D61" s="122"/>
      <c r="E61" s="122"/>
      <c r="F61" s="122"/>
      <c r="G61" s="122"/>
      <c r="H61" s="122"/>
      <c r="I61" s="122"/>
      <c r="J61" s="20"/>
      <c r="K61" s="21" t="s">
        <v>156</v>
      </c>
      <c r="L61" s="22" t="s">
        <v>152</v>
      </c>
      <c r="M61" s="122"/>
      <c r="N61" s="122"/>
      <c r="O61" s="122"/>
      <c r="P61" s="154"/>
    </row>
    <row r="62" spans="1:16" ht="26.25" customHeight="1">
      <c r="A62" s="122"/>
      <c r="B62" s="122"/>
      <c r="C62" s="122"/>
      <c r="D62" s="122"/>
      <c r="E62" s="122"/>
      <c r="F62" s="122"/>
      <c r="G62" s="122"/>
      <c r="H62" s="122"/>
      <c r="I62" s="122"/>
      <c r="J62" s="20"/>
      <c r="K62" s="21" t="s">
        <v>157</v>
      </c>
      <c r="L62" s="22" t="s">
        <v>152</v>
      </c>
      <c r="M62" s="122"/>
      <c r="N62" s="122"/>
      <c r="O62" s="122"/>
      <c r="P62" s="154"/>
    </row>
    <row r="63" spans="1:16" ht="26.25" customHeight="1">
      <c r="A63" s="122"/>
      <c r="B63" s="122"/>
      <c r="C63" s="122"/>
      <c r="D63" s="122"/>
      <c r="E63" s="122"/>
      <c r="F63" s="122"/>
      <c r="G63" s="122"/>
      <c r="H63" s="122"/>
      <c r="I63" s="122"/>
      <c r="J63" s="20"/>
      <c r="K63" s="21" t="s">
        <v>158</v>
      </c>
      <c r="L63" s="22" t="s">
        <v>159</v>
      </c>
      <c r="M63" s="122"/>
      <c r="N63" s="122"/>
      <c r="O63" s="122"/>
      <c r="P63" s="154"/>
    </row>
    <row r="64" spans="1:16" ht="26.25" customHeight="1">
      <c r="A64" s="122"/>
      <c r="B64" s="122"/>
      <c r="C64" s="122"/>
      <c r="D64" s="122"/>
      <c r="E64" s="122"/>
      <c r="F64" s="122"/>
      <c r="G64" s="122"/>
      <c r="H64" s="122"/>
      <c r="I64" s="122"/>
      <c r="J64" s="20"/>
      <c r="K64" s="21" t="s">
        <v>160</v>
      </c>
      <c r="L64" s="22" t="s">
        <v>152</v>
      </c>
      <c r="M64" s="178"/>
      <c r="N64" s="122"/>
      <c r="O64" s="122"/>
      <c r="P64" s="154"/>
    </row>
    <row r="65" spans="1:16" ht="26.25" customHeight="1">
      <c r="A65" s="122"/>
      <c r="B65" s="122"/>
      <c r="C65" s="122"/>
      <c r="D65" s="122"/>
      <c r="E65" s="122"/>
      <c r="F65" s="122"/>
      <c r="G65" s="122"/>
      <c r="H65" s="122"/>
      <c r="I65" s="122"/>
      <c r="J65" s="20"/>
      <c r="K65" s="21" t="s">
        <v>161</v>
      </c>
      <c r="L65" s="22" t="s">
        <v>152</v>
      </c>
      <c r="M65" s="122"/>
      <c r="N65" s="122"/>
      <c r="O65" s="122"/>
      <c r="P65" s="154"/>
    </row>
    <row r="66" spans="1:16" ht="26.25" customHeight="1">
      <c r="A66" s="122"/>
      <c r="B66" s="122"/>
      <c r="C66" s="122"/>
      <c r="D66" s="122"/>
      <c r="E66" s="122"/>
      <c r="F66" s="122"/>
      <c r="G66" s="122"/>
      <c r="H66" s="122"/>
      <c r="I66" s="122"/>
      <c r="J66" s="20"/>
      <c r="K66" s="21" t="s">
        <v>162</v>
      </c>
      <c r="L66" s="22" t="s">
        <v>163</v>
      </c>
      <c r="M66" s="122"/>
      <c r="N66" s="122"/>
      <c r="O66" s="122"/>
      <c r="P66" s="154"/>
    </row>
    <row r="67" spans="1:16" ht="26.25" customHeight="1">
      <c r="A67" s="122"/>
      <c r="B67" s="122"/>
      <c r="C67" s="122"/>
      <c r="D67" s="122"/>
      <c r="E67" s="122"/>
      <c r="F67" s="122"/>
      <c r="G67" s="122"/>
      <c r="H67" s="122"/>
      <c r="I67" s="122"/>
      <c r="J67" s="20"/>
      <c r="K67" s="21" t="s">
        <v>164</v>
      </c>
      <c r="L67" s="22" t="s">
        <v>152</v>
      </c>
      <c r="M67" s="122"/>
      <c r="N67" s="122"/>
      <c r="O67" s="122"/>
      <c r="P67" s="154"/>
    </row>
    <row r="68" spans="1:16" ht="26.25" customHeight="1">
      <c r="A68" s="122"/>
      <c r="B68" s="122"/>
      <c r="C68" s="122"/>
      <c r="D68" s="122"/>
      <c r="E68" s="122"/>
      <c r="F68" s="122"/>
      <c r="G68" s="122"/>
      <c r="H68" s="122"/>
      <c r="I68" s="122"/>
      <c r="J68" s="20"/>
      <c r="K68" s="21" t="s">
        <v>165</v>
      </c>
      <c r="L68" s="22" t="s">
        <v>152</v>
      </c>
      <c r="M68" s="122"/>
      <c r="N68" s="122"/>
      <c r="O68" s="122"/>
      <c r="P68" s="154"/>
    </row>
    <row r="69" spans="1:16" ht="26.25" customHeight="1">
      <c r="A69" s="122"/>
      <c r="B69" s="122"/>
      <c r="C69" s="122"/>
      <c r="D69" s="122"/>
      <c r="E69" s="122"/>
      <c r="F69" s="122"/>
      <c r="G69" s="122"/>
      <c r="H69" s="122"/>
      <c r="I69" s="122"/>
      <c r="J69" s="20"/>
      <c r="K69" s="21" t="s">
        <v>166</v>
      </c>
      <c r="L69" s="22" t="s">
        <v>152</v>
      </c>
      <c r="M69" s="122"/>
      <c r="N69" s="122"/>
      <c r="O69" s="122"/>
      <c r="P69" s="154"/>
    </row>
    <row r="70" spans="1:16" ht="26.25" customHeight="1">
      <c r="A70" s="122"/>
      <c r="B70" s="122"/>
      <c r="C70" s="122"/>
      <c r="D70" s="122"/>
      <c r="E70" s="122"/>
      <c r="F70" s="122"/>
      <c r="G70" s="122"/>
      <c r="H70" s="122"/>
      <c r="I70" s="122"/>
      <c r="J70" s="36"/>
      <c r="K70" s="37" t="s">
        <v>167</v>
      </c>
      <c r="L70" s="38" t="s">
        <v>152</v>
      </c>
      <c r="M70" s="131"/>
      <c r="N70" s="131"/>
      <c r="O70" s="131"/>
      <c r="P70" s="132"/>
    </row>
    <row r="71" spans="1:16" ht="26.25" customHeight="1">
      <c r="A71" s="122"/>
      <c r="B71" s="122"/>
      <c r="C71" s="122"/>
      <c r="D71" s="122"/>
      <c r="E71" s="122"/>
      <c r="F71" s="122"/>
      <c r="G71" s="122"/>
      <c r="H71" s="122"/>
      <c r="I71" s="122"/>
      <c r="J71" s="122"/>
      <c r="K71" s="122"/>
      <c r="L71" s="122"/>
      <c r="M71" s="122"/>
      <c r="N71" s="122"/>
      <c r="O71" s="122"/>
      <c r="P71" s="122"/>
    </row>
  </sheetData>
  <mergeCells count="88">
    <mergeCell ref="J56:P56"/>
    <mergeCell ref="K11:L11"/>
    <mergeCell ref="M11:P11"/>
    <mergeCell ref="J12:P12"/>
    <mergeCell ref="M13:P16"/>
    <mergeCell ref="J17:P17"/>
    <mergeCell ref="M57:P63"/>
    <mergeCell ref="M64:P70"/>
    <mergeCell ref="J71:P71"/>
    <mergeCell ref="M18:P21"/>
    <mergeCell ref="M23:P25"/>
    <mergeCell ref="M27:P31"/>
    <mergeCell ref="M33:P37"/>
    <mergeCell ref="J38:P38"/>
    <mergeCell ref="M39:P42"/>
    <mergeCell ref="J43:P43"/>
    <mergeCell ref="J26:P26"/>
    <mergeCell ref="J32:P32"/>
    <mergeCell ref="J22:P22"/>
    <mergeCell ref="M44:P47"/>
    <mergeCell ref="J48:P48"/>
    <mergeCell ref="M49:P55"/>
    <mergeCell ref="A30:B30"/>
    <mergeCell ref="A31:C71"/>
    <mergeCell ref="A20:C20"/>
    <mergeCell ref="A21:B21"/>
    <mergeCell ref="A23:B23"/>
    <mergeCell ref="A25:B25"/>
    <mergeCell ref="A27:C27"/>
    <mergeCell ref="A28:B28"/>
    <mergeCell ref="A29:B29"/>
    <mergeCell ref="D27:G28"/>
    <mergeCell ref="H27:H28"/>
    <mergeCell ref="I27:I28"/>
    <mergeCell ref="D29:G30"/>
    <mergeCell ref="H29:H30"/>
    <mergeCell ref="I29:I30"/>
    <mergeCell ref="D31:G32"/>
    <mergeCell ref="H37:H38"/>
    <mergeCell ref="I37:I38"/>
    <mergeCell ref="D39:G40"/>
    <mergeCell ref="H39:H40"/>
    <mergeCell ref="I39:I40"/>
    <mergeCell ref="H31:H32"/>
    <mergeCell ref="I31:I32"/>
    <mergeCell ref="D41:G42"/>
    <mergeCell ref="H41:H42"/>
    <mergeCell ref="I41:I42"/>
    <mergeCell ref="D43:I71"/>
    <mergeCell ref="D33:G34"/>
    <mergeCell ref="H33:H34"/>
    <mergeCell ref="I33:I34"/>
    <mergeCell ref="D35:G36"/>
    <mergeCell ref="H35:H36"/>
    <mergeCell ref="I35:I36"/>
    <mergeCell ref="D37:G38"/>
    <mergeCell ref="A1:D3"/>
    <mergeCell ref="E1:L3"/>
    <mergeCell ref="M1:P3"/>
    <mergeCell ref="O4:P4"/>
    <mergeCell ref="O5:P5"/>
    <mergeCell ref="K6:P6"/>
    <mergeCell ref="O7:P7"/>
    <mergeCell ref="F12:G16"/>
    <mergeCell ref="H12:I16"/>
    <mergeCell ref="A13:B13"/>
    <mergeCell ref="A14:B14"/>
    <mergeCell ref="A4:B7"/>
    <mergeCell ref="A8:B10"/>
    <mergeCell ref="C8:C10"/>
    <mergeCell ref="D8:I10"/>
    <mergeCell ref="A11:C11"/>
    <mergeCell ref="A12:B12"/>
    <mergeCell ref="D12:E16"/>
    <mergeCell ref="A15:B15"/>
    <mergeCell ref="A16:B16"/>
    <mergeCell ref="J8:P10"/>
    <mergeCell ref="A17:B17"/>
    <mergeCell ref="A18:B18"/>
    <mergeCell ref="D18:E22"/>
    <mergeCell ref="F18:G22"/>
    <mergeCell ref="H18:I22"/>
    <mergeCell ref="A22:B22"/>
    <mergeCell ref="D23:I24"/>
    <mergeCell ref="A24:B24"/>
    <mergeCell ref="D25:G26"/>
    <mergeCell ref="H25:H26"/>
    <mergeCell ref="I25:I26"/>
  </mergeCells>
  <conditionalFormatting sqref="C4:C7">
    <cfRule type="expression" dxfId="28" priority="4">
      <formula>$C$7=TRUE</formula>
    </cfRule>
  </conditionalFormatting>
  <conditionalFormatting sqref="D4:D7">
    <cfRule type="expression" dxfId="27" priority="16">
      <formula>$D$7=TRUE</formula>
    </cfRule>
  </conditionalFormatting>
  <conditionalFormatting sqref="D25:I26">
    <cfRule type="expression" dxfId="26" priority="17">
      <formula>$I$25=TRUE</formula>
    </cfRule>
  </conditionalFormatting>
  <conditionalFormatting sqref="D27:I28">
    <cfRule type="expression" dxfId="25" priority="18">
      <formula>$I$27=TRUE</formula>
    </cfRule>
  </conditionalFormatting>
  <conditionalFormatting sqref="D29:I30">
    <cfRule type="expression" dxfId="24" priority="19">
      <formula>$I$29=TRUE</formula>
    </cfRule>
  </conditionalFormatting>
  <conditionalFormatting sqref="D31:I32">
    <cfRule type="expression" dxfId="23" priority="20">
      <formula>$I$31=TRUE</formula>
    </cfRule>
  </conditionalFormatting>
  <conditionalFormatting sqref="D33:I34">
    <cfRule type="expression" dxfId="22" priority="21">
      <formula>$I$33=TRUE</formula>
    </cfRule>
  </conditionalFormatting>
  <conditionalFormatting sqref="D35:I36">
    <cfRule type="expression" dxfId="21" priority="22">
      <formula>$I$35=TRUE</formula>
    </cfRule>
  </conditionalFormatting>
  <conditionalFormatting sqref="D37:I38">
    <cfRule type="expression" dxfId="20" priority="23">
      <formula>$I$37=TRUE</formula>
    </cfRule>
  </conditionalFormatting>
  <conditionalFormatting sqref="D39:I40">
    <cfRule type="expression" dxfId="19" priority="24">
      <formula>$I$39=TRUE</formula>
    </cfRule>
  </conditionalFormatting>
  <conditionalFormatting sqref="D41:I42">
    <cfRule type="expression" dxfId="18" priority="25">
      <formula>$I$41=TRUE</formula>
    </cfRule>
  </conditionalFormatting>
  <conditionalFormatting sqref="E4:E7">
    <cfRule type="expression" dxfId="17" priority="5">
      <formula>$E$7=TRUE</formula>
    </cfRule>
  </conditionalFormatting>
  <conditionalFormatting sqref="F4:F7">
    <cfRule type="expression" dxfId="16" priority="6">
      <formula>$F$7=TRUE</formula>
    </cfRule>
  </conditionalFormatting>
  <conditionalFormatting sqref="G4:G7">
    <cfRule type="expression" dxfId="15" priority="7">
      <formula>$G$7=TRUE</formula>
    </cfRule>
  </conditionalFormatting>
  <conditionalFormatting sqref="H4:H7">
    <cfRule type="expression" dxfId="14" priority="8">
      <formula>$H$7=TRUE</formula>
    </cfRule>
  </conditionalFormatting>
  <conditionalFormatting sqref="I4:I7">
    <cfRule type="expression" dxfId="13" priority="9">
      <formula>$I$7=TRUE</formula>
    </cfRule>
  </conditionalFormatting>
  <conditionalFormatting sqref="J4:J7">
    <cfRule type="expression" dxfId="12" priority="10">
      <formula>$J$7=TRUE</formula>
    </cfRule>
  </conditionalFormatting>
  <conditionalFormatting sqref="J13:J76 M13:M76">
    <cfRule type="expression" dxfId="11" priority="1">
      <formula>J13="M"</formula>
    </cfRule>
    <cfRule type="expression" dxfId="10" priority="2">
      <formula>J13="F"</formula>
    </cfRule>
    <cfRule type="expression" dxfId="9" priority="3">
      <formula>J13="P"</formula>
    </cfRule>
  </conditionalFormatting>
  <conditionalFormatting sqref="K4:K5 K7">
    <cfRule type="expression" dxfId="8" priority="11">
      <formula>$K$7=TRUE</formula>
    </cfRule>
  </conditionalFormatting>
  <conditionalFormatting sqref="K4:N6 O4:P7">
    <cfRule type="expression" dxfId="7" priority="15">
      <formula>$O$7=TRUE</formula>
    </cfRule>
  </conditionalFormatting>
  <conditionalFormatting sqref="L4:L5 L7">
    <cfRule type="expression" dxfId="6" priority="12">
      <formula>$L$7=TRUE</formula>
    </cfRule>
  </conditionalFormatting>
  <conditionalFormatting sqref="M4:M5 M7">
    <cfRule type="expression" dxfId="5" priority="13">
      <formula>$M$7=TRUE</formula>
    </cfRule>
  </conditionalFormatting>
  <conditionalFormatting sqref="N4:N5 N7">
    <cfRule type="expression" dxfId="4" priority="14">
      <formula>$N$7=TRUE</formula>
    </cfRule>
  </conditionalFormatting>
  <dataValidations count="2">
    <dataValidation type="list" allowBlank="1" showErrorMessage="1" sqref="A1" xr:uid="{00000000-0002-0000-0100-000000000000}">
      <formula1>"Platinum"</formula1>
    </dataValidation>
    <dataValidation type="list" allowBlank="1" sqref="J13:J16 J18:J21 J23:J25 J27:J31 J33:J37 J39:J42 J44:J47 J49:J55 J57:J70" xr:uid="{00000000-0002-0000-0100-000001000000}">
      <formula1>"F,P,M"</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67"/>
  <sheetViews>
    <sheetView tabSelected="1" workbookViewId="0">
      <selection activeCell="J19" sqref="J19"/>
    </sheetView>
  </sheetViews>
  <sheetFormatPr defaultColWidth="12.59765625" defaultRowHeight="15.75" customHeight="1"/>
  <cols>
    <col min="1" max="1" width="1.59765625" customWidth="1"/>
    <col min="2" max="7" width="18.3984375" customWidth="1"/>
    <col min="8" max="8" width="1.86328125" customWidth="1"/>
    <col min="9" max="9" width="26.46484375" customWidth="1"/>
    <col min="11" max="11" width="5.1328125" customWidth="1"/>
    <col min="12" max="13" width="14" customWidth="1"/>
    <col min="14" max="14" width="6.265625" customWidth="1"/>
    <col min="15" max="15" width="20.73046875" customWidth="1"/>
    <col min="16" max="16" width="6.86328125" customWidth="1"/>
    <col min="17" max="24" width="14" hidden="1" customWidth="1"/>
  </cols>
  <sheetData>
    <row r="1" spans="1:24" ht="10.5" customHeight="1">
      <c r="A1" s="30"/>
      <c r="B1" s="30"/>
      <c r="C1" s="30"/>
      <c r="D1" s="30"/>
      <c r="E1" s="30"/>
      <c r="F1" s="30"/>
      <c r="G1" s="30"/>
      <c r="H1" s="30"/>
      <c r="I1" s="39"/>
      <c r="J1" s="30"/>
      <c r="K1" s="30"/>
      <c r="L1" s="30"/>
      <c r="M1" s="30"/>
      <c r="N1" s="40"/>
      <c r="O1" s="30"/>
      <c r="P1" s="30"/>
      <c r="Q1" s="30"/>
      <c r="R1" s="30"/>
      <c r="S1" s="30"/>
      <c r="T1" s="30"/>
      <c r="U1" s="30"/>
      <c r="V1" s="30"/>
      <c r="W1" s="30"/>
      <c r="X1" s="30"/>
    </row>
    <row r="2" spans="1:24" ht="27" customHeight="1">
      <c r="A2" s="30"/>
      <c r="B2" s="199" t="s">
        <v>168</v>
      </c>
      <c r="C2" s="180"/>
      <c r="D2" s="180"/>
      <c r="E2" s="147"/>
      <c r="F2" s="30"/>
      <c r="G2" s="30"/>
      <c r="H2" s="30"/>
      <c r="I2" s="39"/>
      <c r="J2" s="30"/>
      <c r="K2" s="30"/>
      <c r="L2" s="30"/>
      <c r="M2" s="30"/>
      <c r="N2" s="40"/>
      <c r="O2" s="30"/>
      <c r="P2" s="30"/>
      <c r="Q2" s="30"/>
      <c r="R2" s="30"/>
      <c r="S2" s="30"/>
      <c r="T2" s="30"/>
      <c r="U2" s="30"/>
      <c r="V2" s="30"/>
      <c r="W2" s="30"/>
      <c r="X2" s="30"/>
    </row>
    <row r="3" spans="1:24" ht="27" customHeight="1">
      <c r="A3" s="30"/>
      <c r="B3" s="159"/>
      <c r="C3" s="138"/>
      <c r="D3" s="138"/>
      <c r="E3" s="139"/>
      <c r="F3" s="30"/>
      <c r="G3" s="30"/>
      <c r="H3" s="30"/>
      <c r="I3" s="195" t="s">
        <v>169</v>
      </c>
      <c r="J3" s="197" t="s">
        <v>170</v>
      </c>
      <c r="K3" s="147"/>
      <c r="L3" s="195" t="s">
        <v>171</v>
      </c>
      <c r="M3" s="195" t="s">
        <v>172</v>
      </c>
      <c r="N3" s="195" t="s">
        <v>39</v>
      </c>
      <c r="O3" s="195" t="s">
        <v>173</v>
      </c>
      <c r="P3" s="195" t="s">
        <v>174</v>
      </c>
      <c r="Q3" s="200" t="s">
        <v>175</v>
      </c>
      <c r="R3" s="200" t="s">
        <v>176</v>
      </c>
      <c r="S3" s="200" t="s">
        <v>177</v>
      </c>
      <c r="T3" s="200" t="s">
        <v>178</v>
      </c>
      <c r="U3" s="200" t="s">
        <v>179</v>
      </c>
      <c r="V3" s="200"/>
      <c r="W3" s="200" t="s">
        <v>173</v>
      </c>
      <c r="X3" s="200" t="s">
        <v>180</v>
      </c>
    </row>
    <row r="4" spans="1:24" ht="10.5" customHeight="1">
      <c r="A4" s="30"/>
      <c r="B4" s="41"/>
      <c r="C4" s="41"/>
      <c r="D4" s="41"/>
      <c r="E4" s="41"/>
      <c r="F4" s="41"/>
      <c r="G4" s="41"/>
      <c r="H4" s="30"/>
      <c r="I4" s="196"/>
      <c r="J4" s="159"/>
      <c r="K4" s="139"/>
      <c r="L4" s="196"/>
      <c r="M4" s="196"/>
      <c r="N4" s="196"/>
      <c r="O4" s="196"/>
      <c r="P4" s="196"/>
      <c r="Q4" s="196"/>
      <c r="R4" s="196"/>
      <c r="S4" s="196"/>
      <c r="T4" s="196"/>
      <c r="U4" s="196"/>
      <c r="V4" s="196"/>
      <c r="W4" s="196"/>
      <c r="X4" s="196"/>
    </row>
    <row r="5" spans="1:24" ht="21">
      <c r="A5" s="30"/>
      <c r="B5" s="25" t="str">
        <f>IFERROR(VLOOKUP("T1",$Q$5:$T$66,4,0),"")</f>
        <v/>
      </c>
      <c r="C5" s="24" t="str">
        <f>IFERROR(VLOOKUP("T1",$Q$5:$T$66,3,0),"")</f>
        <v/>
      </c>
      <c r="D5" s="25" t="str">
        <f>IFERROR(VLOOKUP("T2",$Q$5:$T$66,4,0),"")</f>
        <v/>
      </c>
      <c r="E5" s="24" t="str">
        <f>IFERROR(VLOOKUP("T2",$Q$5:$T$66,3,0),"")</f>
        <v/>
      </c>
      <c r="F5" s="25" t="str">
        <f>IFERROR(VLOOKUP("T3",$Q$5:$T$66,4,0),"")</f>
        <v/>
      </c>
      <c r="G5" s="24" t="str">
        <f>IFERROR(VLOOKUP("T3",$Q$5:$T$66,3,0),"")</f>
        <v/>
      </c>
      <c r="H5" s="30"/>
      <c r="I5" s="42" t="s">
        <v>181</v>
      </c>
      <c r="J5" s="43" t="s">
        <v>182</v>
      </c>
      <c r="K5" s="44" t="e">
        <f t="shared" ref="K5:K64" ca="1" si="0">_xludf.image("https://img.pokemondb.net/sprites/home/normal/"&amp;LOWER(J5)&amp;".png", 1)</f>
        <v>#NAME?</v>
      </c>
      <c r="L5" s="45"/>
      <c r="M5" s="46"/>
      <c r="N5" s="47"/>
      <c r="O5" s="48"/>
      <c r="P5" s="49"/>
      <c r="Q5" s="50" t="str">
        <f t="shared" ref="Q5:Q66" si="1">N5&amp;COUNTIF($N$5:$N5,N5)</f>
        <v>0</v>
      </c>
      <c r="R5" s="50" t="str">
        <f t="shared" ref="R5:R66" si="2">J5</f>
        <v>Turtwig</v>
      </c>
      <c r="S5" s="50">
        <f t="shared" ref="S5:S66" si="3">L5</f>
        <v>0</v>
      </c>
      <c r="T5" s="50" t="str">
        <f t="shared" ref="T5:T66" si="4">IF(ISBLANK(M5),R5,M5)</f>
        <v>Turtwig</v>
      </c>
      <c r="U5" s="50" t="str">
        <f>IFERROR(VLOOKUP(T5,'Stages (DO NOT TOUCH)'!$J$3:$K$384,2,0),"")</f>
        <v>B</v>
      </c>
      <c r="V5" s="50">
        <f>IFERROR(VLOOKUP(T5,'Stages (DO NOT TOUCH)'!$J$3:$L$271,3,0),"")</f>
        <v>0</v>
      </c>
      <c r="W5" s="50">
        <f t="shared" ref="W5:X5" si="5">O5</f>
        <v>0</v>
      </c>
      <c r="X5" s="50">
        <f t="shared" si="5"/>
        <v>0</v>
      </c>
    </row>
    <row r="6" spans="1:24" ht="21">
      <c r="A6" s="30"/>
      <c r="B6" s="150" t="e">
        <f ca="1">_xludf.image("http://play.pokemonshowdown.com/sprites/gen5/"&amp;LOWER(B5)&amp;".png", 1)</f>
        <v>#NAME?</v>
      </c>
      <c r="C6" s="147"/>
      <c r="D6" s="150" t="e">
        <f ca="1">_xludf.image("http://play.pokemonshowdown.com/sprites/gen5/"&amp;LOWER(D5)&amp;".png", 1)</f>
        <v>#NAME?</v>
      </c>
      <c r="E6" s="147"/>
      <c r="F6" s="150" t="e">
        <f ca="1">_xludf.image("http://play.pokemonshowdown.com/sprites/gen5/"&amp;LOWER(F5)&amp;".png", 1)</f>
        <v>#NAME?</v>
      </c>
      <c r="G6" s="147"/>
      <c r="H6" s="51"/>
      <c r="I6" s="42" t="s">
        <v>135</v>
      </c>
      <c r="J6" s="43"/>
      <c r="K6" s="44" t="e">
        <f t="shared" ca="1" si="0"/>
        <v>#NAME?</v>
      </c>
      <c r="L6" s="45"/>
      <c r="M6" s="46"/>
      <c r="N6" s="49"/>
      <c r="O6" s="48"/>
      <c r="P6" s="49"/>
      <c r="Q6" s="50" t="str">
        <f t="shared" si="1"/>
        <v>0</v>
      </c>
      <c r="R6" s="50">
        <f t="shared" si="2"/>
        <v>0</v>
      </c>
      <c r="S6" s="50">
        <f t="shared" si="3"/>
        <v>0</v>
      </c>
      <c r="T6" s="50">
        <f t="shared" si="4"/>
        <v>0</v>
      </c>
      <c r="U6" s="50" t="str">
        <f>IFERROR(VLOOKUP(T6,'Stages (DO NOT TOUCH)'!$J$3:$K$384,2,0),"")</f>
        <v/>
      </c>
      <c r="V6" s="50" t="str">
        <f>IFERROR(VLOOKUP(T6,'Stages (DO NOT TOUCH)'!$J$3:$L$271,3,0),"")</f>
        <v/>
      </c>
      <c r="W6" s="52">
        <f t="shared" ref="W6:X6" si="6">O6</f>
        <v>0</v>
      </c>
      <c r="X6" s="52">
        <f t="shared" si="6"/>
        <v>0</v>
      </c>
    </row>
    <row r="7" spans="1:24" ht="21">
      <c r="A7" s="30"/>
      <c r="B7" s="151"/>
      <c r="C7" s="136"/>
      <c r="D7" s="151"/>
      <c r="E7" s="136"/>
      <c r="F7" s="151"/>
      <c r="G7" s="136"/>
      <c r="H7" s="51"/>
      <c r="I7" s="42" t="s">
        <v>183</v>
      </c>
      <c r="J7" s="43"/>
      <c r="K7" s="44" t="e">
        <f t="shared" ca="1" si="0"/>
        <v>#NAME?</v>
      </c>
      <c r="L7" s="45"/>
      <c r="M7" s="46"/>
      <c r="N7" s="49"/>
      <c r="O7" s="48"/>
      <c r="P7" s="49"/>
      <c r="Q7" s="50" t="str">
        <f t="shared" si="1"/>
        <v>0</v>
      </c>
      <c r="R7" s="50">
        <f t="shared" si="2"/>
        <v>0</v>
      </c>
      <c r="S7" s="50">
        <f t="shared" si="3"/>
        <v>0</v>
      </c>
      <c r="T7" s="50">
        <f t="shared" si="4"/>
        <v>0</v>
      </c>
      <c r="U7" s="50" t="str">
        <f>IFERROR(VLOOKUP(T7,'Stages (DO NOT TOUCH)'!$J$3:$K$384,2,0),"")</f>
        <v/>
      </c>
      <c r="V7" s="50" t="str">
        <f>IFERROR(VLOOKUP(T7,'Stages (DO NOT TOUCH)'!$J$3:$L$271,3,0),"")</f>
        <v/>
      </c>
      <c r="W7" s="52">
        <f t="shared" ref="W7:X7" si="7">O7</f>
        <v>0</v>
      </c>
      <c r="X7" s="52">
        <f t="shared" si="7"/>
        <v>0</v>
      </c>
    </row>
    <row r="8" spans="1:24" ht="21">
      <c r="A8" s="30"/>
      <c r="B8" s="151"/>
      <c r="C8" s="136"/>
      <c r="D8" s="151"/>
      <c r="E8" s="136"/>
      <c r="F8" s="151"/>
      <c r="G8" s="136"/>
      <c r="H8" s="51"/>
      <c r="I8" s="42" t="s">
        <v>46</v>
      </c>
      <c r="J8" s="43"/>
      <c r="K8" s="44" t="e">
        <f t="shared" ca="1" si="0"/>
        <v>#NAME?</v>
      </c>
      <c r="L8" s="45"/>
      <c r="M8" s="46"/>
      <c r="N8" s="49"/>
      <c r="O8" s="48"/>
      <c r="P8" s="49"/>
      <c r="Q8" s="50" t="str">
        <f t="shared" si="1"/>
        <v>0</v>
      </c>
      <c r="R8" s="50">
        <f t="shared" si="2"/>
        <v>0</v>
      </c>
      <c r="S8" s="50">
        <f t="shared" si="3"/>
        <v>0</v>
      </c>
      <c r="T8" s="50">
        <f t="shared" si="4"/>
        <v>0</v>
      </c>
      <c r="U8" s="50" t="str">
        <f>IFERROR(VLOOKUP(T8,'Stages (DO NOT TOUCH)'!$J$3:$K$384,2,0),"")</f>
        <v/>
      </c>
      <c r="V8" s="50" t="str">
        <f>IFERROR(VLOOKUP(T8,'Stages (DO NOT TOUCH)'!$J$3:$L$271,3,0),"")</f>
        <v/>
      </c>
      <c r="W8" s="52">
        <f t="shared" ref="W8:X8" si="8">O8</f>
        <v>0</v>
      </c>
      <c r="X8" s="52">
        <f t="shared" si="8"/>
        <v>0</v>
      </c>
    </row>
    <row r="9" spans="1:24" ht="21">
      <c r="A9" s="30"/>
      <c r="B9" s="151"/>
      <c r="C9" s="136"/>
      <c r="D9" s="151"/>
      <c r="E9" s="136"/>
      <c r="F9" s="151"/>
      <c r="G9" s="136"/>
      <c r="H9" s="51"/>
      <c r="I9" s="42" t="s">
        <v>184</v>
      </c>
      <c r="J9" s="43"/>
      <c r="K9" s="44" t="e">
        <f t="shared" ca="1" si="0"/>
        <v>#NAME?</v>
      </c>
      <c r="L9" s="45"/>
      <c r="M9" s="46"/>
      <c r="N9" s="49"/>
      <c r="O9" s="48"/>
      <c r="P9" s="49"/>
      <c r="Q9" s="50" t="str">
        <f t="shared" si="1"/>
        <v>0</v>
      </c>
      <c r="R9" s="50">
        <f t="shared" si="2"/>
        <v>0</v>
      </c>
      <c r="S9" s="50">
        <f t="shared" si="3"/>
        <v>0</v>
      </c>
      <c r="T9" s="50">
        <f t="shared" si="4"/>
        <v>0</v>
      </c>
      <c r="U9" s="50" t="str">
        <f>IFERROR(VLOOKUP(T9,'Stages (DO NOT TOUCH)'!$J$3:$K$384,2,0),"")</f>
        <v/>
      </c>
      <c r="V9" s="50" t="str">
        <f>IFERROR(VLOOKUP(T9,'Stages (DO NOT TOUCH)'!$J$3:$L$271,3,0),"")</f>
        <v/>
      </c>
      <c r="W9" s="52">
        <f t="shared" ref="W9:X9" si="9">O9</f>
        <v>0</v>
      </c>
      <c r="X9" s="52">
        <f t="shared" si="9"/>
        <v>0</v>
      </c>
    </row>
    <row r="10" spans="1:24" ht="21">
      <c r="A10" s="30"/>
      <c r="B10" s="151"/>
      <c r="C10" s="136"/>
      <c r="D10" s="151"/>
      <c r="E10" s="136"/>
      <c r="F10" s="151"/>
      <c r="G10" s="136"/>
      <c r="H10" s="51"/>
      <c r="I10" s="42" t="s">
        <v>49</v>
      </c>
      <c r="J10" s="43"/>
      <c r="K10" s="44" t="e">
        <f t="shared" ca="1" si="0"/>
        <v>#NAME?</v>
      </c>
      <c r="L10" s="45"/>
      <c r="M10" s="46"/>
      <c r="N10" s="49"/>
      <c r="O10" s="48"/>
      <c r="P10" s="49"/>
      <c r="Q10" s="50" t="str">
        <f t="shared" si="1"/>
        <v>0</v>
      </c>
      <c r="R10" s="50">
        <f t="shared" si="2"/>
        <v>0</v>
      </c>
      <c r="S10" s="50">
        <f t="shared" si="3"/>
        <v>0</v>
      </c>
      <c r="T10" s="50">
        <f t="shared" si="4"/>
        <v>0</v>
      </c>
      <c r="U10" s="50" t="str">
        <f>IFERROR(VLOOKUP(T10,'Stages (DO NOT TOUCH)'!$J$3:$K$384,2,0),"")</f>
        <v/>
      </c>
      <c r="V10" s="50" t="str">
        <f>IFERROR(VLOOKUP(T10,'Stages (DO NOT TOUCH)'!$J$3:$L$271,3,0),"")</f>
        <v/>
      </c>
      <c r="W10" s="52">
        <f t="shared" ref="W10:X10" si="10">O10</f>
        <v>0</v>
      </c>
      <c r="X10" s="52">
        <f t="shared" si="10"/>
        <v>0</v>
      </c>
    </row>
    <row r="11" spans="1:24" ht="21">
      <c r="A11" s="30"/>
      <c r="B11" s="151"/>
      <c r="C11" s="136"/>
      <c r="D11" s="151"/>
      <c r="E11" s="136"/>
      <c r="F11" s="151"/>
      <c r="G11" s="136"/>
      <c r="H11" s="51"/>
      <c r="I11" s="42" t="s">
        <v>185</v>
      </c>
      <c r="J11" s="43"/>
      <c r="K11" s="44" t="e">
        <f t="shared" ca="1" si="0"/>
        <v>#NAME?</v>
      </c>
      <c r="L11" s="45"/>
      <c r="M11" s="46"/>
      <c r="N11" s="49"/>
      <c r="O11" s="48"/>
      <c r="P11" s="49"/>
      <c r="Q11" s="50" t="str">
        <f t="shared" si="1"/>
        <v>0</v>
      </c>
      <c r="R11" s="50">
        <f t="shared" si="2"/>
        <v>0</v>
      </c>
      <c r="S11" s="50">
        <f t="shared" si="3"/>
        <v>0</v>
      </c>
      <c r="T11" s="50">
        <f t="shared" si="4"/>
        <v>0</v>
      </c>
      <c r="U11" s="50" t="str">
        <f>IFERROR(VLOOKUP(T11,'Stages (DO NOT TOUCH)'!$J$3:$K$384,2,0),"")</f>
        <v/>
      </c>
      <c r="V11" s="50" t="str">
        <f>IFERROR(VLOOKUP(T11,'Stages (DO NOT TOUCH)'!$J$3:$L$271,3,0),"")</f>
        <v/>
      </c>
      <c r="W11" s="52">
        <f t="shared" ref="W11:X11" si="11">O11</f>
        <v>0</v>
      </c>
      <c r="X11" s="52">
        <f t="shared" si="11"/>
        <v>0</v>
      </c>
    </row>
    <row r="12" spans="1:24" ht="21">
      <c r="A12" s="30"/>
      <c r="B12" s="25" t="str">
        <f>IFERROR(VLOOKUP("T4",$Q$5:$T$66,4,0),"")</f>
        <v/>
      </c>
      <c r="C12" s="24" t="str">
        <f>IFERROR(VLOOKUP("T4",$Q$5:$T$66,3,0),"")</f>
        <v/>
      </c>
      <c r="D12" s="25" t="str">
        <f>IFERROR(VLOOKUP("T5",$Q$5:$T$66,4,0),"")</f>
        <v/>
      </c>
      <c r="E12" s="24" t="str">
        <f>IFERROR(VLOOKUP("T5",$Q$5:$T$66,3,0),"")</f>
        <v/>
      </c>
      <c r="F12" s="25" t="str">
        <f>IFERROR(VLOOKUP("T6",$Q$5:$T$66,4,0),"")</f>
        <v/>
      </c>
      <c r="G12" s="24" t="str">
        <f>IFERROR(VLOOKUP("T6",$Q$5:$T$66,3,0),"")</f>
        <v/>
      </c>
      <c r="H12" s="51"/>
      <c r="I12" s="42" t="s">
        <v>52</v>
      </c>
      <c r="J12" s="43"/>
      <c r="K12" s="44" t="e">
        <f t="shared" ca="1" si="0"/>
        <v>#NAME?</v>
      </c>
      <c r="L12" s="45"/>
      <c r="M12" s="46"/>
      <c r="N12" s="49"/>
      <c r="O12" s="48"/>
      <c r="P12" s="49"/>
      <c r="Q12" s="50" t="str">
        <f t="shared" si="1"/>
        <v>0</v>
      </c>
      <c r="R12" s="50">
        <f t="shared" si="2"/>
        <v>0</v>
      </c>
      <c r="S12" s="50">
        <f t="shared" si="3"/>
        <v>0</v>
      </c>
      <c r="T12" s="50">
        <f t="shared" si="4"/>
        <v>0</v>
      </c>
      <c r="U12" s="50" t="str">
        <f>IFERROR(VLOOKUP(T12,'Stages (DO NOT TOUCH)'!$J$3:$K$384,2,0),"")</f>
        <v/>
      </c>
      <c r="V12" s="50" t="str">
        <f>IFERROR(VLOOKUP(T12,'Stages (DO NOT TOUCH)'!$J$3:$L$271,3,0),"")</f>
        <v/>
      </c>
      <c r="W12" s="52">
        <f t="shared" ref="W12:X12" si="12">O12</f>
        <v>0</v>
      </c>
      <c r="X12" s="52">
        <f t="shared" si="12"/>
        <v>0</v>
      </c>
    </row>
    <row r="13" spans="1:24" ht="21">
      <c r="A13" s="30"/>
      <c r="B13" s="150" t="e">
        <f ca="1">_xludf.image("http://play.pokemonshowdown.com/sprites/gen5/"&amp;LOWER(B12)&amp;".png", 1)</f>
        <v>#NAME?</v>
      </c>
      <c r="C13" s="147"/>
      <c r="D13" s="150" t="e">
        <f ca="1">_xludf.image("http://play.pokemonshowdown.com/sprites/gen5/"&amp;LOWER(D12)&amp;".png", 1)</f>
        <v>#NAME?</v>
      </c>
      <c r="E13" s="147"/>
      <c r="F13" s="150" t="e">
        <f ca="1">_xludf.image("http://play.pokemonshowdown.com/sprites/gen5/"&amp;LOWER(F12)&amp;".png", 1)</f>
        <v>#NAME?</v>
      </c>
      <c r="G13" s="147"/>
      <c r="H13" s="51"/>
      <c r="I13" s="42" t="s">
        <v>186</v>
      </c>
      <c r="J13" s="43"/>
      <c r="K13" s="44" t="e">
        <f t="shared" ca="1" si="0"/>
        <v>#NAME?</v>
      </c>
      <c r="L13" s="45"/>
      <c r="M13" s="46"/>
      <c r="N13" s="49"/>
      <c r="O13" s="48"/>
      <c r="P13" s="49"/>
      <c r="Q13" s="50" t="str">
        <f t="shared" si="1"/>
        <v>0</v>
      </c>
      <c r="R13" s="50">
        <f t="shared" si="2"/>
        <v>0</v>
      </c>
      <c r="S13" s="50">
        <f t="shared" si="3"/>
        <v>0</v>
      </c>
      <c r="T13" s="50">
        <f t="shared" si="4"/>
        <v>0</v>
      </c>
      <c r="U13" s="50" t="str">
        <f>IFERROR(VLOOKUP(T13,'Stages (DO NOT TOUCH)'!$J$3:$K$384,2,0),"")</f>
        <v/>
      </c>
      <c r="V13" s="50" t="str">
        <f>IFERROR(VLOOKUP(T13,'Stages (DO NOT TOUCH)'!$J$3:$L$271,3,0),"")</f>
        <v/>
      </c>
      <c r="W13" s="52">
        <f t="shared" ref="W13:X13" si="13">O13</f>
        <v>0</v>
      </c>
      <c r="X13" s="52">
        <f t="shared" si="13"/>
        <v>0</v>
      </c>
    </row>
    <row r="14" spans="1:24" ht="21">
      <c r="A14" s="30"/>
      <c r="B14" s="151"/>
      <c r="C14" s="136"/>
      <c r="D14" s="151"/>
      <c r="E14" s="136"/>
      <c r="F14" s="151"/>
      <c r="G14" s="136"/>
      <c r="H14" s="51"/>
      <c r="I14" s="53" t="s">
        <v>55</v>
      </c>
      <c r="J14" s="54"/>
      <c r="K14" s="55" t="e">
        <f t="shared" ca="1" si="0"/>
        <v>#NAME?</v>
      </c>
      <c r="L14" s="56" t="s">
        <v>187</v>
      </c>
      <c r="M14" s="56" t="s">
        <v>188</v>
      </c>
      <c r="N14" s="57"/>
      <c r="O14" s="58"/>
      <c r="P14" s="57"/>
      <c r="Q14" s="50" t="str">
        <f t="shared" si="1"/>
        <v>0</v>
      </c>
      <c r="R14" s="50">
        <f t="shared" si="2"/>
        <v>0</v>
      </c>
      <c r="S14" s="50" t="str">
        <f t="shared" si="3"/>
        <v>NO</v>
      </c>
      <c r="T14" s="50" t="str">
        <f t="shared" si="4"/>
        <v>ENCOUNTERS</v>
      </c>
      <c r="U14" s="50" t="str">
        <f>IFERROR(VLOOKUP(T14,'Stages (DO NOT TOUCH)'!$J$3:$K$384,2,0),"")</f>
        <v/>
      </c>
      <c r="V14" s="50" t="str">
        <f>IFERROR(VLOOKUP(T14,'Stages (DO NOT TOUCH)'!$J$3:$L$271,3,0),"")</f>
        <v/>
      </c>
      <c r="W14" s="52">
        <f t="shared" ref="W14:X14" si="14">O14</f>
        <v>0</v>
      </c>
      <c r="X14" s="52">
        <f t="shared" si="14"/>
        <v>0</v>
      </c>
    </row>
    <row r="15" spans="1:24" ht="21">
      <c r="A15" s="30"/>
      <c r="B15" s="151"/>
      <c r="C15" s="136"/>
      <c r="D15" s="151"/>
      <c r="E15" s="136"/>
      <c r="F15" s="151"/>
      <c r="G15" s="136"/>
      <c r="H15" s="51"/>
      <c r="I15" s="42" t="s">
        <v>82</v>
      </c>
      <c r="J15" s="43"/>
      <c r="K15" s="44" t="e">
        <f t="shared" ca="1" si="0"/>
        <v>#NAME?</v>
      </c>
      <c r="L15" s="45"/>
      <c r="M15" s="46"/>
      <c r="N15" s="49"/>
      <c r="O15" s="48"/>
      <c r="P15" s="49"/>
      <c r="Q15" s="50" t="str">
        <f t="shared" si="1"/>
        <v>0</v>
      </c>
      <c r="R15" s="50">
        <f t="shared" si="2"/>
        <v>0</v>
      </c>
      <c r="S15" s="50">
        <f t="shared" si="3"/>
        <v>0</v>
      </c>
      <c r="T15" s="50">
        <f t="shared" si="4"/>
        <v>0</v>
      </c>
      <c r="U15" s="50" t="str">
        <f>IFERROR(VLOOKUP(T15,'Stages (DO NOT TOUCH)'!$J$3:$K$384,2,0),"")</f>
        <v/>
      </c>
      <c r="V15" s="50" t="str">
        <f>IFERROR(VLOOKUP(T15,'Stages (DO NOT TOUCH)'!$J$3:$L$271,3,0),"")</f>
        <v/>
      </c>
      <c r="W15" s="52">
        <f t="shared" ref="W15:X15" si="15">O15</f>
        <v>0</v>
      </c>
      <c r="X15" s="52">
        <f t="shared" si="15"/>
        <v>0</v>
      </c>
    </row>
    <row r="16" spans="1:24" ht="21">
      <c r="A16" s="30"/>
      <c r="B16" s="151"/>
      <c r="C16" s="136"/>
      <c r="D16" s="151"/>
      <c r="E16" s="136"/>
      <c r="F16" s="151"/>
      <c r="G16" s="136"/>
      <c r="H16" s="51"/>
      <c r="I16" s="42" t="s">
        <v>189</v>
      </c>
      <c r="J16" s="43"/>
      <c r="K16" s="44" t="e">
        <f t="shared" ca="1" si="0"/>
        <v>#NAME?</v>
      </c>
      <c r="L16" s="45"/>
      <c r="M16" s="46"/>
      <c r="N16" s="49"/>
      <c r="O16" s="48"/>
      <c r="P16" s="49"/>
      <c r="Q16" s="50" t="str">
        <f t="shared" si="1"/>
        <v>0</v>
      </c>
      <c r="R16" s="50">
        <f t="shared" si="2"/>
        <v>0</v>
      </c>
      <c r="S16" s="50">
        <f t="shared" si="3"/>
        <v>0</v>
      </c>
      <c r="T16" s="50">
        <f t="shared" si="4"/>
        <v>0</v>
      </c>
      <c r="U16" s="50" t="str">
        <f>IFERROR(VLOOKUP(T16,'Stages (DO NOT TOUCH)'!$J$3:$K$384,2,0),"")</f>
        <v/>
      </c>
      <c r="V16" s="50" t="str">
        <f>IFERROR(VLOOKUP(T16,'Stages (DO NOT TOUCH)'!$J$3:$L$271,3,0),"")</f>
        <v/>
      </c>
      <c r="W16" s="52">
        <f t="shared" ref="W16:X16" si="16">O16</f>
        <v>0</v>
      </c>
      <c r="X16" s="52">
        <f t="shared" si="16"/>
        <v>0</v>
      </c>
    </row>
    <row r="17" spans="1:24" ht="21">
      <c r="A17" s="30"/>
      <c r="B17" s="151"/>
      <c r="C17" s="136"/>
      <c r="D17" s="151"/>
      <c r="E17" s="136"/>
      <c r="F17" s="151"/>
      <c r="G17" s="136"/>
      <c r="H17" s="51"/>
      <c r="I17" s="42" t="s">
        <v>190</v>
      </c>
      <c r="J17" s="43"/>
      <c r="K17" s="44" t="e">
        <f t="shared" ca="1" si="0"/>
        <v>#NAME?</v>
      </c>
      <c r="L17" s="45"/>
      <c r="M17" s="46"/>
      <c r="N17" s="49"/>
      <c r="O17" s="48"/>
      <c r="P17" s="49"/>
      <c r="Q17" s="50" t="str">
        <f t="shared" si="1"/>
        <v>0</v>
      </c>
      <c r="R17" s="50">
        <f t="shared" si="2"/>
        <v>0</v>
      </c>
      <c r="S17" s="50">
        <f t="shared" si="3"/>
        <v>0</v>
      </c>
      <c r="T17" s="50">
        <f t="shared" si="4"/>
        <v>0</v>
      </c>
      <c r="U17" s="50" t="str">
        <f>IFERROR(VLOOKUP(T17,'Stages (DO NOT TOUCH)'!$J$3:$K$384,2,0),"")</f>
        <v/>
      </c>
      <c r="V17" s="50" t="str">
        <f>IFERROR(VLOOKUP(T17,'Stages (DO NOT TOUCH)'!$J$3:$L$271,3,0),"")</f>
        <v/>
      </c>
      <c r="W17" s="52">
        <f t="shared" ref="W17:X17" si="17">O17</f>
        <v>0</v>
      </c>
      <c r="X17" s="52">
        <f t="shared" si="17"/>
        <v>0</v>
      </c>
    </row>
    <row r="18" spans="1:24" ht="21">
      <c r="A18" s="30"/>
      <c r="B18" s="151"/>
      <c r="C18" s="136"/>
      <c r="D18" s="151"/>
      <c r="E18" s="136"/>
      <c r="F18" s="151"/>
      <c r="G18" s="136"/>
      <c r="H18" s="51"/>
      <c r="I18" s="42" t="s">
        <v>62</v>
      </c>
      <c r="J18" s="43"/>
      <c r="K18" s="44" t="e">
        <f t="shared" ca="1" si="0"/>
        <v>#NAME?</v>
      </c>
      <c r="L18" s="45"/>
      <c r="M18" s="46"/>
      <c r="N18" s="49"/>
      <c r="O18" s="48"/>
      <c r="P18" s="49"/>
      <c r="Q18" s="50" t="str">
        <f t="shared" si="1"/>
        <v>0</v>
      </c>
      <c r="R18" s="50">
        <f t="shared" si="2"/>
        <v>0</v>
      </c>
      <c r="S18" s="50">
        <f t="shared" si="3"/>
        <v>0</v>
      </c>
      <c r="T18" s="50">
        <f t="shared" si="4"/>
        <v>0</v>
      </c>
      <c r="U18" s="50" t="str">
        <f>IFERROR(VLOOKUP(T18,'Stages (DO NOT TOUCH)'!$J$3:$K$384,2,0),"")</f>
        <v/>
      </c>
      <c r="V18" s="50" t="str">
        <f>IFERROR(VLOOKUP(T18,'Stages (DO NOT TOUCH)'!$J$3:$L$271,3,0),"")</f>
        <v/>
      </c>
      <c r="W18" s="52">
        <f t="shared" ref="W18:X18" si="18">O18</f>
        <v>0</v>
      </c>
      <c r="X18" s="52">
        <f t="shared" si="18"/>
        <v>0</v>
      </c>
    </row>
    <row r="19" spans="1:24" ht="21">
      <c r="A19" s="30"/>
      <c r="B19" s="59"/>
      <c r="C19" s="59"/>
      <c r="D19" s="59"/>
      <c r="E19" s="59"/>
      <c r="F19" s="59"/>
      <c r="G19" s="30"/>
      <c r="H19" s="51"/>
      <c r="I19" s="42" t="s">
        <v>65</v>
      </c>
      <c r="J19" s="43"/>
      <c r="K19" s="44" t="e">
        <f t="shared" ca="1" si="0"/>
        <v>#NAME?</v>
      </c>
      <c r="L19" s="45"/>
      <c r="M19" s="46"/>
      <c r="N19" s="49"/>
      <c r="O19" s="48"/>
      <c r="P19" s="49"/>
      <c r="Q19" s="50" t="str">
        <f t="shared" si="1"/>
        <v>0</v>
      </c>
      <c r="R19" s="50">
        <f t="shared" si="2"/>
        <v>0</v>
      </c>
      <c r="S19" s="50">
        <f t="shared" si="3"/>
        <v>0</v>
      </c>
      <c r="T19" s="50">
        <f t="shared" si="4"/>
        <v>0</v>
      </c>
      <c r="U19" s="50" t="str">
        <f>IFERROR(VLOOKUP(T19,'Stages (DO NOT TOUCH)'!$J$3:$K$384,2,0),"")</f>
        <v/>
      </c>
      <c r="V19" s="50" t="str">
        <f>IFERROR(VLOOKUP(T19,'Stages (DO NOT TOUCH)'!$J$3:$L$271,3,0),"")</f>
        <v/>
      </c>
      <c r="W19" s="52">
        <f t="shared" ref="W19:X19" si="19">O19</f>
        <v>0</v>
      </c>
      <c r="X19" s="52">
        <f t="shared" si="19"/>
        <v>0</v>
      </c>
    </row>
    <row r="20" spans="1:24" ht="21">
      <c r="A20" s="30"/>
      <c r="B20" s="198" t="s">
        <v>191</v>
      </c>
      <c r="C20" s="134"/>
      <c r="D20" s="30"/>
      <c r="E20" s="30"/>
      <c r="F20" s="30"/>
      <c r="G20" s="30"/>
      <c r="H20" s="51"/>
      <c r="I20" s="42" t="s">
        <v>192</v>
      </c>
      <c r="J20" s="43"/>
      <c r="K20" s="44" t="e">
        <f t="shared" ca="1" si="0"/>
        <v>#NAME?</v>
      </c>
      <c r="L20" s="45"/>
      <c r="M20" s="46"/>
      <c r="N20" s="49"/>
      <c r="O20" s="48"/>
      <c r="P20" s="49"/>
      <c r="Q20" s="50" t="str">
        <f t="shared" si="1"/>
        <v>0</v>
      </c>
      <c r="R20" s="50">
        <f t="shared" si="2"/>
        <v>0</v>
      </c>
      <c r="S20" s="50">
        <f t="shared" si="3"/>
        <v>0</v>
      </c>
      <c r="T20" s="50">
        <f t="shared" si="4"/>
        <v>0</v>
      </c>
      <c r="U20" s="50" t="str">
        <f>IFERROR(VLOOKUP(T20,'Stages (DO NOT TOUCH)'!$J$3:$K$384,2,0),"")</f>
        <v/>
      </c>
      <c r="V20" s="50" t="str">
        <f>IFERROR(VLOOKUP(T20,'Stages (DO NOT TOUCH)'!$J$3:$L$271,3,0),"")</f>
        <v/>
      </c>
      <c r="W20" s="52">
        <f t="shared" ref="W20:X20" si="20">O20</f>
        <v>0</v>
      </c>
      <c r="X20" s="52">
        <f t="shared" si="20"/>
        <v>0</v>
      </c>
    </row>
    <row r="21" spans="1:24" ht="21">
      <c r="A21" s="30"/>
      <c r="B21" s="61" t="s">
        <v>193</v>
      </c>
      <c r="C21" s="62">
        <f>COUNTIF($G$25:$G67, "B")</f>
        <v>0</v>
      </c>
      <c r="D21" s="61" t="s">
        <v>194</v>
      </c>
      <c r="E21" s="62">
        <f>COUNTIF($D$25:$D67, "H")</f>
        <v>0</v>
      </c>
      <c r="F21" s="30"/>
      <c r="G21" s="30"/>
      <c r="H21" s="51"/>
      <c r="I21" s="42" t="s">
        <v>195</v>
      </c>
      <c r="J21" s="43"/>
      <c r="K21" s="44" t="e">
        <f t="shared" ca="1" si="0"/>
        <v>#NAME?</v>
      </c>
      <c r="L21" s="45"/>
      <c r="M21" s="46"/>
      <c r="N21" s="49"/>
      <c r="O21" s="48"/>
      <c r="P21" s="49"/>
      <c r="Q21" s="50" t="str">
        <f t="shared" si="1"/>
        <v>0</v>
      </c>
      <c r="R21" s="50">
        <f t="shared" si="2"/>
        <v>0</v>
      </c>
      <c r="S21" s="50">
        <f t="shared" si="3"/>
        <v>0</v>
      </c>
      <c r="T21" s="50">
        <f t="shared" si="4"/>
        <v>0</v>
      </c>
      <c r="U21" s="50" t="str">
        <f>IFERROR(VLOOKUP(T21,'Stages (DO NOT TOUCH)'!$J$3:$K$384,2,0),"")</f>
        <v/>
      </c>
      <c r="V21" s="50" t="str">
        <f>IFERROR(VLOOKUP(T21,'Stages (DO NOT TOUCH)'!$J$3:$L$271,3,0),"")</f>
        <v/>
      </c>
      <c r="W21" s="52">
        <f t="shared" ref="W21:X21" si="21">O21</f>
        <v>0</v>
      </c>
      <c r="X21" s="52">
        <f t="shared" si="21"/>
        <v>0</v>
      </c>
    </row>
    <row r="22" spans="1:24" ht="21">
      <c r="A22" s="30"/>
      <c r="B22" s="61" t="s">
        <v>196</v>
      </c>
      <c r="C22" s="62">
        <f>COUNTIF($G$25:$G67, "M")</f>
        <v>0</v>
      </c>
      <c r="D22" s="61" t="s">
        <v>197</v>
      </c>
      <c r="E22" s="62">
        <f>COUNTIF($D$25:$D67, "S")</f>
        <v>0</v>
      </c>
      <c r="F22" s="30"/>
      <c r="G22" s="30"/>
      <c r="H22" s="51"/>
      <c r="I22" s="53" t="s">
        <v>198</v>
      </c>
      <c r="J22" s="54"/>
      <c r="K22" s="55" t="e">
        <f t="shared" ca="1" si="0"/>
        <v>#NAME?</v>
      </c>
      <c r="L22" s="56" t="s">
        <v>187</v>
      </c>
      <c r="M22" s="56" t="s">
        <v>188</v>
      </c>
      <c r="N22" s="57"/>
      <c r="O22" s="58"/>
      <c r="P22" s="57"/>
      <c r="Q22" s="50" t="str">
        <f t="shared" si="1"/>
        <v>0</v>
      </c>
      <c r="R22" s="50">
        <f t="shared" si="2"/>
        <v>0</v>
      </c>
      <c r="S22" s="50" t="str">
        <f t="shared" si="3"/>
        <v>NO</v>
      </c>
      <c r="T22" s="50" t="str">
        <f t="shared" si="4"/>
        <v>ENCOUNTERS</v>
      </c>
      <c r="U22" s="50" t="str">
        <f>IFERROR(VLOOKUP(T22,'Stages (DO NOT TOUCH)'!$J$3:$K$384,2,0),"")</f>
        <v/>
      </c>
      <c r="V22" s="50" t="str">
        <f>IFERROR(VLOOKUP(T22,'Stages (DO NOT TOUCH)'!$J$3:$L$271,3,0),"")</f>
        <v/>
      </c>
      <c r="W22" s="52">
        <f t="shared" ref="W22:X22" si="22">O22</f>
        <v>0</v>
      </c>
      <c r="X22" s="52">
        <f t="shared" si="22"/>
        <v>0</v>
      </c>
    </row>
    <row r="23" spans="1:24" ht="21">
      <c r="A23" s="30"/>
      <c r="B23" s="61" t="s">
        <v>199</v>
      </c>
      <c r="C23" s="63">
        <f>COUNTIF($G$25:$G67, "F/S")</f>
        <v>0</v>
      </c>
      <c r="D23" s="61" t="s">
        <v>200</v>
      </c>
      <c r="E23" s="62">
        <f>COUNTIF($D$25:$D67, "L")</f>
        <v>0</v>
      </c>
      <c r="F23" s="30"/>
      <c r="G23" s="30"/>
      <c r="H23" s="51"/>
      <c r="I23" s="42" t="s">
        <v>201</v>
      </c>
      <c r="J23" s="43"/>
      <c r="K23" s="44" t="e">
        <f t="shared" ca="1" si="0"/>
        <v>#NAME?</v>
      </c>
      <c r="L23" s="45"/>
      <c r="M23" s="46"/>
      <c r="N23" s="49"/>
      <c r="O23" s="48"/>
      <c r="P23" s="49"/>
      <c r="Q23" s="50" t="str">
        <f t="shared" si="1"/>
        <v>0</v>
      </c>
      <c r="R23" s="50">
        <f t="shared" si="2"/>
        <v>0</v>
      </c>
      <c r="S23" s="50">
        <f t="shared" si="3"/>
        <v>0</v>
      </c>
      <c r="T23" s="50">
        <f t="shared" si="4"/>
        <v>0</v>
      </c>
      <c r="U23" s="50" t="str">
        <f>IFERROR(VLOOKUP(T23,'Stages (DO NOT TOUCH)'!$J$3:$K$384,2,0),"")</f>
        <v/>
      </c>
      <c r="V23" s="50" t="str">
        <f>IFERROR(VLOOKUP(T23,'Stages (DO NOT TOUCH)'!$J$3:$L$271,3,0),"")</f>
        <v/>
      </c>
      <c r="W23" s="52">
        <f t="shared" ref="W23:X23" si="23">O23</f>
        <v>0</v>
      </c>
      <c r="X23" s="52">
        <f t="shared" si="23"/>
        <v>0</v>
      </c>
    </row>
    <row r="24" spans="1:24" ht="21">
      <c r="A24" s="30"/>
      <c r="B24" s="198" t="s">
        <v>202</v>
      </c>
      <c r="C24" s="134"/>
      <c r="D24" s="64" t="s">
        <v>174</v>
      </c>
      <c r="E24" s="198" t="s">
        <v>173</v>
      </c>
      <c r="F24" s="134"/>
      <c r="G24" s="64" t="s">
        <v>179</v>
      </c>
      <c r="H24" s="51"/>
      <c r="I24" s="42" t="s">
        <v>203</v>
      </c>
      <c r="J24" s="43"/>
      <c r="K24" s="44" t="e">
        <f t="shared" ca="1" si="0"/>
        <v>#NAME?</v>
      </c>
      <c r="L24" s="45"/>
      <c r="M24" s="46"/>
      <c r="N24" s="49"/>
      <c r="O24" s="48"/>
      <c r="P24" s="49"/>
      <c r="Q24" s="50" t="str">
        <f t="shared" si="1"/>
        <v>0</v>
      </c>
      <c r="R24" s="50">
        <f t="shared" si="2"/>
        <v>0</v>
      </c>
      <c r="S24" s="50">
        <f t="shared" si="3"/>
        <v>0</v>
      </c>
      <c r="T24" s="50">
        <f t="shared" si="4"/>
        <v>0</v>
      </c>
      <c r="U24" s="50" t="str">
        <f>IFERROR(VLOOKUP(T24,'Stages (DO NOT TOUCH)'!$J$3:$K$384,2,0),"")</f>
        <v/>
      </c>
      <c r="V24" s="50" t="str">
        <f>IFERROR(VLOOKUP(T24,'Stages (DO NOT TOUCH)'!$J$3:$L$271,3,0),"")</f>
        <v/>
      </c>
      <c r="W24" s="52">
        <f t="shared" ref="W24:X24" si="24">O24</f>
        <v>0</v>
      </c>
      <c r="X24" s="52">
        <f t="shared" si="24"/>
        <v>0</v>
      </c>
    </row>
    <row r="25" spans="1:24" ht="21">
      <c r="A25" s="30"/>
      <c r="B25" s="64" t="str">
        <f>IFERROR(VLOOKUP("D1",$Q$5:$X$66,4,0),"")</f>
        <v/>
      </c>
      <c r="C25" s="194" t="e">
        <f ca="1">_xludf.image("https://img.pokemondb.net/sprites/sun-moon/icon/"&amp;LOWER(B25)&amp;".png", 1)</f>
        <v>#NAME?</v>
      </c>
      <c r="D25" s="195" t="str">
        <f>IFERROR(VLOOKUP("D1",$Q$5:$X$66,8,0),"")</f>
        <v/>
      </c>
      <c r="E25" s="197" t="str">
        <f>IFERROR(VLOOKUP("D1",$Q$5:$X$66,7,0),"")</f>
        <v/>
      </c>
      <c r="F25" s="147"/>
      <c r="G25" s="195" t="str">
        <f>IFERROR(VLOOKUP("D1",$Q$5:$X$66,5,0),"")</f>
        <v/>
      </c>
      <c r="H25" s="51"/>
      <c r="I25" s="42" t="s">
        <v>77</v>
      </c>
      <c r="J25" s="43"/>
      <c r="K25" s="44" t="e">
        <f t="shared" ca="1" si="0"/>
        <v>#NAME?</v>
      </c>
      <c r="L25" s="45"/>
      <c r="M25" s="46"/>
      <c r="N25" s="49"/>
      <c r="O25" s="48"/>
      <c r="P25" s="49"/>
      <c r="Q25" s="50" t="str">
        <f t="shared" si="1"/>
        <v>0</v>
      </c>
      <c r="R25" s="50">
        <f t="shared" si="2"/>
        <v>0</v>
      </c>
      <c r="S25" s="50">
        <f t="shared" si="3"/>
        <v>0</v>
      </c>
      <c r="T25" s="50">
        <f t="shared" si="4"/>
        <v>0</v>
      </c>
      <c r="U25" s="50" t="str">
        <f>IFERROR(VLOOKUP(T25,'Stages (DO NOT TOUCH)'!$J$3:$K$384,2,0),"")</f>
        <v/>
      </c>
      <c r="V25" s="50" t="str">
        <f>IFERROR(VLOOKUP(T25,'Stages (DO NOT TOUCH)'!$J$3:$L$271,3,0),"")</f>
        <v/>
      </c>
      <c r="W25" s="52">
        <f t="shared" ref="W25:X25" si="25">O25</f>
        <v>0</v>
      </c>
      <c r="X25" s="52">
        <f t="shared" si="25"/>
        <v>0</v>
      </c>
    </row>
    <row r="26" spans="1:24" ht="21">
      <c r="A26" s="30"/>
      <c r="B26" s="65" t="str">
        <f>IFERROR(VLOOKUP("D1",$Q$5:$X$66,3,0),"")</f>
        <v/>
      </c>
      <c r="C26" s="139"/>
      <c r="D26" s="196"/>
      <c r="E26" s="159"/>
      <c r="F26" s="139"/>
      <c r="G26" s="196"/>
      <c r="H26" s="51"/>
      <c r="I26" s="53" t="s">
        <v>204</v>
      </c>
      <c r="J26" s="54"/>
      <c r="K26" s="55" t="e">
        <f t="shared" ca="1" si="0"/>
        <v>#NAME?</v>
      </c>
      <c r="L26" s="56" t="s">
        <v>187</v>
      </c>
      <c r="M26" s="56" t="s">
        <v>188</v>
      </c>
      <c r="N26" s="57"/>
      <c r="O26" s="58"/>
      <c r="P26" s="57"/>
      <c r="Q26" s="50" t="str">
        <f t="shared" si="1"/>
        <v>0</v>
      </c>
      <c r="R26" s="50">
        <f t="shared" si="2"/>
        <v>0</v>
      </c>
      <c r="S26" s="50" t="str">
        <f t="shared" si="3"/>
        <v>NO</v>
      </c>
      <c r="T26" s="50" t="str">
        <f t="shared" si="4"/>
        <v>ENCOUNTERS</v>
      </c>
      <c r="U26" s="50" t="str">
        <f>IFERROR(VLOOKUP(T26,'Stages (DO NOT TOUCH)'!$J$3:$K$384,2,0),"")</f>
        <v/>
      </c>
      <c r="V26" s="50" t="str">
        <f>IFERROR(VLOOKUP(T26,'Stages (DO NOT TOUCH)'!$J$3:$L$271,3,0),"")</f>
        <v/>
      </c>
      <c r="W26" s="52">
        <f t="shared" ref="W26:X26" si="26">O26</f>
        <v>0</v>
      </c>
      <c r="X26" s="52">
        <f t="shared" si="26"/>
        <v>0</v>
      </c>
    </row>
    <row r="27" spans="1:24" ht="21">
      <c r="A27" s="30"/>
      <c r="B27" s="64" t="str">
        <f>IFERROR(VLOOKUP("D2",$Q$5:$X$66,4,0),"")</f>
        <v/>
      </c>
      <c r="C27" s="194" t="e">
        <f ca="1">_xludf.image("https://img.pokemondb.net/sprites/sun-moon/icon/"&amp;LOWER(B27)&amp;".png", 1)</f>
        <v>#NAME?</v>
      </c>
      <c r="D27" s="195" t="str">
        <f>IFERROR(VLOOKUP("D2",$Q$5:$X$66,8,0),"")</f>
        <v/>
      </c>
      <c r="E27" s="197" t="str">
        <f>IFERROR(VLOOKUP("D2",$Q$5:$X$66,7,0),"")</f>
        <v/>
      </c>
      <c r="F27" s="147"/>
      <c r="G27" s="195" t="str">
        <f>IFERROR(VLOOKUP("D2",$Q$5:$X$66,5,0),"")</f>
        <v/>
      </c>
      <c r="H27" s="51"/>
      <c r="I27" s="42" t="s">
        <v>205</v>
      </c>
      <c r="J27" s="43"/>
      <c r="K27" s="44" t="e">
        <f t="shared" ca="1" si="0"/>
        <v>#NAME?</v>
      </c>
      <c r="L27" s="45"/>
      <c r="M27" s="46"/>
      <c r="N27" s="49"/>
      <c r="O27" s="48"/>
      <c r="P27" s="49"/>
      <c r="Q27" s="50" t="str">
        <f t="shared" si="1"/>
        <v>0</v>
      </c>
      <c r="R27" s="50">
        <f t="shared" si="2"/>
        <v>0</v>
      </c>
      <c r="S27" s="50">
        <f t="shared" si="3"/>
        <v>0</v>
      </c>
      <c r="T27" s="50">
        <f t="shared" si="4"/>
        <v>0</v>
      </c>
      <c r="U27" s="50" t="str">
        <f>IFERROR(VLOOKUP(T27,'Stages (DO NOT TOUCH)'!$J$3:$K$384,2,0),"")</f>
        <v/>
      </c>
      <c r="V27" s="50" t="str">
        <f>IFERROR(VLOOKUP(T27,'Stages (DO NOT TOUCH)'!$J$3:$L$271,3,0),"")</f>
        <v/>
      </c>
      <c r="W27" s="52">
        <f t="shared" ref="W27:X27" si="27">O27</f>
        <v>0</v>
      </c>
      <c r="X27" s="52">
        <f t="shared" si="27"/>
        <v>0</v>
      </c>
    </row>
    <row r="28" spans="1:24" ht="21">
      <c r="A28" s="30"/>
      <c r="B28" s="65" t="str">
        <f>IFERROR(VLOOKUP("D2",$Q$5:$X$66,3,0),"")</f>
        <v/>
      </c>
      <c r="C28" s="139"/>
      <c r="D28" s="196"/>
      <c r="E28" s="159"/>
      <c r="F28" s="139"/>
      <c r="G28" s="196"/>
      <c r="H28" s="51"/>
      <c r="I28" s="42" t="s">
        <v>206</v>
      </c>
      <c r="J28" s="43"/>
      <c r="K28" s="44" t="e">
        <f t="shared" ca="1" si="0"/>
        <v>#NAME?</v>
      </c>
      <c r="L28" s="45"/>
      <c r="M28" s="46"/>
      <c r="N28" s="49"/>
      <c r="O28" s="48"/>
      <c r="P28" s="49"/>
      <c r="Q28" s="50" t="str">
        <f t="shared" si="1"/>
        <v>0</v>
      </c>
      <c r="R28" s="50">
        <f t="shared" si="2"/>
        <v>0</v>
      </c>
      <c r="S28" s="50">
        <f t="shared" si="3"/>
        <v>0</v>
      </c>
      <c r="T28" s="50">
        <f t="shared" si="4"/>
        <v>0</v>
      </c>
      <c r="U28" s="50" t="str">
        <f>IFERROR(VLOOKUP(T28,'Stages (DO NOT TOUCH)'!$J$3:$K$384,2,0),"")</f>
        <v/>
      </c>
      <c r="V28" s="50" t="str">
        <f>IFERROR(VLOOKUP(T28,'Stages (DO NOT TOUCH)'!$J$3:$L$271,3,0),"")</f>
        <v/>
      </c>
      <c r="W28" s="52">
        <f t="shared" ref="W28:X28" si="28">O28</f>
        <v>0</v>
      </c>
      <c r="X28" s="52">
        <f t="shared" si="28"/>
        <v>0</v>
      </c>
    </row>
    <row r="29" spans="1:24" ht="21">
      <c r="A29" s="30"/>
      <c r="B29" s="64" t="str">
        <f>IFERROR(VLOOKUP("D3",$Q$5:$X$66,4,0),"")</f>
        <v/>
      </c>
      <c r="C29" s="194" t="e">
        <f ca="1">_xludf.image("https://img.pokemondb.net/sprites/sun-moon/icon/"&amp;LOWER(B29)&amp;".png", 1)</f>
        <v>#NAME?</v>
      </c>
      <c r="D29" s="195" t="str">
        <f>IFERROR(VLOOKUP("D3",$Q$5:$X$66,8,0),"")</f>
        <v/>
      </c>
      <c r="E29" s="197" t="str">
        <f>IFERROR(VLOOKUP("D3",$Q$5:$X$66,7,0),"")</f>
        <v/>
      </c>
      <c r="F29" s="147"/>
      <c r="G29" s="195" t="str">
        <f>IFERROR(VLOOKUP("D3",$Q$5:$X$66,5,0),"")</f>
        <v/>
      </c>
      <c r="H29" s="51"/>
      <c r="I29" s="42" t="s">
        <v>88</v>
      </c>
      <c r="J29" s="43"/>
      <c r="K29" s="44" t="e">
        <f t="shared" ca="1" si="0"/>
        <v>#NAME?</v>
      </c>
      <c r="L29" s="45"/>
      <c r="M29" s="46"/>
      <c r="N29" s="49"/>
      <c r="O29" s="48"/>
      <c r="P29" s="49"/>
      <c r="Q29" s="50" t="str">
        <f t="shared" si="1"/>
        <v>0</v>
      </c>
      <c r="R29" s="50">
        <f t="shared" si="2"/>
        <v>0</v>
      </c>
      <c r="S29" s="50">
        <f t="shared" si="3"/>
        <v>0</v>
      </c>
      <c r="T29" s="50">
        <f t="shared" si="4"/>
        <v>0</v>
      </c>
      <c r="U29" s="50" t="str">
        <f>IFERROR(VLOOKUP(T29,'Stages (DO NOT TOUCH)'!$J$3:$K$384,2,0),"")</f>
        <v/>
      </c>
      <c r="V29" s="50" t="str">
        <f>IFERROR(VLOOKUP(T29,'Stages (DO NOT TOUCH)'!$J$3:$L$271,3,0),"")</f>
        <v/>
      </c>
      <c r="W29" s="52">
        <f t="shared" ref="W29:X29" si="29">O29</f>
        <v>0</v>
      </c>
      <c r="X29" s="52">
        <f t="shared" si="29"/>
        <v>0</v>
      </c>
    </row>
    <row r="30" spans="1:24" ht="21">
      <c r="A30" s="30"/>
      <c r="B30" s="65" t="str">
        <f>IFERROR(VLOOKUP("D3",$Q$5:$X$66,3,0),"")</f>
        <v/>
      </c>
      <c r="C30" s="139"/>
      <c r="D30" s="196"/>
      <c r="E30" s="159"/>
      <c r="F30" s="139"/>
      <c r="G30" s="196"/>
      <c r="H30" s="51"/>
      <c r="I30" s="42" t="s">
        <v>207</v>
      </c>
      <c r="J30" s="43"/>
      <c r="K30" s="44" t="e">
        <f t="shared" ca="1" si="0"/>
        <v>#NAME?</v>
      </c>
      <c r="L30" s="45"/>
      <c r="M30" s="46"/>
      <c r="N30" s="49"/>
      <c r="O30" s="48"/>
      <c r="P30" s="49"/>
      <c r="Q30" s="50" t="str">
        <f t="shared" si="1"/>
        <v>0</v>
      </c>
      <c r="R30" s="50">
        <f t="shared" si="2"/>
        <v>0</v>
      </c>
      <c r="S30" s="50">
        <f t="shared" si="3"/>
        <v>0</v>
      </c>
      <c r="T30" s="50">
        <f t="shared" si="4"/>
        <v>0</v>
      </c>
      <c r="U30" s="50" t="str">
        <f>IFERROR(VLOOKUP(T30,'Stages (DO NOT TOUCH)'!$J$3:$K$384,2,0),"")</f>
        <v/>
      </c>
      <c r="V30" s="50" t="str">
        <f>IFERROR(VLOOKUP(T30,'Stages (DO NOT TOUCH)'!$J$3:$L$271,3,0),"")</f>
        <v/>
      </c>
      <c r="W30" s="52">
        <f t="shared" ref="W30:X30" si="30">O30</f>
        <v>0</v>
      </c>
      <c r="X30" s="52">
        <f t="shared" si="30"/>
        <v>0</v>
      </c>
    </row>
    <row r="31" spans="1:24" ht="21">
      <c r="A31" s="30"/>
      <c r="B31" s="64" t="str">
        <f>IFERROR(VLOOKUP("D4",$Q$5:$X$66,4,0),"")</f>
        <v/>
      </c>
      <c r="C31" s="194" t="e">
        <f ca="1">_xludf.image("https://img.pokemondb.net/sprites/sun-moon/icon/"&amp;LOWER(B31)&amp;".png", 1)</f>
        <v>#NAME?</v>
      </c>
      <c r="D31" s="195" t="str">
        <f>IFERROR(VLOOKUP("D4",$Q$5:$X$66,8,0),"")</f>
        <v/>
      </c>
      <c r="E31" s="197" t="str">
        <f>IFERROR(VLOOKUP("D4",$Q$5:$X$66,7,0),"")</f>
        <v/>
      </c>
      <c r="F31" s="147"/>
      <c r="G31" s="195" t="str">
        <f>IFERROR(VLOOKUP("D4",$Q$5:$X$66,5,0),"")</f>
        <v/>
      </c>
      <c r="H31" s="51"/>
      <c r="I31" s="42" t="s">
        <v>96</v>
      </c>
      <c r="J31" s="43"/>
      <c r="K31" s="44" t="e">
        <f t="shared" ca="1" si="0"/>
        <v>#NAME?</v>
      </c>
      <c r="L31" s="45"/>
      <c r="M31" s="46"/>
      <c r="N31" s="49"/>
      <c r="O31" s="48"/>
      <c r="P31" s="49"/>
      <c r="Q31" s="50" t="str">
        <f t="shared" si="1"/>
        <v>0</v>
      </c>
      <c r="R31" s="50">
        <f t="shared" si="2"/>
        <v>0</v>
      </c>
      <c r="S31" s="50">
        <f t="shared" si="3"/>
        <v>0</v>
      </c>
      <c r="T31" s="50">
        <f t="shared" si="4"/>
        <v>0</v>
      </c>
      <c r="U31" s="50" t="str">
        <f>IFERROR(VLOOKUP(T31,'Stages (DO NOT TOUCH)'!$J$3:$K$384,2,0),"")</f>
        <v/>
      </c>
      <c r="V31" s="50" t="str">
        <f>IFERROR(VLOOKUP(T31,'Stages (DO NOT TOUCH)'!$J$3:$L$271,3,0),"")</f>
        <v/>
      </c>
      <c r="W31" s="52">
        <f t="shared" ref="W31:X31" si="31">O31</f>
        <v>0</v>
      </c>
      <c r="X31" s="52">
        <f t="shared" si="31"/>
        <v>0</v>
      </c>
    </row>
    <row r="32" spans="1:24" ht="21">
      <c r="A32" s="30"/>
      <c r="B32" s="65" t="str">
        <f>IFERROR(VLOOKUP("D4",$Q$5:$X$66,3,0),"")</f>
        <v/>
      </c>
      <c r="C32" s="139"/>
      <c r="D32" s="196"/>
      <c r="E32" s="159"/>
      <c r="F32" s="139"/>
      <c r="G32" s="196"/>
      <c r="H32" s="51"/>
      <c r="I32" s="42" t="s">
        <v>208</v>
      </c>
      <c r="J32" s="43"/>
      <c r="K32" s="44" t="e">
        <f t="shared" ca="1" si="0"/>
        <v>#NAME?</v>
      </c>
      <c r="L32" s="45"/>
      <c r="M32" s="46"/>
      <c r="N32" s="49"/>
      <c r="O32" s="48"/>
      <c r="P32" s="49"/>
      <c r="Q32" s="50" t="str">
        <f t="shared" si="1"/>
        <v>0</v>
      </c>
      <c r="R32" s="50">
        <f t="shared" si="2"/>
        <v>0</v>
      </c>
      <c r="S32" s="50">
        <f t="shared" si="3"/>
        <v>0</v>
      </c>
      <c r="T32" s="50">
        <f t="shared" si="4"/>
        <v>0</v>
      </c>
      <c r="U32" s="50" t="str">
        <f>IFERROR(VLOOKUP(T32,'Stages (DO NOT TOUCH)'!$J$3:$K$384,2,0),"")</f>
        <v/>
      </c>
      <c r="V32" s="50" t="str">
        <f>IFERROR(VLOOKUP(T32,'Stages (DO NOT TOUCH)'!$J$3:$L$271,3,0),"")</f>
        <v/>
      </c>
      <c r="W32" s="52">
        <f t="shared" ref="W32:X32" si="32">O32</f>
        <v>0</v>
      </c>
      <c r="X32" s="52">
        <f t="shared" si="32"/>
        <v>0</v>
      </c>
    </row>
    <row r="33" spans="1:24" ht="21">
      <c r="A33" s="30"/>
      <c r="B33" s="64" t="str">
        <f>IFERROR(VLOOKUP("D5",$Q$5:$X$66,4,0),"")</f>
        <v/>
      </c>
      <c r="C33" s="194" t="e">
        <f ca="1">_xludf.image("https://img.pokemondb.net/sprites/sun-moon/icon/"&amp;LOWER(B33)&amp;".png", 1)</f>
        <v>#NAME?</v>
      </c>
      <c r="D33" s="195" t="str">
        <f>IFERROR(VLOOKUP("D5",$Q$5:$X$66,8,0),"")</f>
        <v/>
      </c>
      <c r="E33" s="197" t="str">
        <f>IFERROR(VLOOKUP("D5",$Q$5:$X$66,7,0),"")</f>
        <v/>
      </c>
      <c r="F33" s="147"/>
      <c r="G33" s="195" t="str">
        <f>IFERROR(VLOOKUP("D5",$Q$5:$X$66,5,0),"")</f>
        <v/>
      </c>
      <c r="H33" s="51"/>
      <c r="I33" s="42" t="s">
        <v>209</v>
      </c>
      <c r="J33" s="43"/>
      <c r="K33" s="44" t="e">
        <f t="shared" ca="1" si="0"/>
        <v>#NAME?</v>
      </c>
      <c r="L33" s="45"/>
      <c r="M33" s="46"/>
      <c r="N33" s="49"/>
      <c r="O33" s="48"/>
      <c r="P33" s="49"/>
      <c r="Q33" s="50" t="str">
        <f t="shared" si="1"/>
        <v>0</v>
      </c>
      <c r="R33" s="50">
        <f t="shared" si="2"/>
        <v>0</v>
      </c>
      <c r="S33" s="50">
        <f t="shared" si="3"/>
        <v>0</v>
      </c>
      <c r="T33" s="50">
        <f t="shared" si="4"/>
        <v>0</v>
      </c>
      <c r="U33" s="50" t="str">
        <f>IFERROR(VLOOKUP(T33,'Stages (DO NOT TOUCH)'!$J$3:$K$384,2,0),"")</f>
        <v/>
      </c>
      <c r="V33" s="50" t="str">
        <f>IFERROR(VLOOKUP(T33,'Stages (DO NOT TOUCH)'!$J$3:$L$271,3,0),"")</f>
        <v/>
      </c>
      <c r="W33" s="52">
        <f t="shared" ref="W33:X33" si="33">O33</f>
        <v>0</v>
      </c>
      <c r="X33" s="52">
        <f t="shared" si="33"/>
        <v>0</v>
      </c>
    </row>
    <row r="34" spans="1:24" ht="21">
      <c r="A34" s="30"/>
      <c r="B34" s="65" t="str">
        <f>IFERROR(VLOOKUP("D5",$Q$5:$X$66,3,0),"")</f>
        <v/>
      </c>
      <c r="C34" s="139"/>
      <c r="D34" s="196"/>
      <c r="E34" s="159"/>
      <c r="F34" s="139"/>
      <c r="G34" s="196"/>
      <c r="H34" s="51"/>
      <c r="I34" s="42" t="s">
        <v>103</v>
      </c>
      <c r="J34" s="43"/>
      <c r="K34" s="44" t="e">
        <f t="shared" ca="1" si="0"/>
        <v>#NAME?</v>
      </c>
      <c r="L34" s="45"/>
      <c r="M34" s="46"/>
      <c r="N34" s="49"/>
      <c r="O34" s="48"/>
      <c r="P34" s="49"/>
      <c r="Q34" s="50" t="str">
        <f t="shared" si="1"/>
        <v>0</v>
      </c>
      <c r="R34" s="50">
        <f t="shared" si="2"/>
        <v>0</v>
      </c>
      <c r="S34" s="50">
        <f t="shared" si="3"/>
        <v>0</v>
      </c>
      <c r="T34" s="50">
        <f t="shared" si="4"/>
        <v>0</v>
      </c>
      <c r="U34" s="50" t="str">
        <f>IFERROR(VLOOKUP(T34,'Stages (DO NOT TOUCH)'!$J$3:$K$384,2,0),"")</f>
        <v/>
      </c>
      <c r="V34" s="50" t="str">
        <f>IFERROR(VLOOKUP(T34,'Stages (DO NOT TOUCH)'!$J$3:$L$271,3,0),"")</f>
        <v/>
      </c>
      <c r="W34" s="52">
        <f t="shared" ref="W34:X34" si="34">O34</f>
        <v>0</v>
      </c>
      <c r="X34" s="52">
        <f t="shared" si="34"/>
        <v>0</v>
      </c>
    </row>
    <row r="35" spans="1:24" ht="21">
      <c r="A35" s="30"/>
      <c r="B35" s="64" t="str">
        <f>IFERROR(VLOOKUP("D6",$Q$5:$X$66,4,0),"")</f>
        <v/>
      </c>
      <c r="C35" s="194" t="e">
        <f ca="1">_xludf.image("https://img.pokemondb.net/sprites/sun-moon/icon/"&amp;LOWER(B35)&amp;".png", 1)</f>
        <v>#NAME?</v>
      </c>
      <c r="D35" s="195" t="str">
        <f>IFERROR(VLOOKUP("D6",$Q$5:$X$66,8,0),"")</f>
        <v/>
      </c>
      <c r="E35" s="197" t="str">
        <f>IFERROR(VLOOKUP("D6",$Q$5:$X$66,7,0),"")</f>
        <v/>
      </c>
      <c r="F35" s="147"/>
      <c r="G35" s="195" t="str">
        <f>IFERROR(VLOOKUP("D6",$Q$5:$X$66,5,0),"")</f>
        <v/>
      </c>
      <c r="H35" s="51"/>
      <c r="I35" s="53" t="s">
        <v>210</v>
      </c>
      <c r="J35" s="54"/>
      <c r="K35" s="55" t="e">
        <f t="shared" ca="1" si="0"/>
        <v>#NAME?</v>
      </c>
      <c r="L35" s="56" t="s">
        <v>187</v>
      </c>
      <c r="M35" s="56" t="s">
        <v>188</v>
      </c>
      <c r="N35" s="57"/>
      <c r="O35" s="58"/>
      <c r="P35" s="57"/>
      <c r="Q35" s="50" t="str">
        <f t="shared" si="1"/>
        <v>0</v>
      </c>
      <c r="R35" s="50">
        <f t="shared" si="2"/>
        <v>0</v>
      </c>
      <c r="S35" s="50" t="str">
        <f t="shared" si="3"/>
        <v>NO</v>
      </c>
      <c r="T35" s="50" t="str">
        <f t="shared" si="4"/>
        <v>ENCOUNTERS</v>
      </c>
      <c r="U35" s="50" t="str">
        <f>IFERROR(VLOOKUP(T35,'Stages (DO NOT TOUCH)'!$J$3:$K$384,2,0),"")</f>
        <v/>
      </c>
      <c r="V35" s="50" t="str">
        <f>IFERROR(VLOOKUP(T35,'Stages (DO NOT TOUCH)'!$J$3:$L$271,3,0),"")</f>
        <v/>
      </c>
      <c r="W35" s="52">
        <f t="shared" ref="W35:X35" si="35">O35</f>
        <v>0</v>
      </c>
      <c r="X35" s="52">
        <f t="shared" si="35"/>
        <v>0</v>
      </c>
    </row>
    <row r="36" spans="1:24" ht="21">
      <c r="A36" s="30"/>
      <c r="B36" s="65" t="str">
        <f>IFERROR(VLOOKUP("D6",$Q$5:$X$66,3,0),"")</f>
        <v/>
      </c>
      <c r="C36" s="139"/>
      <c r="D36" s="196"/>
      <c r="E36" s="159"/>
      <c r="F36" s="139"/>
      <c r="G36" s="196"/>
      <c r="H36" s="51"/>
      <c r="I36" s="42" t="s">
        <v>108</v>
      </c>
      <c r="J36" s="43"/>
      <c r="K36" s="44" t="e">
        <f t="shared" ca="1" si="0"/>
        <v>#NAME?</v>
      </c>
      <c r="L36" s="45"/>
      <c r="M36" s="46"/>
      <c r="N36" s="49"/>
      <c r="O36" s="48"/>
      <c r="P36" s="49"/>
      <c r="Q36" s="50" t="str">
        <f t="shared" si="1"/>
        <v>0</v>
      </c>
      <c r="R36" s="50">
        <f t="shared" si="2"/>
        <v>0</v>
      </c>
      <c r="S36" s="50">
        <f t="shared" si="3"/>
        <v>0</v>
      </c>
      <c r="T36" s="50">
        <f t="shared" si="4"/>
        <v>0</v>
      </c>
      <c r="U36" s="50" t="str">
        <f>IFERROR(VLOOKUP(T36,'Stages (DO NOT TOUCH)'!$J$3:$K$384,2,0),"")</f>
        <v/>
      </c>
      <c r="V36" s="50" t="str">
        <f>IFERROR(VLOOKUP(T36,'Stages (DO NOT TOUCH)'!$J$3:$L$271,3,0),"")</f>
        <v/>
      </c>
      <c r="W36" s="52">
        <f t="shared" ref="W36:X36" si="36">O36</f>
        <v>0</v>
      </c>
      <c r="X36" s="52">
        <f t="shared" si="36"/>
        <v>0</v>
      </c>
    </row>
    <row r="37" spans="1:24" ht="21">
      <c r="A37" s="30"/>
      <c r="B37" s="64" t="str">
        <f>IFERROR(VLOOKUP("D7",$Q$5:$X$66,4,0),"")</f>
        <v/>
      </c>
      <c r="C37" s="194" t="e">
        <f ca="1">_xludf.image("https://img.pokemondb.net/sprites/sun-moon/icon/"&amp;LOWER(B37)&amp;".png", 1)</f>
        <v>#NAME?</v>
      </c>
      <c r="D37" s="195" t="str">
        <f>IFERROR(VLOOKUP("D7",$Q$5:$X$66,8,0),"")</f>
        <v/>
      </c>
      <c r="E37" s="197" t="str">
        <f>IFERROR(VLOOKUP("D7",$Q$5:$X$66,7,0),"")</f>
        <v/>
      </c>
      <c r="F37" s="147"/>
      <c r="G37" s="195" t="str">
        <f>IFERROR(VLOOKUP("D7",$Q$5:$X$66,5,0),"")</f>
        <v/>
      </c>
      <c r="H37" s="51"/>
      <c r="I37" s="53" t="s">
        <v>211</v>
      </c>
      <c r="J37" s="54"/>
      <c r="K37" s="55" t="e">
        <f t="shared" ca="1" si="0"/>
        <v>#NAME?</v>
      </c>
      <c r="L37" s="56" t="s">
        <v>187</v>
      </c>
      <c r="M37" s="56" t="s">
        <v>188</v>
      </c>
      <c r="N37" s="57"/>
      <c r="O37" s="58"/>
      <c r="P37" s="57"/>
      <c r="Q37" s="50" t="str">
        <f t="shared" si="1"/>
        <v>0</v>
      </c>
      <c r="R37" s="50">
        <f t="shared" si="2"/>
        <v>0</v>
      </c>
      <c r="S37" s="50" t="str">
        <f t="shared" si="3"/>
        <v>NO</v>
      </c>
      <c r="T37" s="50" t="str">
        <f t="shared" si="4"/>
        <v>ENCOUNTERS</v>
      </c>
      <c r="U37" s="50" t="str">
        <f>IFERROR(VLOOKUP(T37,'Stages (DO NOT TOUCH)'!$J$3:$K$384,2,0),"")</f>
        <v/>
      </c>
      <c r="V37" s="50" t="str">
        <f>IFERROR(VLOOKUP(T37,'Stages (DO NOT TOUCH)'!$J$3:$L$271,3,0),"")</f>
        <v/>
      </c>
      <c r="W37" s="52">
        <f t="shared" ref="W37:X37" si="37">O37</f>
        <v>0</v>
      </c>
      <c r="X37" s="52">
        <f t="shared" si="37"/>
        <v>0</v>
      </c>
    </row>
    <row r="38" spans="1:24" ht="21">
      <c r="A38" s="30"/>
      <c r="B38" s="65" t="str">
        <f>IFERROR(VLOOKUP("D7",$Q$5:$X$66,3,0),"")</f>
        <v/>
      </c>
      <c r="C38" s="139"/>
      <c r="D38" s="196"/>
      <c r="E38" s="159"/>
      <c r="F38" s="139"/>
      <c r="G38" s="196"/>
      <c r="H38" s="51"/>
      <c r="I38" s="42" t="s">
        <v>123</v>
      </c>
      <c r="J38" s="43"/>
      <c r="K38" s="44" t="e">
        <f t="shared" ca="1" si="0"/>
        <v>#NAME?</v>
      </c>
      <c r="L38" s="45"/>
      <c r="M38" s="46"/>
      <c r="N38" s="49"/>
      <c r="O38" s="48"/>
      <c r="P38" s="49"/>
      <c r="Q38" s="50" t="str">
        <f t="shared" si="1"/>
        <v>0</v>
      </c>
      <c r="R38" s="50">
        <f t="shared" si="2"/>
        <v>0</v>
      </c>
      <c r="S38" s="50">
        <f t="shared" si="3"/>
        <v>0</v>
      </c>
      <c r="T38" s="50">
        <f t="shared" si="4"/>
        <v>0</v>
      </c>
      <c r="U38" s="50" t="str">
        <f>IFERROR(VLOOKUP(T38,'Stages (DO NOT TOUCH)'!$J$3:$K$384,2,0),"")</f>
        <v/>
      </c>
      <c r="V38" s="50" t="str">
        <f>IFERROR(VLOOKUP(T38,'Stages (DO NOT TOUCH)'!$J$3:$L$271,3,0),"")</f>
        <v/>
      </c>
      <c r="W38" s="52">
        <f t="shared" ref="W38:X38" si="38">O38</f>
        <v>0</v>
      </c>
      <c r="X38" s="52">
        <f t="shared" si="38"/>
        <v>0</v>
      </c>
    </row>
    <row r="39" spans="1:24" ht="21">
      <c r="A39" s="30"/>
      <c r="B39" s="64" t="str">
        <f>IFERROR(VLOOKUP("D8",$Q$5:$X$66,4,0),"")</f>
        <v/>
      </c>
      <c r="C39" s="194" t="e">
        <f ca="1">_xludf.image("https://img.pokemondb.net/sprites/sun-moon/icon/"&amp;LOWER(B39)&amp;".png", 1)</f>
        <v>#NAME?</v>
      </c>
      <c r="D39" s="195" t="str">
        <f>IFERROR(VLOOKUP("D8",$Q$5:$X$66,8,0),"")</f>
        <v/>
      </c>
      <c r="E39" s="197" t="str">
        <f>IFERROR(VLOOKUP("D8",$Q$5:$X$66,7,0),"")</f>
        <v/>
      </c>
      <c r="F39" s="147"/>
      <c r="G39" s="195" t="str">
        <f>IFERROR(VLOOKUP("D8",$Q$5:$X$66,5,0),"")</f>
        <v/>
      </c>
      <c r="H39" s="51"/>
      <c r="I39" s="42" t="s">
        <v>113</v>
      </c>
      <c r="J39" s="43"/>
      <c r="K39" s="44" t="e">
        <f t="shared" ca="1" si="0"/>
        <v>#NAME?</v>
      </c>
      <c r="L39" s="45"/>
      <c r="M39" s="46"/>
      <c r="N39" s="49"/>
      <c r="O39" s="48"/>
      <c r="P39" s="49"/>
      <c r="Q39" s="50" t="str">
        <f t="shared" si="1"/>
        <v>0</v>
      </c>
      <c r="R39" s="50">
        <f t="shared" si="2"/>
        <v>0</v>
      </c>
      <c r="S39" s="50">
        <f t="shared" si="3"/>
        <v>0</v>
      </c>
      <c r="T39" s="50">
        <f t="shared" si="4"/>
        <v>0</v>
      </c>
      <c r="U39" s="50" t="str">
        <f>IFERROR(VLOOKUP(T39,'Stages (DO NOT TOUCH)'!$J$3:$K$384,2,0),"")</f>
        <v/>
      </c>
      <c r="V39" s="50" t="str">
        <f>IFERROR(VLOOKUP(T39,'Stages (DO NOT TOUCH)'!$J$3:$L$271,3,0),"")</f>
        <v/>
      </c>
      <c r="W39" s="52">
        <f t="shared" ref="W39:X39" si="39">O39</f>
        <v>0</v>
      </c>
      <c r="X39" s="52">
        <f t="shared" si="39"/>
        <v>0</v>
      </c>
    </row>
    <row r="40" spans="1:24" ht="21">
      <c r="A40" s="30"/>
      <c r="B40" s="65" t="str">
        <f>IFERROR(VLOOKUP("D8",$Q$5:$X$66,3,0),"")</f>
        <v/>
      </c>
      <c r="C40" s="139"/>
      <c r="D40" s="196"/>
      <c r="E40" s="159"/>
      <c r="F40" s="139"/>
      <c r="G40" s="196"/>
      <c r="H40" s="51"/>
      <c r="I40" s="42" t="s">
        <v>212</v>
      </c>
      <c r="J40" s="43"/>
      <c r="K40" s="44" t="e">
        <f t="shared" ca="1" si="0"/>
        <v>#NAME?</v>
      </c>
      <c r="L40" s="45"/>
      <c r="M40" s="46"/>
      <c r="N40" s="49"/>
      <c r="O40" s="48"/>
      <c r="P40" s="49"/>
      <c r="Q40" s="50" t="str">
        <f t="shared" si="1"/>
        <v>0</v>
      </c>
      <c r="R40" s="50">
        <f t="shared" si="2"/>
        <v>0</v>
      </c>
      <c r="S40" s="50">
        <f t="shared" si="3"/>
        <v>0</v>
      </c>
      <c r="T40" s="50">
        <f t="shared" si="4"/>
        <v>0</v>
      </c>
      <c r="U40" s="50" t="str">
        <f>IFERROR(VLOOKUP(T40,'Stages (DO NOT TOUCH)'!$J$3:$K$384,2,0),"")</f>
        <v/>
      </c>
      <c r="V40" s="50" t="str">
        <f>IFERROR(VLOOKUP(T40,'Stages (DO NOT TOUCH)'!$J$3:$L$271,3,0),"")</f>
        <v/>
      </c>
      <c r="W40" s="52">
        <f t="shared" ref="W40:X40" si="40">O40</f>
        <v>0</v>
      </c>
      <c r="X40" s="52">
        <f t="shared" si="40"/>
        <v>0</v>
      </c>
    </row>
    <row r="41" spans="1:24" ht="21">
      <c r="A41" s="30"/>
      <c r="B41" s="64" t="str">
        <f>IFERROR(VLOOKUP("D9",$Q$5:$X$66,4,0),"")</f>
        <v/>
      </c>
      <c r="C41" s="194" t="e">
        <f ca="1">_xludf.image("https://img.pokemondb.net/sprites/sun-moon/icon/"&amp;LOWER(B41)&amp;".png", 1)</f>
        <v>#NAME?</v>
      </c>
      <c r="D41" s="195" t="str">
        <f>IFERROR(VLOOKUP("D9",$Q$5:$X$66,8,0),"")</f>
        <v/>
      </c>
      <c r="E41" s="197" t="str">
        <f>IFERROR(VLOOKUP("D9",$Q$5:$X$66,7,0),"")</f>
        <v/>
      </c>
      <c r="F41" s="147"/>
      <c r="G41" s="195" t="str">
        <f>IFERROR(VLOOKUP("D9",$Q$5:$X$66,5,0),"")</f>
        <v/>
      </c>
      <c r="H41" s="51"/>
      <c r="I41" s="42" t="s">
        <v>213</v>
      </c>
      <c r="J41" s="43"/>
      <c r="K41" s="44" t="e">
        <f t="shared" ca="1" si="0"/>
        <v>#NAME?</v>
      </c>
      <c r="L41" s="45"/>
      <c r="M41" s="46"/>
      <c r="N41" s="49"/>
      <c r="O41" s="48"/>
      <c r="P41" s="49"/>
      <c r="Q41" s="50" t="str">
        <f t="shared" si="1"/>
        <v>0</v>
      </c>
      <c r="R41" s="50">
        <f t="shared" si="2"/>
        <v>0</v>
      </c>
      <c r="S41" s="50">
        <f t="shared" si="3"/>
        <v>0</v>
      </c>
      <c r="T41" s="50">
        <f t="shared" si="4"/>
        <v>0</v>
      </c>
      <c r="U41" s="50" t="str">
        <f>IFERROR(VLOOKUP(T41,'Stages (DO NOT TOUCH)'!$J$3:$K$384,2,0),"")</f>
        <v/>
      </c>
      <c r="V41" s="50" t="str">
        <f>IFERROR(VLOOKUP(T41,'Stages (DO NOT TOUCH)'!$J$3:$L$271,3,0),"")</f>
        <v/>
      </c>
      <c r="W41" s="52">
        <f t="shared" ref="W41:X41" si="41">O41</f>
        <v>0</v>
      </c>
      <c r="X41" s="52">
        <f t="shared" si="41"/>
        <v>0</v>
      </c>
    </row>
    <row r="42" spans="1:24" ht="21">
      <c r="A42" s="30"/>
      <c r="B42" s="65" t="str">
        <f>IFERROR(VLOOKUP("D9",$Q$5:$X$66,3,0),"")</f>
        <v/>
      </c>
      <c r="C42" s="139"/>
      <c r="D42" s="196"/>
      <c r="E42" s="159"/>
      <c r="F42" s="139"/>
      <c r="G42" s="196"/>
      <c r="H42" s="51"/>
      <c r="I42" s="42" t="s">
        <v>214</v>
      </c>
      <c r="J42" s="43"/>
      <c r="K42" s="44" t="e">
        <f t="shared" ca="1" si="0"/>
        <v>#NAME?</v>
      </c>
      <c r="L42" s="45"/>
      <c r="M42" s="46"/>
      <c r="N42" s="49"/>
      <c r="O42" s="48"/>
      <c r="P42" s="49"/>
      <c r="Q42" s="50" t="str">
        <f t="shared" si="1"/>
        <v>0</v>
      </c>
      <c r="R42" s="50">
        <f t="shared" si="2"/>
        <v>0</v>
      </c>
      <c r="S42" s="50">
        <f t="shared" si="3"/>
        <v>0</v>
      </c>
      <c r="T42" s="50">
        <f t="shared" si="4"/>
        <v>0</v>
      </c>
      <c r="U42" s="50" t="str">
        <f>IFERROR(VLOOKUP(T42,'Stages (DO NOT TOUCH)'!$J$3:$K$384,2,0),"")</f>
        <v/>
      </c>
      <c r="V42" s="50" t="str">
        <f>IFERROR(VLOOKUP(T42,'Stages (DO NOT TOUCH)'!$J$3:$L$271,3,0),"")</f>
        <v/>
      </c>
      <c r="W42" s="52">
        <f t="shared" ref="W42:X42" si="42">O42</f>
        <v>0</v>
      </c>
      <c r="X42" s="52">
        <f t="shared" si="42"/>
        <v>0</v>
      </c>
    </row>
    <row r="43" spans="1:24" ht="21">
      <c r="A43" s="30"/>
      <c r="B43" s="64" t="str">
        <f>IFERROR(VLOOKUP("D10",$Q$5:$X$66,4,0),"")</f>
        <v/>
      </c>
      <c r="C43" s="194" t="e">
        <f ca="1">_xludf.image("https://img.pokemondb.net/sprites/sun-moon/icon/"&amp;LOWER(B43)&amp;".png", 1)</f>
        <v>#NAME?</v>
      </c>
      <c r="D43" s="195" t="str">
        <f>IFERROR(VLOOKUP("D10",$Q$5:$X$66,8,0),"")</f>
        <v/>
      </c>
      <c r="E43" s="197" t="str">
        <f>IFERROR(VLOOKUP("D10",$Q$5:$X$66,7,0),"")</f>
        <v/>
      </c>
      <c r="F43" s="147"/>
      <c r="G43" s="195" t="str">
        <f>IFERROR(VLOOKUP("D10",$Q$5:$X$66,5,0),"")</f>
        <v/>
      </c>
      <c r="H43" s="51"/>
      <c r="I43" s="42" t="s">
        <v>215</v>
      </c>
      <c r="J43" s="43"/>
      <c r="K43" s="44" t="e">
        <f t="shared" ca="1" si="0"/>
        <v>#NAME?</v>
      </c>
      <c r="L43" s="45"/>
      <c r="M43" s="46"/>
      <c r="N43" s="49"/>
      <c r="O43" s="48"/>
      <c r="P43" s="49"/>
      <c r="Q43" s="50" t="str">
        <f t="shared" si="1"/>
        <v>0</v>
      </c>
      <c r="R43" s="50">
        <f t="shared" si="2"/>
        <v>0</v>
      </c>
      <c r="S43" s="50">
        <f t="shared" si="3"/>
        <v>0</v>
      </c>
      <c r="T43" s="50">
        <f t="shared" si="4"/>
        <v>0</v>
      </c>
      <c r="U43" s="50" t="str">
        <f>IFERROR(VLOOKUP(T43,'Stages (DO NOT TOUCH)'!$J$3:$K$384,2,0),"")</f>
        <v/>
      </c>
      <c r="V43" s="50" t="str">
        <f>IFERROR(VLOOKUP(T43,'Stages (DO NOT TOUCH)'!$J$3:$L$271,3,0),"")</f>
        <v/>
      </c>
      <c r="W43" s="52">
        <f t="shared" ref="W43:X43" si="43">O43</f>
        <v>0</v>
      </c>
      <c r="X43" s="52">
        <f t="shared" si="43"/>
        <v>0</v>
      </c>
    </row>
    <row r="44" spans="1:24" ht="21">
      <c r="A44" s="30"/>
      <c r="B44" s="65" t="str">
        <f>IFERROR(VLOOKUP("D10",$Q$5:$X$66,3,0),"")</f>
        <v/>
      </c>
      <c r="C44" s="139"/>
      <c r="D44" s="196"/>
      <c r="E44" s="159"/>
      <c r="F44" s="139"/>
      <c r="G44" s="196"/>
      <c r="H44" s="51"/>
      <c r="I44" s="42" t="s">
        <v>216</v>
      </c>
      <c r="J44" s="43"/>
      <c r="K44" s="44" t="e">
        <f t="shared" ca="1" si="0"/>
        <v>#NAME?</v>
      </c>
      <c r="L44" s="45"/>
      <c r="M44" s="46"/>
      <c r="N44" s="49"/>
      <c r="O44" s="48"/>
      <c r="P44" s="49"/>
      <c r="Q44" s="50" t="str">
        <f t="shared" si="1"/>
        <v>0</v>
      </c>
      <c r="R44" s="50">
        <f t="shared" si="2"/>
        <v>0</v>
      </c>
      <c r="S44" s="50">
        <f t="shared" si="3"/>
        <v>0</v>
      </c>
      <c r="T44" s="50">
        <f t="shared" si="4"/>
        <v>0</v>
      </c>
      <c r="U44" s="50" t="str">
        <f>IFERROR(VLOOKUP(T44,'Stages (DO NOT TOUCH)'!$J$3:$K$384,2,0),"")</f>
        <v/>
      </c>
      <c r="V44" s="50" t="str">
        <f>IFERROR(VLOOKUP(T44,'Stages (DO NOT TOUCH)'!$J$3:$L$271,3,0),"")</f>
        <v/>
      </c>
      <c r="W44" s="52">
        <f t="shared" ref="W44:X44" si="44">O44</f>
        <v>0</v>
      </c>
      <c r="X44" s="52">
        <f t="shared" si="44"/>
        <v>0</v>
      </c>
    </row>
    <row r="45" spans="1:24" ht="21">
      <c r="A45" s="30"/>
      <c r="B45" s="64" t="str">
        <f>IFERROR(VLOOKUP("D11",$Q$5:$X$66,4,0),"")</f>
        <v/>
      </c>
      <c r="C45" s="194" t="e">
        <f ca="1">_xludf.image("https://img.pokemondb.net/sprites/sun-moon/icon/"&amp;LOWER(B45)&amp;".png", 1)</f>
        <v>#NAME?</v>
      </c>
      <c r="D45" s="195" t="str">
        <f>IFERROR(VLOOKUP("D11",$Q$5:$X$66,8,0),"")</f>
        <v/>
      </c>
      <c r="E45" s="197" t="str">
        <f>IFERROR(VLOOKUP("D11",$Q$5:$X$66,7,0),"")</f>
        <v/>
      </c>
      <c r="F45" s="147"/>
      <c r="G45" s="195" t="str">
        <f>IFERROR(VLOOKUP("D11",$Q$5:$X$66,5,0),"")</f>
        <v/>
      </c>
      <c r="H45" s="51"/>
      <c r="I45" s="42" t="s">
        <v>217</v>
      </c>
      <c r="J45" s="43"/>
      <c r="K45" s="44" t="e">
        <f t="shared" ca="1" si="0"/>
        <v>#NAME?</v>
      </c>
      <c r="L45" s="45"/>
      <c r="M45" s="46"/>
      <c r="N45" s="49"/>
      <c r="O45" s="48"/>
      <c r="P45" s="49"/>
      <c r="Q45" s="50" t="str">
        <f t="shared" si="1"/>
        <v>0</v>
      </c>
      <c r="R45" s="50">
        <f t="shared" si="2"/>
        <v>0</v>
      </c>
      <c r="S45" s="50">
        <f t="shared" si="3"/>
        <v>0</v>
      </c>
      <c r="T45" s="50">
        <f t="shared" si="4"/>
        <v>0</v>
      </c>
      <c r="U45" s="50" t="str">
        <f>IFERROR(VLOOKUP(T45,'Stages (DO NOT TOUCH)'!$J$3:$K$384,2,0),"")</f>
        <v/>
      </c>
      <c r="V45" s="50" t="str">
        <f>IFERROR(VLOOKUP(T45,'Stages (DO NOT TOUCH)'!$J$3:$L$271,3,0),"")</f>
        <v/>
      </c>
      <c r="W45" s="52">
        <f t="shared" ref="W45:X45" si="45">O45</f>
        <v>0</v>
      </c>
      <c r="X45" s="52">
        <f t="shared" si="45"/>
        <v>0</v>
      </c>
    </row>
    <row r="46" spans="1:24" ht="21">
      <c r="A46" s="30"/>
      <c r="B46" s="65" t="str">
        <f>IFERROR(VLOOKUP("D11",$Q$5:$X$66,3,0),"")</f>
        <v/>
      </c>
      <c r="C46" s="139"/>
      <c r="D46" s="196"/>
      <c r="E46" s="159"/>
      <c r="F46" s="139"/>
      <c r="G46" s="196"/>
      <c r="H46" s="51"/>
      <c r="I46" s="42" t="s">
        <v>218</v>
      </c>
      <c r="J46" s="43"/>
      <c r="K46" s="44" t="e">
        <f t="shared" ca="1" si="0"/>
        <v>#NAME?</v>
      </c>
      <c r="L46" s="45"/>
      <c r="M46" s="46"/>
      <c r="N46" s="49"/>
      <c r="O46" s="48"/>
      <c r="P46" s="49"/>
      <c r="Q46" s="50" t="str">
        <f t="shared" si="1"/>
        <v>0</v>
      </c>
      <c r="R46" s="50">
        <f t="shared" si="2"/>
        <v>0</v>
      </c>
      <c r="S46" s="50">
        <f t="shared" si="3"/>
        <v>0</v>
      </c>
      <c r="T46" s="50">
        <f t="shared" si="4"/>
        <v>0</v>
      </c>
      <c r="U46" s="50" t="str">
        <f>IFERROR(VLOOKUP(T46,'Stages (DO NOT TOUCH)'!$J$3:$K$384,2,0),"")</f>
        <v/>
      </c>
      <c r="V46" s="50" t="str">
        <f>IFERROR(VLOOKUP(T46,'Stages (DO NOT TOUCH)'!$J$3:$L$271,3,0),"")</f>
        <v/>
      </c>
      <c r="W46" s="52">
        <f t="shared" ref="W46:X46" si="46">O46</f>
        <v>0</v>
      </c>
      <c r="X46" s="52">
        <f t="shared" si="46"/>
        <v>0</v>
      </c>
    </row>
    <row r="47" spans="1:24" ht="21">
      <c r="A47" s="30"/>
      <c r="B47" s="64" t="str">
        <f>IFERROR(VLOOKUP("D12",$Q$5:$X$66,4,0),"")</f>
        <v/>
      </c>
      <c r="C47" s="194" t="e">
        <f ca="1">_xludf.image("https://img.pokemondb.net/sprites/sun-moon/icon/"&amp;LOWER(B47)&amp;".png", 1)</f>
        <v>#NAME?</v>
      </c>
      <c r="D47" s="195" t="str">
        <f>IFERROR(VLOOKUP("D12",$Q$5:$X$66,8,0),"")</f>
        <v/>
      </c>
      <c r="E47" s="197" t="str">
        <f>IFERROR(VLOOKUP("D12",$Q$5:$X$66,7,0),"")</f>
        <v/>
      </c>
      <c r="F47" s="147"/>
      <c r="G47" s="195" t="str">
        <f>IFERROR(VLOOKUP("D12",$Q$5:$X$66,5,0),"")</f>
        <v/>
      </c>
      <c r="H47" s="51"/>
      <c r="I47" s="42" t="s">
        <v>131</v>
      </c>
      <c r="J47" s="43"/>
      <c r="K47" s="44" t="e">
        <f t="shared" ca="1" si="0"/>
        <v>#NAME?</v>
      </c>
      <c r="L47" s="45"/>
      <c r="M47" s="46"/>
      <c r="N47" s="49"/>
      <c r="O47" s="48"/>
      <c r="P47" s="49"/>
      <c r="Q47" s="50" t="str">
        <f t="shared" si="1"/>
        <v>0</v>
      </c>
      <c r="R47" s="50">
        <f t="shared" si="2"/>
        <v>0</v>
      </c>
      <c r="S47" s="50">
        <f t="shared" si="3"/>
        <v>0</v>
      </c>
      <c r="T47" s="50">
        <f t="shared" si="4"/>
        <v>0</v>
      </c>
      <c r="U47" s="50" t="str">
        <f>IFERROR(VLOOKUP(T47,'Stages (DO NOT TOUCH)'!$J$3:$K$384,2,0),"")</f>
        <v/>
      </c>
      <c r="V47" s="50" t="str">
        <f>IFERROR(VLOOKUP(T47,'Stages (DO NOT TOUCH)'!$J$3:$L$271,3,0),"")</f>
        <v/>
      </c>
      <c r="W47" s="52">
        <f t="shared" ref="W47:X47" si="47">O47</f>
        <v>0</v>
      </c>
      <c r="X47" s="52">
        <f t="shared" si="47"/>
        <v>0</v>
      </c>
    </row>
    <row r="48" spans="1:24" ht="21">
      <c r="A48" s="30"/>
      <c r="B48" s="65" t="str">
        <f>IFERROR(VLOOKUP("D12",$Q$5:$X$66,3,0),"")</f>
        <v/>
      </c>
      <c r="C48" s="139"/>
      <c r="D48" s="196"/>
      <c r="E48" s="159"/>
      <c r="F48" s="139"/>
      <c r="G48" s="196"/>
      <c r="H48" s="51"/>
      <c r="I48" s="42" t="s">
        <v>219</v>
      </c>
      <c r="J48" s="43"/>
      <c r="K48" s="44" t="e">
        <f t="shared" ca="1" si="0"/>
        <v>#NAME?</v>
      </c>
      <c r="L48" s="45"/>
      <c r="M48" s="46"/>
      <c r="N48" s="49"/>
      <c r="O48" s="48"/>
      <c r="P48" s="49"/>
      <c r="Q48" s="50" t="str">
        <f t="shared" si="1"/>
        <v>0</v>
      </c>
      <c r="R48" s="50">
        <f t="shared" si="2"/>
        <v>0</v>
      </c>
      <c r="S48" s="50">
        <f t="shared" si="3"/>
        <v>0</v>
      </c>
      <c r="T48" s="50">
        <f t="shared" si="4"/>
        <v>0</v>
      </c>
      <c r="U48" s="50" t="str">
        <f>IFERROR(VLOOKUP(T48,'Stages (DO NOT TOUCH)'!$J$3:$K$384,2,0),"")</f>
        <v/>
      </c>
      <c r="V48" s="50" t="str">
        <f>IFERROR(VLOOKUP(T48,'Stages (DO NOT TOUCH)'!$J$3:$L$271,3,0),"")</f>
        <v/>
      </c>
      <c r="W48" s="52">
        <f t="shared" ref="W48:X48" si="48">O48</f>
        <v>0</v>
      </c>
      <c r="X48" s="52">
        <f t="shared" si="48"/>
        <v>0</v>
      </c>
    </row>
    <row r="49" spans="1:24" ht="21">
      <c r="A49" s="30"/>
      <c r="B49" s="64" t="str">
        <f>IFERROR(VLOOKUP("D13",$Q$5:$X$66,4,0),"")</f>
        <v/>
      </c>
      <c r="C49" s="194" t="e">
        <f ca="1">_xludf.image("https://img.pokemondb.net/sprites/sun-moon/icon/"&amp;LOWER(B49)&amp;".png", 1)</f>
        <v>#NAME?</v>
      </c>
      <c r="D49" s="195" t="str">
        <f>IFERROR(VLOOKUP("D13",$Q$5:$X$66,8,0),"")</f>
        <v/>
      </c>
      <c r="E49" s="197" t="str">
        <f>IFERROR(VLOOKUP("D13",$Q$5:$X$66,7,0),"")</f>
        <v/>
      </c>
      <c r="F49" s="147"/>
      <c r="G49" s="195" t="str">
        <f>IFERROR(VLOOKUP("D13",$Q$5:$X$66,5,0),"")</f>
        <v/>
      </c>
      <c r="H49" s="51"/>
      <c r="I49" s="42" t="s">
        <v>220</v>
      </c>
      <c r="J49" s="43"/>
      <c r="K49" s="44" t="e">
        <f t="shared" ca="1" si="0"/>
        <v>#NAME?</v>
      </c>
      <c r="L49" s="45"/>
      <c r="M49" s="46"/>
      <c r="N49" s="49"/>
      <c r="O49" s="48"/>
      <c r="P49" s="49"/>
      <c r="Q49" s="50" t="str">
        <f t="shared" si="1"/>
        <v>0</v>
      </c>
      <c r="R49" s="50">
        <f t="shared" si="2"/>
        <v>0</v>
      </c>
      <c r="S49" s="50">
        <f t="shared" si="3"/>
        <v>0</v>
      </c>
      <c r="T49" s="50">
        <f t="shared" si="4"/>
        <v>0</v>
      </c>
      <c r="U49" s="50" t="str">
        <f>IFERROR(VLOOKUP(T49,'Stages (DO NOT TOUCH)'!$J$3:$K$384,2,0),"")</f>
        <v/>
      </c>
      <c r="V49" s="50" t="str">
        <f>IFERROR(VLOOKUP(T49,'Stages (DO NOT TOUCH)'!$J$3:$L$271,3,0),"")</f>
        <v/>
      </c>
      <c r="W49" s="52">
        <f t="shared" ref="W49:X49" si="49">O49</f>
        <v>0</v>
      </c>
      <c r="X49" s="52">
        <f t="shared" si="49"/>
        <v>0</v>
      </c>
    </row>
    <row r="50" spans="1:24" ht="21">
      <c r="A50" s="30"/>
      <c r="B50" s="65" t="str">
        <f>IFERROR(VLOOKUP("D13",$Q$5:$X$66,3,0),"")</f>
        <v/>
      </c>
      <c r="C50" s="139"/>
      <c r="D50" s="196"/>
      <c r="E50" s="159"/>
      <c r="F50" s="139"/>
      <c r="G50" s="196"/>
      <c r="H50" s="51"/>
      <c r="I50" s="42" t="s">
        <v>221</v>
      </c>
      <c r="J50" s="43"/>
      <c r="K50" s="44" t="e">
        <f t="shared" ca="1" si="0"/>
        <v>#NAME?</v>
      </c>
      <c r="L50" s="45"/>
      <c r="M50" s="46"/>
      <c r="N50" s="49"/>
      <c r="O50" s="48"/>
      <c r="P50" s="49"/>
      <c r="Q50" s="50" t="str">
        <f t="shared" si="1"/>
        <v>0</v>
      </c>
      <c r="R50" s="50">
        <f t="shared" si="2"/>
        <v>0</v>
      </c>
      <c r="S50" s="50">
        <f t="shared" si="3"/>
        <v>0</v>
      </c>
      <c r="T50" s="50">
        <f t="shared" si="4"/>
        <v>0</v>
      </c>
      <c r="U50" s="50" t="str">
        <f>IFERROR(VLOOKUP(T50,'Stages (DO NOT TOUCH)'!$J$3:$K$384,2,0),"")</f>
        <v/>
      </c>
      <c r="V50" s="50" t="str">
        <f>IFERROR(VLOOKUP(T50,'Stages (DO NOT TOUCH)'!$J$3:$L$271,3,0),"")</f>
        <v/>
      </c>
      <c r="W50" s="52">
        <f t="shared" ref="W50:X50" si="50">O50</f>
        <v>0</v>
      </c>
      <c r="X50" s="52">
        <f t="shared" si="50"/>
        <v>0</v>
      </c>
    </row>
    <row r="51" spans="1:24" ht="21">
      <c r="A51" s="30"/>
      <c r="B51" s="64" t="str">
        <f>IFERROR(VLOOKUP("D14",$Q$5:$X$66,4,0),"")</f>
        <v/>
      </c>
      <c r="C51" s="194" t="e">
        <f ca="1">_xludf.image("https://img.pokemondb.net/sprites/sun-moon/icon/"&amp;LOWER(B51)&amp;".png", 1)</f>
        <v>#NAME?</v>
      </c>
      <c r="D51" s="195" t="str">
        <f>IFERROR(VLOOKUP("D14",$Q$5:$X$66,8,0),"")</f>
        <v/>
      </c>
      <c r="E51" s="197" t="str">
        <f>IFERROR(VLOOKUP("D14",$Q$5:$X$66,7,0),"")</f>
        <v/>
      </c>
      <c r="F51" s="147"/>
      <c r="G51" s="195" t="str">
        <f>IFERROR(VLOOKUP("D14",$Q$5:$X$66,5,0),"")</f>
        <v/>
      </c>
      <c r="H51" s="51"/>
      <c r="I51" s="42" t="s">
        <v>222</v>
      </c>
      <c r="J51" s="43"/>
      <c r="K51" s="44" t="e">
        <f t="shared" ca="1" si="0"/>
        <v>#NAME?</v>
      </c>
      <c r="L51" s="45"/>
      <c r="M51" s="46"/>
      <c r="N51" s="49"/>
      <c r="O51" s="48"/>
      <c r="P51" s="49"/>
      <c r="Q51" s="50" t="str">
        <f t="shared" si="1"/>
        <v>0</v>
      </c>
      <c r="R51" s="50">
        <f t="shared" si="2"/>
        <v>0</v>
      </c>
      <c r="S51" s="50">
        <f t="shared" si="3"/>
        <v>0</v>
      </c>
      <c r="T51" s="50">
        <f t="shared" si="4"/>
        <v>0</v>
      </c>
      <c r="U51" s="50" t="str">
        <f>IFERROR(VLOOKUP(T51,'Stages (DO NOT TOUCH)'!$J$3:$K$384,2,0),"")</f>
        <v/>
      </c>
      <c r="V51" s="50" t="str">
        <f>IFERROR(VLOOKUP(T51,'Stages (DO NOT TOUCH)'!$J$3:$L$271,3,0),"")</f>
        <v/>
      </c>
      <c r="W51" s="52">
        <f t="shared" ref="W51:X51" si="51">O51</f>
        <v>0</v>
      </c>
      <c r="X51" s="52">
        <f t="shared" si="51"/>
        <v>0</v>
      </c>
    </row>
    <row r="52" spans="1:24" ht="21">
      <c r="A52" s="30"/>
      <c r="B52" s="65" t="str">
        <f>IFERROR(VLOOKUP("D14",$Q$5:$X$66,3,0),"")</f>
        <v/>
      </c>
      <c r="C52" s="139"/>
      <c r="D52" s="196"/>
      <c r="E52" s="159"/>
      <c r="F52" s="139"/>
      <c r="G52" s="196"/>
      <c r="H52" s="51"/>
      <c r="I52" s="42" t="s">
        <v>223</v>
      </c>
      <c r="J52" s="43"/>
      <c r="K52" s="44" t="e">
        <f t="shared" ca="1" si="0"/>
        <v>#NAME?</v>
      </c>
      <c r="L52" s="45"/>
      <c r="M52" s="46"/>
      <c r="N52" s="49"/>
      <c r="O52" s="48"/>
      <c r="P52" s="49"/>
      <c r="Q52" s="50" t="str">
        <f t="shared" si="1"/>
        <v>0</v>
      </c>
      <c r="R52" s="50">
        <f t="shared" si="2"/>
        <v>0</v>
      </c>
      <c r="S52" s="50">
        <f t="shared" si="3"/>
        <v>0</v>
      </c>
      <c r="T52" s="50">
        <f t="shared" si="4"/>
        <v>0</v>
      </c>
      <c r="U52" s="50" t="str">
        <f>IFERROR(VLOOKUP(T52,'Stages (DO NOT TOUCH)'!$J$3:$K$384,2,0),"")</f>
        <v/>
      </c>
      <c r="V52" s="50" t="str">
        <f>IFERROR(VLOOKUP(T52,'Stages (DO NOT TOUCH)'!$J$3:$L$271,3,0),"")</f>
        <v/>
      </c>
      <c r="W52" s="52">
        <f t="shared" ref="W52:X52" si="52">O52</f>
        <v>0</v>
      </c>
      <c r="X52" s="52">
        <f t="shared" si="52"/>
        <v>0</v>
      </c>
    </row>
    <row r="53" spans="1:24" ht="21">
      <c r="A53" s="30"/>
      <c r="B53" s="64" t="str">
        <f>IFERROR(VLOOKUP("D15",$Q$5:$X$66,4,0),"")</f>
        <v/>
      </c>
      <c r="C53" s="194" t="e">
        <f ca="1">_xludf.image("https://img.pokemondb.net/sprites/sun-moon/icon/"&amp;LOWER(B53)&amp;".png", 1)</f>
        <v>#NAME?</v>
      </c>
      <c r="D53" s="195" t="str">
        <f>IFERROR(VLOOKUP("D15",$Q$5:$X$66,8,0),"")</f>
        <v/>
      </c>
      <c r="E53" s="197" t="str">
        <f>IFERROR(VLOOKUP("D15",$Q$5:$X$66,7,0),"")</f>
        <v/>
      </c>
      <c r="F53" s="147"/>
      <c r="G53" s="195" t="str">
        <f>IFERROR(VLOOKUP("D15",$Q$5:$X$66,5,0),"")</f>
        <v/>
      </c>
      <c r="H53" s="51"/>
      <c r="I53" s="42" t="s">
        <v>224</v>
      </c>
      <c r="J53" s="43"/>
      <c r="K53" s="44" t="e">
        <f t="shared" ca="1" si="0"/>
        <v>#NAME?</v>
      </c>
      <c r="L53" s="45"/>
      <c r="M53" s="46"/>
      <c r="N53" s="49"/>
      <c r="O53" s="48"/>
      <c r="P53" s="49"/>
      <c r="Q53" s="50" t="str">
        <f t="shared" si="1"/>
        <v>0</v>
      </c>
      <c r="R53" s="50">
        <f t="shared" si="2"/>
        <v>0</v>
      </c>
      <c r="S53" s="50">
        <f t="shared" si="3"/>
        <v>0</v>
      </c>
      <c r="T53" s="50">
        <f t="shared" si="4"/>
        <v>0</v>
      </c>
      <c r="U53" s="50" t="str">
        <f>IFERROR(VLOOKUP(T53,'Stages (DO NOT TOUCH)'!$J$3:$K$384,2,0),"")</f>
        <v/>
      </c>
      <c r="V53" s="50" t="str">
        <f>IFERROR(VLOOKUP(T53,'Stages (DO NOT TOUCH)'!$J$3:$L$271,3,0),"")</f>
        <v/>
      </c>
      <c r="W53" s="52">
        <f t="shared" ref="W53:X53" si="53">O53</f>
        <v>0</v>
      </c>
      <c r="X53" s="52">
        <f t="shared" si="53"/>
        <v>0</v>
      </c>
    </row>
    <row r="54" spans="1:24" ht="21">
      <c r="A54" s="30"/>
      <c r="B54" s="65" t="str">
        <f>IFERROR(VLOOKUP("D15",$Q$5:$X$66,3,0),"")</f>
        <v/>
      </c>
      <c r="C54" s="139"/>
      <c r="D54" s="196"/>
      <c r="E54" s="159"/>
      <c r="F54" s="139"/>
      <c r="G54" s="196"/>
      <c r="H54" s="51"/>
      <c r="I54" s="42" t="s">
        <v>137</v>
      </c>
      <c r="J54" s="43"/>
      <c r="K54" s="44" t="e">
        <f t="shared" ca="1" si="0"/>
        <v>#NAME?</v>
      </c>
      <c r="L54" s="45"/>
      <c r="M54" s="46"/>
      <c r="N54" s="49"/>
      <c r="O54" s="48"/>
      <c r="P54" s="49"/>
      <c r="Q54" s="50" t="str">
        <f t="shared" si="1"/>
        <v>0</v>
      </c>
      <c r="R54" s="50">
        <f t="shared" si="2"/>
        <v>0</v>
      </c>
      <c r="S54" s="50">
        <f t="shared" si="3"/>
        <v>0</v>
      </c>
      <c r="T54" s="50">
        <f t="shared" si="4"/>
        <v>0</v>
      </c>
      <c r="U54" s="50" t="str">
        <f>IFERROR(VLOOKUP(T54,'Stages (DO NOT TOUCH)'!$J$3:$K$384,2,0),"")</f>
        <v/>
      </c>
      <c r="V54" s="50" t="str">
        <f>IFERROR(VLOOKUP(T54,'Stages (DO NOT TOUCH)'!$J$3:$L$271,3,0),"")</f>
        <v/>
      </c>
      <c r="W54" s="52">
        <f t="shared" ref="W54:X54" si="54">O54</f>
        <v>0</v>
      </c>
      <c r="X54" s="52">
        <f t="shared" si="54"/>
        <v>0</v>
      </c>
    </row>
    <row r="55" spans="1:24" ht="21">
      <c r="A55" s="30"/>
      <c r="B55" s="64" t="str">
        <f>IFERROR(VLOOKUP("D16",$Q$5:$X$66,4,0),"")</f>
        <v/>
      </c>
      <c r="C55" s="194" t="e">
        <f ca="1">_xludf.image("https://img.pokemondb.net/sprites/sun-moon/icon/"&amp;LOWER(B55)&amp;".png", 1)</f>
        <v>#NAME?</v>
      </c>
      <c r="D55" s="195" t="str">
        <f>IFERROR(VLOOKUP("D16",$Q$5:$X$66,8,0),"")</f>
        <v/>
      </c>
      <c r="E55" s="197" t="str">
        <f>IFERROR(VLOOKUP("D16",$Q$5:$X$66,7,0),"")</f>
        <v/>
      </c>
      <c r="F55" s="147"/>
      <c r="G55" s="195" t="str">
        <f>IFERROR(VLOOKUP("D16",$Q$5:$X$66,5,0),"")</f>
        <v/>
      </c>
      <c r="H55" s="51"/>
      <c r="I55" s="42" t="s">
        <v>225</v>
      </c>
      <c r="J55" s="43"/>
      <c r="K55" s="44" t="e">
        <f t="shared" ca="1" si="0"/>
        <v>#NAME?</v>
      </c>
      <c r="L55" s="45"/>
      <c r="M55" s="46"/>
      <c r="N55" s="49"/>
      <c r="O55" s="48"/>
      <c r="P55" s="49"/>
      <c r="Q55" s="50" t="str">
        <f t="shared" si="1"/>
        <v>0</v>
      </c>
      <c r="R55" s="50">
        <f t="shared" si="2"/>
        <v>0</v>
      </c>
      <c r="S55" s="50">
        <f t="shared" si="3"/>
        <v>0</v>
      </c>
      <c r="T55" s="50">
        <f t="shared" si="4"/>
        <v>0</v>
      </c>
      <c r="U55" s="50" t="str">
        <f>IFERROR(VLOOKUP(T55,'Stages (DO NOT TOUCH)'!$J$3:$K$384,2,0),"")</f>
        <v/>
      </c>
      <c r="V55" s="50" t="str">
        <f>IFERROR(VLOOKUP(T55,'Stages (DO NOT TOUCH)'!$J$3:$L$271,3,0),"")</f>
        <v/>
      </c>
      <c r="W55" s="52">
        <f t="shared" ref="W55:X55" si="55">O55</f>
        <v>0</v>
      </c>
      <c r="X55" s="52">
        <f t="shared" si="55"/>
        <v>0</v>
      </c>
    </row>
    <row r="56" spans="1:24" ht="21">
      <c r="A56" s="30"/>
      <c r="B56" s="65" t="str">
        <f>IFERROR(VLOOKUP("D16",$Q$5:$X$66,3,0),"")</f>
        <v/>
      </c>
      <c r="C56" s="139"/>
      <c r="D56" s="196"/>
      <c r="E56" s="159"/>
      <c r="F56" s="139"/>
      <c r="G56" s="196"/>
      <c r="H56" s="51"/>
      <c r="I56" s="42" t="s">
        <v>226</v>
      </c>
      <c r="J56" s="43"/>
      <c r="K56" s="44" t="e">
        <f t="shared" ca="1" si="0"/>
        <v>#NAME?</v>
      </c>
      <c r="L56" s="45"/>
      <c r="M56" s="46"/>
      <c r="N56" s="49"/>
      <c r="O56" s="48"/>
      <c r="P56" s="49"/>
      <c r="Q56" s="50" t="str">
        <f t="shared" si="1"/>
        <v>0</v>
      </c>
      <c r="R56" s="50">
        <f t="shared" si="2"/>
        <v>0</v>
      </c>
      <c r="S56" s="50">
        <f t="shared" si="3"/>
        <v>0</v>
      </c>
      <c r="T56" s="50">
        <f t="shared" si="4"/>
        <v>0</v>
      </c>
      <c r="U56" s="50" t="str">
        <f>IFERROR(VLOOKUP(T56,'Stages (DO NOT TOUCH)'!$J$3:$K$384,2,0),"")</f>
        <v/>
      </c>
      <c r="V56" s="50" t="str">
        <f>IFERROR(VLOOKUP(T56,'Stages (DO NOT TOUCH)'!$J$3:$L$271,3,0),"")</f>
        <v/>
      </c>
      <c r="W56" s="52">
        <f t="shared" ref="W56:X56" si="56">O56</f>
        <v>0</v>
      </c>
      <c r="X56" s="52">
        <f t="shared" si="56"/>
        <v>0</v>
      </c>
    </row>
    <row r="57" spans="1:24" ht="21">
      <c r="A57" s="30"/>
      <c r="B57" s="64" t="str">
        <f>IFERROR(VLOOKUP("D17",$Q$5:$X$66,4,0),"")</f>
        <v/>
      </c>
      <c r="C57" s="194" t="e">
        <f ca="1">_xludf.image("https://img.pokemondb.net/sprites/sun-moon/icon/"&amp;LOWER(B57)&amp;".png", 1)</f>
        <v>#NAME?</v>
      </c>
      <c r="D57" s="195" t="str">
        <f>IFERROR(VLOOKUP("D17",$Q$5:$X$66,8,0),"")</f>
        <v/>
      </c>
      <c r="E57" s="197" t="str">
        <f>IFERROR(VLOOKUP("D17",$Q$5:$X$66,7,0),"")</f>
        <v/>
      </c>
      <c r="F57" s="147"/>
      <c r="G57" s="195" t="str">
        <f>IFERROR(VLOOKUP("D17",$Q$5:$X$66,5,0),"")</f>
        <v/>
      </c>
      <c r="H57" s="51"/>
      <c r="I57" s="42" t="s">
        <v>227</v>
      </c>
      <c r="J57" s="43"/>
      <c r="K57" s="44" t="e">
        <f t="shared" ca="1" si="0"/>
        <v>#NAME?</v>
      </c>
      <c r="L57" s="45"/>
      <c r="M57" s="46"/>
      <c r="N57" s="49"/>
      <c r="O57" s="48"/>
      <c r="P57" s="49"/>
      <c r="Q57" s="50" t="str">
        <f t="shared" si="1"/>
        <v>0</v>
      </c>
      <c r="R57" s="50">
        <f t="shared" si="2"/>
        <v>0</v>
      </c>
      <c r="S57" s="50">
        <f t="shared" si="3"/>
        <v>0</v>
      </c>
      <c r="T57" s="50">
        <f t="shared" si="4"/>
        <v>0</v>
      </c>
      <c r="U57" s="50" t="str">
        <f>IFERROR(VLOOKUP(T57,'Stages (DO NOT TOUCH)'!$J$3:$K$384,2,0),"")</f>
        <v/>
      </c>
      <c r="V57" s="50" t="str">
        <f>IFERROR(VLOOKUP(T57,'Stages (DO NOT TOUCH)'!$J$3:$L$271,3,0),"")</f>
        <v/>
      </c>
      <c r="W57" s="52">
        <f t="shared" ref="W57:X57" si="57">O57</f>
        <v>0</v>
      </c>
      <c r="X57" s="52">
        <f t="shared" si="57"/>
        <v>0</v>
      </c>
    </row>
    <row r="58" spans="1:24" ht="21">
      <c r="A58" s="30"/>
      <c r="B58" s="65" t="str">
        <f>IFERROR(VLOOKUP("D17",$Q$5:$X$66,3,0),"")</f>
        <v/>
      </c>
      <c r="C58" s="139"/>
      <c r="D58" s="196"/>
      <c r="E58" s="159"/>
      <c r="F58" s="139"/>
      <c r="G58" s="196"/>
      <c r="H58" s="51"/>
      <c r="I58" s="42" t="s">
        <v>134</v>
      </c>
      <c r="J58" s="43"/>
      <c r="K58" s="44" t="e">
        <f t="shared" ca="1" si="0"/>
        <v>#NAME?</v>
      </c>
      <c r="L58" s="45"/>
      <c r="M58" s="46"/>
      <c r="N58" s="49"/>
      <c r="O58" s="48"/>
      <c r="P58" s="49"/>
      <c r="Q58" s="50" t="str">
        <f t="shared" si="1"/>
        <v>0</v>
      </c>
      <c r="R58" s="50">
        <f t="shared" si="2"/>
        <v>0</v>
      </c>
      <c r="S58" s="50">
        <f t="shared" si="3"/>
        <v>0</v>
      </c>
      <c r="T58" s="50">
        <f t="shared" si="4"/>
        <v>0</v>
      </c>
      <c r="U58" s="50" t="str">
        <f>IFERROR(VLOOKUP(T58,'Stages (DO NOT TOUCH)'!$J$3:$K$384,2,0),"")</f>
        <v/>
      </c>
      <c r="V58" s="50" t="str">
        <f>IFERROR(VLOOKUP(T58,'Stages (DO NOT TOUCH)'!$J$3:$L$271,3,0),"")</f>
        <v/>
      </c>
      <c r="W58" s="52">
        <f t="shared" ref="W58:X58" si="58">O58</f>
        <v>0</v>
      </c>
      <c r="X58" s="52">
        <f t="shared" si="58"/>
        <v>0</v>
      </c>
    </row>
    <row r="59" spans="1:24" ht="21">
      <c r="A59" s="30"/>
      <c r="B59" s="64" t="str">
        <f>IFERROR(VLOOKUP("D18",$Q$5:$X$66,4,0),"")</f>
        <v/>
      </c>
      <c r="C59" s="194" t="e">
        <f ca="1">_xludf.image("https://img.pokemondb.net/sprites/sun-moon/icon/"&amp;LOWER(B59)&amp;".png", 1)</f>
        <v>#NAME?</v>
      </c>
      <c r="D59" s="195" t="str">
        <f>IFERROR(VLOOKUP("D18",$Q$5:$X$66,8,0),"")</f>
        <v/>
      </c>
      <c r="E59" s="197" t="str">
        <f>IFERROR(VLOOKUP("D18",$Q$5:$X$66,7,0),"")</f>
        <v/>
      </c>
      <c r="F59" s="147"/>
      <c r="G59" s="195" t="str">
        <f>IFERROR(VLOOKUP("D18",$Q$5:$X$66,5,0),"")</f>
        <v/>
      </c>
      <c r="H59" s="51"/>
      <c r="I59" s="42" t="s">
        <v>228</v>
      </c>
      <c r="J59" s="43"/>
      <c r="K59" s="44" t="e">
        <f t="shared" ca="1" si="0"/>
        <v>#NAME?</v>
      </c>
      <c r="L59" s="45"/>
      <c r="M59" s="46"/>
      <c r="N59" s="49"/>
      <c r="O59" s="48"/>
      <c r="P59" s="49"/>
      <c r="Q59" s="50" t="str">
        <f t="shared" si="1"/>
        <v>0</v>
      </c>
      <c r="R59" s="50">
        <f t="shared" si="2"/>
        <v>0</v>
      </c>
      <c r="S59" s="50">
        <f t="shared" si="3"/>
        <v>0</v>
      </c>
      <c r="T59" s="50">
        <f t="shared" si="4"/>
        <v>0</v>
      </c>
      <c r="U59" s="50" t="str">
        <f>IFERROR(VLOOKUP(T59,'Stages (DO NOT TOUCH)'!$J$3:$K$384,2,0),"")</f>
        <v/>
      </c>
      <c r="V59" s="50" t="str">
        <f>IFERROR(VLOOKUP(T59,'Stages (DO NOT TOUCH)'!$J$3:$L$271,3,0),"")</f>
        <v/>
      </c>
      <c r="W59" s="52">
        <f t="shared" ref="W59:X59" si="59">O59</f>
        <v>0</v>
      </c>
      <c r="X59" s="52">
        <f t="shared" si="59"/>
        <v>0</v>
      </c>
    </row>
    <row r="60" spans="1:24" ht="21">
      <c r="A60" s="30"/>
      <c r="B60" s="65" t="str">
        <f>IFERROR(VLOOKUP("D18",$Q$5:$X$66,3,0),"")</f>
        <v/>
      </c>
      <c r="C60" s="139"/>
      <c r="D60" s="196"/>
      <c r="E60" s="159"/>
      <c r="F60" s="139"/>
      <c r="G60" s="196"/>
      <c r="H60" s="51"/>
      <c r="I60" s="42" t="s">
        <v>144</v>
      </c>
      <c r="J60" s="43"/>
      <c r="K60" s="44" t="e">
        <f t="shared" ca="1" si="0"/>
        <v>#NAME?</v>
      </c>
      <c r="L60" s="45"/>
      <c r="M60" s="46"/>
      <c r="N60" s="49"/>
      <c r="O60" s="48"/>
      <c r="P60" s="49"/>
      <c r="Q60" s="50" t="str">
        <f t="shared" si="1"/>
        <v>0</v>
      </c>
      <c r="R60" s="50">
        <f t="shared" si="2"/>
        <v>0</v>
      </c>
      <c r="S60" s="50">
        <f t="shared" si="3"/>
        <v>0</v>
      </c>
      <c r="T60" s="50">
        <f t="shared" si="4"/>
        <v>0</v>
      </c>
      <c r="U60" s="50" t="str">
        <f>IFERROR(VLOOKUP(T60,'Stages (DO NOT TOUCH)'!$J$3:$K$384,2,0),"")</f>
        <v/>
      </c>
      <c r="V60" s="50" t="str">
        <f>IFERROR(VLOOKUP(T60,'Stages (DO NOT TOUCH)'!$J$3:$L$271,3,0),"")</f>
        <v/>
      </c>
      <c r="W60" s="52">
        <f t="shared" ref="W60:X60" si="60">O60</f>
        <v>0</v>
      </c>
      <c r="X60" s="52">
        <f t="shared" si="60"/>
        <v>0</v>
      </c>
    </row>
    <row r="61" spans="1:24" ht="21">
      <c r="A61" s="30"/>
      <c r="B61" s="64" t="str">
        <f>IFERROR(VLOOKUP("D19",$Q$5:$X$66,4,0),"")</f>
        <v/>
      </c>
      <c r="C61" s="194" t="e">
        <f ca="1">_xludf.image("https://img.pokemondb.net/sprites/sun-moon/icon/"&amp;LOWER(B61)&amp;".png", 1)</f>
        <v>#NAME?</v>
      </c>
      <c r="D61" s="195" t="str">
        <f>IFERROR(VLOOKUP("D19",$Q$5:$X$66,8,0),"")</f>
        <v/>
      </c>
      <c r="E61" s="197" t="str">
        <f>IFERROR(VLOOKUP("D19",$Q$5:$X$66,7,0),"")</f>
        <v/>
      </c>
      <c r="F61" s="147"/>
      <c r="G61" s="195" t="str">
        <f>IFERROR(VLOOKUP("D19",$Q$5:$X$66,5,0),"")</f>
        <v/>
      </c>
      <c r="H61" s="51"/>
      <c r="I61" s="42" t="s">
        <v>229</v>
      </c>
      <c r="J61" s="43"/>
      <c r="K61" s="44" t="e">
        <f t="shared" ca="1" si="0"/>
        <v>#NAME?</v>
      </c>
      <c r="L61" s="45"/>
      <c r="M61" s="46"/>
      <c r="N61" s="49"/>
      <c r="O61" s="48"/>
      <c r="P61" s="49"/>
      <c r="Q61" s="50" t="str">
        <f t="shared" si="1"/>
        <v>0</v>
      </c>
      <c r="R61" s="50">
        <f t="shared" si="2"/>
        <v>0</v>
      </c>
      <c r="S61" s="50">
        <f t="shared" si="3"/>
        <v>0</v>
      </c>
      <c r="T61" s="50">
        <f t="shared" si="4"/>
        <v>0</v>
      </c>
      <c r="U61" s="50" t="str">
        <f>IFERROR(VLOOKUP(T61,'Stages (DO NOT TOUCH)'!$J$3:$K$384,2,0),"")</f>
        <v/>
      </c>
      <c r="V61" s="50" t="str">
        <f>IFERROR(VLOOKUP(T61,'Stages (DO NOT TOUCH)'!$J$3:$L$271,3,0),"")</f>
        <v/>
      </c>
      <c r="W61" s="52">
        <f t="shared" ref="W61:X61" si="61">O61</f>
        <v>0</v>
      </c>
      <c r="X61" s="52">
        <f t="shared" si="61"/>
        <v>0</v>
      </c>
    </row>
    <row r="62" spans="1:24" ht="21">
      <c r="A62" s="30"/>
      <c r="B62" s="65" t="str">
        <f>IFERROR(VLOOKUP("D19",$Q$5:$X$66,3,0),"")</f>
        <v/>
      </c>
      <c r="C62" s="139"/>
      <c r="D62" s="196"/>
      <c r="E62" s="159"/>
      <c r="F62" s="139"/>
      <c r="G62" s="196"/>
      <c r="H62" s="51"/>
      <c r="I62" s="42" t="s">
        <v>230</v>
      </c>
      <c r="J62" s="43"/>
      <c r="K62" s="44" t="e">
        <f t="shared" ca="1" si="0"/>
        <v>#NAME?</v>
      </c>
      <c r="L62" s="45"/>
      <c r="M62" s="46"/>
      <c r="N62" s="49"/>
      <c r="O62" s="48"/>
      <c r="P62" s="49"/>
      <c r="Q62" s="66" t="str">
        <f t="shared" si="1"/>
        <v>0</v>
      </c>
      <c r="R62" s="50">
        <f t="shared" si="2"/>
        <v>0</v>
      </c>
      <c r="S62" s="50">
        <f t="shared" si="3"/>
        <v>0</v>
      </c>
      <c r="T62" s="50">
        <f t="shared" si="4"/>
        <v>0</v>
      </c>
      <c r="U62" s="50" t="str">
        <f>IFERROR(VLOOKUP(T62,'Stages (DO NOT TOUCH)'!$J$3:$K$384,2,0),"")</f>
        <v/>
      </c>
      <c r="V62" s="50" t="str">
        <f>IFERROR(VLOOKUP(T62,'Stages (DO NOT TOUCH)'!$J$3:$L$271,3,0),"")</f>
        <v/>
      </c>
      <c r="W62" s="52">
        <f t="shared" ref="W62:X62" si="62">O62</f>
        <v>0</v>
      </c>
      <c r="X62" s="52">
        <f t="shared" si="62"/>
        <v>0</v>
      </c>
    </row>
    <row r="63" spans="1:24" ht="21">
      <c r="A63" s="30"/>
      <c r="B63" s="64" t="str">
        <f>IFERROR(VLOOKUP("D20",$Q$5:$X$66,4,0),"")</f>
        <v/>
      </c>
      <c r="C63" s="194" t="e">
        <f ca="1">_xludf.image("https://img.pokemondb.net/sprites/sun-moon/icon/"&amp;LOWER(B63)&amp;".png", 1)</f>
        <v>#NAME?</v>
      </c>
      <c r="D63" s="195" t="str">
        <f>IFERROR(VLOOKUP("D20",$Q$5:$X$66,8,0),"")</f>
        <v/>
      </c>
      <c r="E63" s="197" t="str">
        <f>IFERROR(VLOOKUP("D20",$Q$5:$X$66,7,0),"")</f>
        <v/>
      </c>
      <c r="F63" s="147"/>
      <c r="G63" s="195" t="str">
        <f>IFERROR(VLOOKUP("D20",$Q$5:$X$66,5,0),"")</f>
        <v/>
      </c>
      <c r="H63" s="51"/>
      <c r="I63" s="42" t="s">
        <v>152</v>
      </c>
      <c r="J63" s="43"/>
      <c r="K63" s="44" t="e">
        <f t="shared" ca="1" si="0"/>
        <v>#NAME?</v>
      </c>
      <c r="L63" s="45"/>
      <c r="M63" s="46"/>
      <c r="N63" s="49"/>
      <c r="O63" s="48"/>
      <c r="P63" s="49"/>
      <c r="Q63" s="66" t="str">
        <f t="shared" si="1"/>
        <v>0</v>
      </c>
      <c r="R63" s="50">
        <f t="shared" si="2"/>
        <v>0</v>
      </c>
      <c r="S63" s="50">
        <f t="shared" si="3"/>
        <v>0</v>
      </c>
      <c r="T63" s="50">
        <f t="shared" si="4"/>
        <v>0</v>
      </c>
      <c r="U63" s="50" t="str">
        <f>IFERROR(VLOOKUP(T63,'Stages (DO NOT TOUCH)'!$J$3:$K$384,2,0),"")</f>
        <v/>
      </c>
      <c r="V63" s="50" t="str">
        <f>IFERROR(VLOOKUP(T63,'Stages (DO NOT TOUCH)'!$J$3:$L$271,3,0),"")</f>
        <v/>
      </c>
      <c r="W63" s="52">
        <f t="shared" ref="W63:X63" si="63">O63</f>
        <v>0</v>
      </c>
      <c r="X63" s="52">
        <f t="shared" si="63"/>
        <v>0</v>
      </c>
    </row>
    <row r="64" spans="1:24" ht="21">
      <c r="A64" s="30"/>
      <c r="B64" s="65" t="str">
        <f>IFERROR(VLOOKUP("D20",$Q$5:$X$66,3,0),"")</f>
        <v/>
      </c>
      <c r="C64" s="139"/>
      <c r="D64" s="196"/>
      <c r="E64" s="159"/>
      <c r="F64" s="139"/>
      <c r="G64" s="196"/>
      <c r="H64" s="51"/>
      <c r="I64" s="42" t="s">
        <v>231</v>
      </c>
      <c r="J64" s="43"/>
      <c r="K64" s="44" t="e">
        <f t="shared" ca="1" si="0"/>
        <v>#NAME?</v>
      </c>
      <c r="L64" s="45"/>
      <c r="M64" s="46"/>
      <c r="N64" s="49"/>
      <c r="O64" s="48"/>
      <c r="P64" s="49"/>
      <c r="Q64" s="66" t="str">
        <f t="shared" si="1"/>
        <v>0</v>
      </c>
      <c r="R64" s="50">
        <f t="shared" si="2"/>
        <v>0</v>
      </c>
      <c r="S64" s="50">
        <f t="shared" si="3"/>
        <v>0</v>
      </c>
      <c r="T64" s="50">
        <f t="shared" si="4"/>
        <v>0</v>
      </c>
      <c r="U64" s="50" t="str">
        <f>IFERROR(VLOOKUP(T64,'Stages (DO NOT TOUCH)'!$J$3:$K$384,2,0),"")</f>
        <v/>
      </c>
      <c r="V64" s="50" t="str">
        <f>IFERROR(VLOOKUP(T64,'Stages (DO NOT TOUCH)'!$J$3:$L$271,3,0),"")</f>
        <v/>
      </c>
      <c r="W64" s="52">
        <f t="shared" ref="W64:X64" si="64">O64</f>
        <v>0</v>
      </c>
      <c r="X64" s="52">
        <f t="shared" si="64"/>
        <v>0</v>
      </c>
    </row>
    <row r="65" spans="1:24" ht="21" hidden="1">
      <c r="A65" s="30"/>
      <c r="B65" s="30"/>
      <c r="C65" s="30"/>
      <c r="D65" s="30"/>
      <c r="E65" s="30"/>
      <c r="F65" s="30"/>
      <c r="G65" s="30"/>
      <c r="H65" s="51"/>
      <c r="I65" s="67"/>
      <c r="J65" s="68"/>
      <c r="K65" s="69"/>
      <c r="L65" s="70"/>
      <c r="M65" s="71"/>
      <c r="N65" s="72"/>
      <c r="O65" s="73"/>
      <c r="P65" s="72"/>
      <c r="Q65" s="66" t="str">
        <f t="shared" si="1"/>
        <v>0</v>
      </c>
      <c r="R65" s="50">
        <f t="shared" si="2"/>
        <v>0</v>
      </c>
      <c r="S65" s="50">
        <f t="shared" si="3"/>
        <v>0</v>
      </c>
      <c r="T65" s="50">
        <f t="shared" si="4"/>
        <v>0</v>
      </c>
      <c r="U65" s="50" t="str">
        <f>IFERROR(VLOOKUP(T65,'Stages (DO NOT TOUCH)'!$J$3:$K$384,2,0),"")</f>
        <v/>
      </c>
      <c r="V65" s="50" t="str">
        <f>IFERROR(VLOOKUP(T65,'Stages (DO NOT TOUCH)'!$J$3:$L$271,3,0),"")</f>
        <v/>
      </c>
      <c r="W65" s="52">
        <f t="shared" ref="W65:X65" si="65">O65</f>
        <v>0</v>
      </c>
      <c r="X65" s="52">
        <f t="shared" si="65"/>
        <v>0</v>
      </c>
    </row>
    <row r="66" spans="1:24" ht="21" hidden="1">
      <c r="A66" s="30"/>
      <c r="B66" s="30"/>
      <c r="C66" s="30"/>
      <c r="D66" s="30"/>
      <c r="E66" s="30"/>
      <c r="F66" s="30"/>
      <c r="G66" s="30"/>
      <c r="H66" s="51"/>
      <c r="I66" s="67"/>
      <c r="J66" s="68"/>
      <c r="K66" s="69"/>
      <c r="L66" s="70"/>
      <c r="M66" s="71"/>
      <c r="N66" s="72"/>
      <c r="O66" s="73"/>
      <c r="P66" s="72"/>
      <c r="Q66" s="66" t="str">
        <f t="shared" si="1"/>
        <v>0</v>
      </c>
      <c r="R66" s="50">
        <f t="shared" si="2"/>
        <v>0</v>
      </c>
      <c r="S66" s="50">
        <f t="shared" si="3"/>
        <v>0</v>
      </c>
      <c r="T66" s="50">
        <f t="shared" si="4"/>
        <v>0</v>
      </c>
      <c r="U66" s="50" t="str">
        <f>IFERROR(VLOOKUP(T66,'Stages (DO NOT TOUCH)'!$J$3:$K$384,2,0),"")</f>
        <v/>
      </c>
      <c r="V66" s="50" t="str">
        <f>IFERROR(VLOOKUP(T66,'Stages (DO NOT TOUCH)'!$J$3:$L$271,3,0),"")</f>
        <v/>
      </c>
      <c r="W66" s="52">
        <f t="shared" ref="W66:X66" si="66">O66</f>
        <v>0</v>
      </c>
      <c r="X66" s="52">
        <f t="shared" si="66"/>
        <v>0</v>
      </c>
    </row>
    <row r="67" spans="1:24" ht="21" hidden="1">
      <c r="A67" s="30"/>
      <c r="B67" s="30"/>
      <c r="C67" s="30"/>
      <c r="D67" s="30"/>
      <c r="E67" s="30"/>
      <c r="F67" s="30"/>
      <c r="G67" s="30"/>
      <c r="H67" s="30"/>
      <c r="I67" s="67"/>
      <c r="J67" s="68"/>
      <c r="K67" s="69"/>
      <c r="L67" s="70"/>
      <c r="M67" s="71"/>
      <c r="N67" s="72"/>
      <c r="O67" s="73"/>
      <c r="P67" s="72"/>
      <c r="Q67" s="74"/>
      <c r="R67" s="74"/>
      <c r="S67" s="74"/>
      <c r="T67" s="74"/>
      <c r="U67" s="74"/>
      <c r="V67" s="74"/>
      <c r="W67" s="75"/>
      <c r="X67" s="75"/>
    </row>
  </sheetData>
  <mergeCells count="105">
    <mergeCell ref="W3:W4"/>
    <mergeCell ref="X3:X4"/>
    <mergeCell ref="P3:P4"/>
    <mergeCell ref="Q3:Q4"/>
    <mergeCell ref="R3:R4"/>
    <mergeCell ref="S3:S4"/>
    <mergeCell ref="T3:T4"/>
    <mergeCell ref="U3:U4"/>
    <mergeCell ref="V3:V4"/>
    <mergeCell ref="B2:E3"/>
    <mergeCell ref="I3:I4"/>
    <mergeCell ref="J3:K4"/>
    <mergeCell ref="L3:L4"/>
    <mergeCell ref="M3:M4"/>
    <mergeCell ref="N3:N4"/>
    <mergeCell ref="O3:O4"/>
    <mergeCell ref="B6:C11"/>
    <mergeCell ref="D6:E11"/>
    <mergeCell ref="F6:G11"/>
    <mergeCell ref="B13:C18"/>
    <mergeCell ref="D13:E18"/>
    <mergeCell ref="F13:G18"/>
    <mergeCell ref="B20:C20"/>
    <mergeCell ref="B24:C24"/>
    <mergeCell ref="E24:F24"/>
    <mergeCell ref="C25:C26"/>
    <mergeCell ref="D25:D26"/>
    <mergeCell ref="E25:F26"/>
    <mergeCell ref="G25:G26"/>
    <mergeCell ref="C27:C28"/>
    <mergeCell ref="G27:G28"/>
    <mergeCell ref="D27:D28"/>
    <mergeCell ref="E27:F28"/>
    <mergeCell ref="C29:C30"/>
    <mergeCell ref="D29:D30"/>
    <mergeCell ref="E29:F30"/>
    <mergeCell ref="G29:G30"/>
    <mergeCell ref="G31:G32"/>
    <mergeCell ref="D31:D32"/>
    <mergeCell ref="E31:F32"/>
    <mergeCell ref="C31:C32"/>
    <mergeCell ref="C51:C52"/>
    <mergeCell ref="C41:C42"/>
    <mergeCell ref="D41:D42"/>
    <mergeCell ref="E41:F42"/>
    <mergeCell ref="G41:G42"/>
    <mergeCell ref="D43:D44"/>
    <mergeCell ref="E43:F44"/>
    <mergeCell ref="G43:G44"/>
    <mergeCell ref="E47:F48"/>
    <mergeCell ref="G47:G48"/>
    <mergeCell ref="C43:C44"/>
    <mergeCell ref="C45:C46"/>
    <mergeCell ref="D45:D46"/>
    <mergeCell ref="G45:G46"/>
    <mergeCell ref="C47:C48"/>
    <mergeCell ref="D47:D48"/>
    <mergeCell ref="E33:F34"/>
    <mergeCell ref="G33:G34"/>
    <mergeCell ref="E35:F36"/>
    <mergeCell ref="G35:G36"/>
    <mergeCell ref="E37:F38"/>
    <mergeCell ref="G37:G38"/>
    <mergeCell ref="G59:G60"/>
    <mergeCell ref="C33:C34"/>
    <mergeCell ref="D33:D34"/>
    <mergeCell ref="C35:C36"/>
    <mergeCell ref="D35:D36"/>
    <mergeCell ref="C37:C38"/>
    <mergeCell ref="D37:D38"/>
    <mergeCell ref="D59:D60"/>
    <mergeCell ref="E59:F60"/>
    <mergeCell ref="C59:C60"/>
    <mergeCell ref="C53:C54"/>
    <mergeCell ref="D53:D54"/>
    <mergeCell ref="E53:F54"/>
    <mergeCell ref="C55:C56"/>
    <mergeCell ref="D55:D56"/>
    <mergeCell ref="C57:C58"/>
    <mergeCell ref="D57:D58"/>
    <mergeCell ref="E57:F58"/>
    <mergeCell ref="C61:C62"/>
    <mergeCell ref="D61:D62"/>
    <mergeCell ref="E61:F62"/>
    <mergeCell ref="G61:G62"/>
    <mergeCell ref="C63:C64"/>
    <mergeCell ref="D63:D64"/>
    <mergeCell ref="G53:G54"/>
    <mergeCell ref="G57:G58"/>
    <mergeCell ref="G39:G40"/>
    <mergeCell ref="E55:F56"/>
    <mergeCell ref="G55:G56"/>
    <mergeCell ref="E63:F64"/>
    <mergeCell ref="G63:G64"/>
    <mergeCell ref="C39:C40"/>
    <mergeCell ref="D39:D40"/>
    <mergeCell ref="E39:F40"/>
    <mergeCell ref="C49:C50"/>
    <mergeCell ref="D49:D50"/>
    <mergeCell ref="E49:F50"/>
    <mergeCell ref="E45:F46"/>
    <mergeCell ref="G49:G50"/>
    <mergeCell ref="D51:D52"/>
    <mergeCell ref="E51:F52"/>
    <mergeCell ref="G51:G52"/>
  </mergeCells>
  <conditionalFormatting sqref="N5:N67">
    <cfRule type="expression" dxfId="3" priority="1">
      <formula>N5="T"</formula>
    </cfRule>
    <cfRule type="expression" dxfId="2" priority="2">
      <formula>N5="B"</formula>
    </cfRule>
    <cfRule type="expression" dxfId="1" priority="3">
      <formula>N5="D"</formula>
    </cfRule>
    <cfRule type="expression" dxfId="0" priority="4">
      <formula>N5="F"</formula>
    </cfRule>
  </conditionalFormatting>
  <dataValidations count="49">
    <dataValidation type="list" allowBlank="1" showErrorMessage="1" sqref="J43" xr:uid="{00000000-0002-0000-0200-000000000000}">
      <formula1>"Buizel,Shellos,Magikarp,Remoraid,Heracross,Wurmple,Burmy,Combee,Cherubi"</formula1>
    </dataValidation>
    <dataValidation type="list" allowBlank="1" showErrorMessage="1" sqref="J55:J56" xr:uid="{00000000-0002-0000-0200-000001000000}">
      <formula1>"Sneasel,Snorunt,Snover"</formula1>
    </dataValidation>
    <dataValidation type="list" allowBlank="1" showErrorMessage="1" sqref="J51" xr:uid="{00000000-0002-0000-0200-000002000000}">
      <formula1>"Shellos,Magikarp,Finneon"</formula1>
    </dataValidation>
    <dataValidation type="list" allowBlank="1" showErrorMessage="1" sqref="J30" xr:uid="{00000000-0002-0000-0200-000003000000}">
      <formula1>"Duskull"</formula1>
    </dataValidation>
    <dataValidation type="list" allowBlank="1" showErrorMessage="1" sqref="J23" xr:uid="{00000000-0002-0000-0200-000004000000}">
      <formula1>"Machop,Machoke,Meditite,Chingling,Heracross,Wurmple,Burmy,Combee,Cherubi"</formula1>
    </dataValidation>
    <dataValidation type="list" allowBlank="1" showErrorMessage="1" sqref="J57" xr:uid="{00000000-0002-0000-0200-000005000000}">
      <formula1>"Psyduck,Golduck,Sneasel,Snorunt,Snover,Magikarp,Goldeen,Seaking"</formula1>
    </dataValidation>
    <dataValidation type="list" allowBlank="1" showErrorMessage="1" sqref="J11" xr:uid="{00000000-0002-0000-0200-000006000000}">
      <formula1>"Wurmple,Kricketot,Psyduck,Golduck,Magikarp,Goldeen"</formula1>
    </dataValidation>
    <dataValidation type="list" allowBlank="1" showErrorMessage="1" sqref="J46" xr:uid="{00000000-0002-0000-0200-000007000000}">
      <formula1>"Magmar,Floatzel,Shellos,Magikarp,Finneon,Heracross,Wurmple,Burmy,Combee,Cherubi"</formula1>
    </dataValidation>
    <dataValidation type="list" allowBlank="1" showErrorMessage="1" sqref="J52" xr:uid="{00000000-0002-0000-0200-000008000000}">
      <formula1>"Wingull,Pelipper,Magikarp,Finneon"</formula1>
    </dataValidation>
    <dataValidation type="list" allowBlank="1" showErrorMessage="1" sqref="J34" xr:uid="{00000000-0002-0000-0200-000009000000}">
      <formula1>"Abra,Kadabra,Scyther,Marill,Heracross,Wurmple,Burmy,Combee,Cherubi"</formula1>
    </dataValidation>
    <dataValidation type="list" allowBlank="1" showErrorMessage="1" sqref="J44" xr:uid="{00000000-0002-0000-0200-00000A000000}">
      <formula1>"Kricketune"</formula1>
    </dataValidation>
    <dataValidation type="list" allowBlank="1" showErrorMessage="1" sqref="J48:J49" xr:uid="{00000000-0002-0000-0200-00000B000000}">
      <formula1>"Wingull,Pelipper,Magikarp,Finneon,Lumineon"</formula1>
    </dataValidation>
    <dataValidation type="list" allowBlank="1" showErrorMessage="1" sqref="J24" xr:uid="{00000000-0002-0000-0200-00000C000000}">
      <formula1>"Machop,Machoke,Nosepass,Meditite,Medicham,Chingling,Chimecho,Magikarp,Feebas,Absol,Snover,Abomasnow"</formula1>
    </dataValidation>
    <dataValidation type="list" allowBlank="1" showErrorMessage="1" sqref="J50" xr:uid="{00000000-0002-0000-0200-00000D000000}">
      <formula1>"Sudowoodo,Floatzel,Wingull,Pelipper,Magikarp,Finneon,Lumineon,Heracross,Wurmple,Burmy,Combee,Cherubi"</formula1>
    </dataValidation>
    <dataValidation type="list" allowBlank="1" showErrorMessage="1" sqref="J19" xr:uid="{00000000-0002-0000-0200-00000E000000}">
      <formula1>"Buizel,Shellos,Magikarp,Finneon,Silcoon,Cascoon,Beautifly,Kricketot,Psyduck,Golduck,Heracross,Wurmple,Burmy,Combee,Cherubi"</formula1>
    </dataValidation>
    <dataValidation type="list" allowBlank="1" showErrorMessage="1" sqref="J5" xr:uid="{00000000-0002-0000-0200-00000F000000}">
      <formula1>"Turtwig,Chimchar,Piplup"</formula1>
    </dataValidation>
    <dataValidation type="list" allowBlank="1" showErrorMessage="1" sqref="J47" xr:uid="{00000000-0002-0000-0200-000010000000}">
      <formula1>"Mr. Mime,Floatzel,Shellos,Magikarp,Finneon,Heracross,Wurmple,Burmy,Combee,Cherubi"</formula1>
    </dataValidation>
    <dataValidation type="list" allowBlank="1" showErrorMessage="1" sqref="J28" xr:uid="{00000000-0002-0000-0200-000011000000}">
      <formula1>"Eevee"</formula1>
    </dataValidation>
    <dataValidation type="list" allowBlank="1" showErrorMessage="1" sqref="P5:P64" xr:uid="{00000000-0002-0000-0200-000012000000}">
      <formula1>"N,H,S,L"</formula1>
    </dataValidation>
    <dataValidation type="list" allowBlank="1" showErrorMessage="1" sqref="J20" xr:uid="{00000000-0002-0000-0200-000013000000}">
      <formula1>"Wurmple,Silcoon,Cascoon,Beautifly,Kricketot,Heracross,Burmy,Combee,Cherubi"</formula1>
    </dataValidation>
    <dataValidation type="list" allowBlank="1" showErrorMessage="1" sqref="J33" xr:uid="{00000000-0002-0000-0200-000014000000}">
      <formula1>"Machop,Machoke,Scyther,Meditite,Swablu,Psyduck,Golduck,Magikarp,Heracross,Wurmple,Burmy,Combee,Cherubi"</formula1>
    </dataValidation>
    <dataValidation type="list" allowBlank="1" showErrorMessage="1" sqref="N5:N64" xr:uid="{00000000-0002-0000-0200-000015000000}">
      <formula1>"T,B,D,F"</formula1>
    </dataValidation>
    <dataValidation type="list" allowBlank="1" showErrorMessage="1" sqref="J38" xr:uid="{00000000-0002-0000-0200-000016000000}">
      <formula1>"Houndour,Kricketune"</formula1>
    </dataValidation>
    <dataValidation type="list" allowBlank="1" showErrorMessage="1" sqref="J60" xr:uid="{00000000-0002-0000-0200-000017000000}">
      <formula1>"Wingull,Pelipper,Floatzel,Magikarp,Remoraid,Heracross,Wurmple,Burmy,Combee,Cherubi"</formula1>
    </dataValidation>
    <dataValidation type="list" allowBlank="1" showErrorMessage="1" sqref="J61 J64" xr:uid="{00000000-0002-0000-0200-000018000000}">
      <formula1>"Wingull,Pelipper,Magikarp,Remoraid"</formula1>
    </dataValidation>
    <dataValidation type="list" allowBlank="1" showErrorMessage="1" sqref="J27" xr:uid="{00000000-0002-0000-0200-000019000000}">
      <formula1>"Ralts,Psyduck,Golduck,Magikarp,Goldeen,Heracross,Wurmple,Burmy,Combee,Cherubi"</formula1>
    </dataValidation>
    <dataValidation type="list" allowBlank="1" showErrorMessage="1" sqref="J54" xr:uid="{00000000-0002-0000-0200-00001A000000}">
      <formula1>"Sneasel,Meditite,Snorunt,Snover"</formula1>
    </dataValidation>
    <dataValidation type="list" allowBlank="1" showErrorMessage="1" sqref="J40" xr:uid="{00000000-0002-0000-0200-00001B000000}">
      <formula1>"Wingull,Shellos,Magikarp,Remoraid"</formula1>
    </dataValidation>
    <dataValidation type="list" allowBlank="1" showErrorMessage="1" sqref="J12 J16 J21" xr:uid="{00000000-0002-0000-0200-00001C000000}">
      <formula1>"Psyduck,Golduck,Magikarp"</formula1>
    </dataValidation>
    <dataValidation type="list" allowBlank="1" showErrorMessage="1" sqref="J32" xr:uid="{00000000-0002-0000-0200-00001D000000}">
      <formula1>"Ponyta,Scyther,Heracross,Wurmple,Burmy,Combee,Cherubi"</formula1>
    </dataValidation>
    <dataValidation type="list" allowBlank="1" showErrorMessage="1" sqref="J63" xr:uid="{00000000-0002-0000-0200-00001E000000}">
      <formula1>"Azumarill,Floatzel,Magikarp"</formula1>
    </dataValidation>
    <dataValidation type="list" allowBlank="1" showErrorMessage="1" sqref="J17" xr:uid="{00000000-0002-0000-0200-00001F000000}">
      <formula1>"Heracross,Wurmple,Burmy,Combee,Cherubi"</formula1>
    </dataValidation>
    <dataValidation type="list" allowBlank="1" showErrorMessage="1" sqref="J10" xr:uid="{00000000-0002-0000-0200-000020000000}">
      <formula1>"Abra,Kricketot,Psyduck,Golduck,Magikarp,Goldeen"</formula1>
    </dataValidation>
    <dataValidation type="list" allowBlank="1" showErrorMessage="1" sqref="J7:J8" xr:uid="{00000000-0002-0000-0200-000021000000}">
      <formula1>"Kricketot"</formula1>
    </dataValidation>
    <dataValidation type="list" allowBlank="1" showErrorMessage="1" sqref="J59" xr:uid="{00000000-0002-0000-0200-000022000000}">
      <formula1>"Dusclops,Chingling,Golduck,Magikarp,Goldeen"</formula1>
    </dataValidation>
    <dataValidation type="list" allowBlank="1" showErrorMessage="1" sqref="J36" xr:uid="{00000000-0002-0000-0200-000023000000}">
      <formula1>"Houndour,Psyduck,Golduck,Magikarp,Goldeen,Heracross,Wurmple,Burmy,Combee,Cherubi"</formula1>
    </dataValidation>
    <dataValidation type="list" allowBlank="1" showErrorMessage="1" sqref="J13" xr:uid="{00000000-0002-0000-0200-000024000000}">
      <formula1>"Cranidos"</formula1>
    </dataValidation>
    <dataValidation type="list" allowBlank="1" showErrorMessage="1" sqref="J6 J58" xr:uid="{00000000-0002-0000-0200-000025000000}">
      <formula1>"Psyduck,Golduck,Magikarp,Goldeen,Seaking"</formula1>
    </dataValidation>
    <dataValidation type="list" allowBlank="1" showErrorMessage="1" sqref="J62" xr:uid="{00000000-0002-0000-0200-000026000000}">
      <formula1>"Pelipper,Mantyke,Magikarp,Remoraid,Octillery"</formula1>
    </dataValidation>
    <dataValidation type="list" allowBlank="1" showErrorMessage="1" sqref="J9 J45" xr:uid="{00000000-0002-0000-0200-000027000000}">
      <formula1>"Psyduck,Golduck,Magikarp,Goldeen"</formula1>
    </dataValidation>
    <dataValidation type="list" allowBlank="1" showErrorMessage="1" sqref="J18" xr:uid="{00000000-0002-0000-0200-000028000000}">
      <formula1>"Buizel,Shellos,Magikarp,Finneon,Heracross,Wurmple,Burmy,Combee,Cherubi,Drifloon"</formula1>
    </dataValidation>
    <dataValidation type="list" allowBlank="1" showErrorMessage="1" sqref="J29" xr:uid="{00000000-0002-0000-0200-000029000000}">
      <formula1>"Ralts,Duskull,Psyduck,Golduck,Magikarp,Goldeen,Heracross,Wurmple,Burmy,Combee,Cherubi"</formula1>
    </dataValidation>
    <dataValidation type="list" allowBlank="1" showErrorMessage="1" sqref="J42" xr:uid="{00000000-0002-0000-0200-00002A000000}">
      <formula1>"Marill,Ralts,Kirlia,Psyduck,Golduck,Magikarp,Goldeen,Heracross,Wurmple,Burmy,Combee,Cherubi"</formula1>
    </dataValidation>
    <dataValidation type="list" allowBlank="1" showErrorMessage="1" sqref="J53" xr:uid="{00000000-0002-0000-0200-00002B000000}">
      <formula1>"Riolu"</formula1>
    </dataValidation>
    <dataValidation type="list" allowBlank="1" showErrorMessage="1" sqref="J31" xr:uid="{00000000-0002-0000-0200-00002C000000}">
      <formula1>"Unown"</formula1>
    </dataValidation>
    <dataValidation type="list" allowBlank="1" showErrorMessage="1" sqref="J15" xr:uid="{00000000-0002-0000-0200-00002D000000}">
      <formula1>"Machop,Ponyta,Kricketot"</formula1>
    </dataValidation>
    <dataValidation type="list" allowBlank="1" showErrorMessage="1" sqref="J41" xr:uid="{00000000-0002-0000-0200-00002E000000}">
      <formula1>"Magikarp,Tangela,Yanma,Tropius,Carnivine"</formula1>
    </dataValidation>
    <dataValidation type="list" allowBlank="1" showErrorMessage="1" sqref="J25" xr:uid="{00000000-0002-0000-0200-00002F000000}">
      <formula1>"Machop,Ponyta,Kricketune,Heracross,Wurmple,Burmy,Combee,Cherubi"</formula1>
    </dataValidation>
    <dataValidation type="list" allowBlank="1" showErrorMessage="1" sqref="J39" xr:uid="{00000000-0002-0000-0200-000030000000}">
      <formula1>"Wingull,Buizel,Shellos,Magikarp,Remoraid,Heracross,Wurmple,Burmy,Combee,Cherubi"</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K102"/>
  <sheetViews>
    <sheetView workbookViewId="0"/>
  </sheetViews>
  <sheetFormatPr defaultColWidth="12.59765625" defaultRowHeight="15.75" customHeight="1"/>
  <cols>
    <col min="6" max="6" width="16.46484375" customWidth="1"/>
  </cols>
  <sheetData>
    <row r="2" spans="2:11">
      <c r="B2" s="76" t="s">
        <v>232</v>
      </c>
      <c r="D2" s="76" t="s">
        <v>233</v>
      </c>
      <c r="F2" s="76" t="s">
        <v>234</v>
      </c>
    </row>
    <row r="3" spans="2:11">
      <c r="B3" s="76" t="s">
        <v>182</v>
      </c>
      <c r="C3" s="76" t="s">
        <v>235</v>
      </c>
      <c r="D3" s="76" t="s">
        <v>236</v>
      </c>
      <c r="E3" s="76" t="s">
        <v>237</v>
      </c>
      <c r="F3" s="76" t="s">
        <v>238</v>
      </c>
      <c r="G3" s="76" t="s">
        <v>239</v>
      </c>
      <c r="J3" s="76" t="s">
        <v>182</v>
      </c>
      <c r="K3" s="76" t="s">
        <v>235</v>
      </c>
    </row>
    <row r="4" spans="2:11">
      <c r="B4" s="76" t="s">
        <v>240</v>
      </c>
      <c r="C4" s="76" t="s">
        <v>235</v>
      </c>
      <c r="D4" s="76" t="s">
        <v>241</v>
      </c>
      <c r="E4" s="76" t="s">
        <v>237</v>
      </c>
      <c r="F4" s="76" t="s">
        <v>242</v>
      </c>
      <c r="G4" s="76" t="s">
        <v>239</v>
      </c>
      <c r="J4" s="76" t="s">
        <v>240</v>
      </c>
      <c r="K4" s="76" t="s">
        <v>235</v>
      </c>
    </row>
    <row r="5" spans="2:11">
      <c r="B5" s="76" t="s">
        <v>243</v>
      </c>
      <c r="C5" s="76" t="s">
        <v>235</v>
      </c>
      <c r="D5" s="76" t="s">
        <v>244</v>
      </c>
      <c r="E5" s="76" t="s">
        <v>237</v>
      </c>
      <c r="F5" s="76" t="s">
        <v>245</v>
      </c>
      <c r="G5" s="76" t="s">
        <v>239</v>
      </c>
      <c r="J5" s="76" t="s">
        <v>243</v>
      </c>
      <c r="K5" s="76" t="s">
        <v>235</v>
      </c>
    </row>
    <row r="6" spans="2:11">
      <c r="B6" s="76" t="s">
        <v>246</v>
      </c>
      <c r="C6" s="76" t="s">
        <v>235</v>
      </c>
      <c r="D6" s="76" t="s">
        <v>247</v>
      </c>
      <c r="E6" s="76" t="s">
        <v>237</v>
      </c>
      <c r="F6" s="76" t="s">
        <v>248</v>
      </c>
      <c r="G6" s="76" t="s">
        <v>239</v>
      </c>
      <c r="J6" s="76" t="s">
        <v>246</v>
      </c>
      <c r="K6" s="76" t="s">
        <v>235</v>
      </c>
    </row>
    <row r="7" spans="2:11">
      <c r="B7" s="76" t="s">
        <v>249</v>
      </c>
      <c r="C7" s="76" t="s">
        <v>235</v>
      </c>
      <c r="D7" s="76" t="s">
        <v>250</v>
      </c>
      <c r="E7" s="76" t="s">
        <v>237</v>
      </c>
      <c r="F7" s="76" t="s">
        <v>251</v>
      </c>
      <c r="G7" s="76" t="s">
        <v>239</v>
      </c>
      <c r="J7" s="76" t="s">
        <v>249</v>
      </c>
      <c r="K7" s="76" t="s">
        <v>235</v>
      </c>
    </row>
    <row r="8" spans="2:11">
      <c r="B8" s="76" t="s">
        <v>252</v>
      </c>
      <c r="C8" s="76" t="s">
        <v>235</v>
      </c>
      <c r="D8" s="76" t="s">
        <v>253</v>
      </c>
      <c r="E8" s="76" t="s">
        <v>237</v>
      </c>
      <c r="F8" s="76" t="s">
        <v>254</v>
      </c>
      <c r="G8" s="76" t="s">
        <v>239</v>
      </c>
      <c r="J8" s="76" t="s">
        <v>252</v>
      </c>
      <c r="K8" s="76" t="s">
        <v>235</v>
      </c>
    </row>
    <row r="9" spans="2:11">
      <c r="B9" s="76" t="s">
        <v>255</v>
      </c>
      <c r="C9" s="76" t="s">
        <v>235</v>
      </c>
      <c r="D9" s="76" t="s">
        <v>256</v>
      </c>
      <c r="E9" s="76" t="s">
        <v>237</v>
      </c>
      <c r="F9" s="76" t="s">
        <v>257</v>
      </c>
      <c r="G9" s="76" t="s">
        <v>239</v>
      </c>
      <c r="J9" s="76" t="s">
        <v>255</v>
      </c>
      <c r="K9" s="76" t="s">
        <v>235</v>
      </c>
    </row>
    <row r="10" spans="2:11">
      <c r="B10" s="76" t="s">
        <v>258</v>
      </c>
      <c r="C10" s="76" t="s">
        <v>235</v>
      </c>
      <c r="D10" s="76" t="s">
        <v>259</v>
      </c>
      <c r="E10" s="76" t="s">
        <v>237</v>
      </c>
      <c r="F10" s="76" t="s">
        <v>260</v>
      </c>
      <c r="G10" s="76" t="s">
        <v>239</v>
      </c>
      <c r="J10" s="76" t="s">
        <v>258</v>
      </c>
      <c r="K10" s="76" t="s">
        <v>235</v>
      </c>
    </row>
    <row r="11" spans="2:11">
      <c r="B11" s="76" t="s">
        <v>261</v>
      </c>
      <c r="C11" s="76" t="s">
        <v>235</v>
      </c>
      <c r="D11" s="76" t="s">
        <v>262</v>
      </c>
      <c r="E11" s="76" t="s">
        <v>237</v>
      </c>
      <c r="F11" s="76" t="s">
        <v>263</v>
      </c>
      <c r="G11" s="76" t="s">
        <v>239</v>
      </c>
      <c r="J11" s="76" t="s">
        <v>261</v>
      </c>
      <c r="K11" s="76" t="s">
        <v>235</v>
      </c>
    </row>
    <row r="12" spans="2:11">
      <c r="B12" s="76" t="s">
        <v>264</v>
      </c>
      <c r="C12" s="76" t="s">
        <v>235</v>
      </c>
      <c r="D12" s="76" t="s">
        <v>265</v>
      </c>
      <c r="E12" s="76" t="s">
        <v>237</v>
      </c>
      <c r="F12" s="76" t="s">
        <v>266</v>
      </c>
      <c r="G12" s="76" t="s">
        <v>239</v>
      </c>
      <c r="J12" s="76" t="s">
        <v>264</v>
      </c>
      <c r="K12" s="76" t="s">
        <v>235</v>
      </c>
    </row>
    <row r="13" spans="2:11">
      <c r="B13" s="76" t="s">
        <v>267</v>
      </c>
      <c r="C13" s="76" t="s">
        <v>235</v>
      </c>
      <c r="D13" s="76" t="s">
        <v>268</v>
      </c>
      <c r="E13" s="76" t="s">
        <v>237</v>
      </c>
      <c r="F13" s="76" t="s">
        <v>269</v>
      </c>
      <c r="G13" s="76" t="s">
        <v>239</v>
      </c>
      <c r="J13" s="76" t="s">
        <v>267</v>
      </c>
      <c r="K13" s="76" t="s">
        <v>235</v>
      </c>
    </row>
    <row r="14" spans="2:11">
      <c r="B14" s="76" t="s">
        <v>270</v>
      </c>
      <c r="C14" s="76" t="s">
        <v>235</v>
      </c>
      <c r="E14" s="76" t="s">
        <v>237</v>
      </c>
      <c r="F14" s="76" t="s">
        <v>271</v>
      </c>
      <c r="G14" s="76" t="s">
        <v>239</v>
      </c>
      <c r="J14" s="76" t="s">
        <v>270</v>
      </c>
      <c r="K14" s="76" t="s">
        <v>235</v>
      </c>
    </row>
    <row r="15" spans="2:11">
      <c r="B15" s="76" t="s">
        <v>272</v>
      </c>
      <c r="C15" s="76" t="s">
        <v>235</v>
      </c>
      <c r="E15" s="76" t="s">
        <v>237</v>
      </c>
      <c r="F15" s="76" t="s">
        <v>273</v>
      </c>
      <c r="G15" s="76" t="s">
        <v>239</v>
      </c>
      <c r="J15" s="76" t="s">
        <v>272</v>
      </c>
      <c r="K15" s="76" t="s">
        <v>235</v>
      </c>
    </row>
    <row r="16" spans="2:11">
      <c r="B16" s="76" t="s">
        <v>274</v>
      </c>
      <c r="C16" s="76" t="s">
        <v>235</v>
      </c>
      <c r="E16" s="76" t="s">
        <v>237</v>
      </c>
      <c r="F16" s="76" t="s">
        <v>275</v>
      </c>
      <c r="G16" s="76" t="s">
        <v>239</v>
      </c>
      <c r="J16" s="76" t="s">
        <v>274</v>
      </c>
      <c r="K16" s="76" t="s">
        <v>235</v>
      </c>
    </row>
    <row r="17" spans="2:11">
      <c r="B17" s="76" t="s">
        <v>276</v>
      </c>
      <c r="C17" s="76" t="s">
        <v>235</v>
      </c>
      <c r="E17" s="76" t="s">
        <v>237</v>
      </c>
      <c r="F17" s="76" t="s">
        <v>277</v>
      </c>
      <c r="G17" s="76" t="s">
        <v>239</v>
      </c>
      <c r="J17" s="76" t="s">
        <v>276</v>
      </c>
      <c r="K17" s="76" t="s">
        <v>235</v>
      </c>
    </row>
    <row r="18" spans="2:11">
      <c r="B18" s="76" t="s">
        <v>278</v>
      </c>
      <c r="C18" s="76" t="s">
        <v>235</v>
      </c>
      <c r="E18" s="76" t="s">
        <v>237</v>
      </c>
      <c r="F18" s="76" t="s">
        <v>279</v>
      </c>
      <c r="G18" s="76" t="s">
        <v>239</v>
      </c>
      <c r="J18" s="76" t="s">
        <v>278</v>
      </c>
      <c r="K18" s="76" t="s">
        <v>235</v>
      </c>
    </row>
    <row r="19" spans="2:11">
      <c r="B19" s="76" t="s">
        <v>280</v>
      </c>
      <c r="C19" s="76" t="s">
        <v>235</v>
      </c>
      <c r="F19" s="76" t="s">
        <v>281</v>
      </c>
      <c r="G19" s="76" t="s">
        <v>239</v>
      </c>
      <c r="J19" s="76" t="s">
        <v>280</v>
      </c>
      <c r="K19" s="76" t="s">
        <v>235</v>
      </c>
    </row>
    <row r="20" spans="2:11">
      <c r="B20" s="76" t="s">
        <v>282</v>
      </c>
      <c r="C20" s="76" t="s">
        <v>235</v>
      </c>
      <c r="F20" s="76" t="s">
        <v>283</v>
      </c>
      <c r="G20" s="76" t="s">
        <v>239</v>
      </c>
      <c r="J20" s="76" t="s">
        <v>282</v>
      </c>
      <c r="K20" s="76" t="s">
        <v>235</v>
      </c>
    </row>
    <row r="21" spans="2:11">
      <c r="B21" s="76" t="s">
        <v>284</v>
      </c>
      <c r="C21" s="76" t="s">
        <v>235</v>
      </c>
      <c r="F21" s="76" t="s">
        <v>285</v>
      </c>
      <c r="G21" s="76" t="s">
        <v>239</v>
      </c>
      <c r="J21" s="76" t="s">
        <v>284</v>
      </c>
      <c r="K21" s="76" t="s">
        <v>235</v>
      </c>
    </row>
    <row r="22" spans="2:11">
      <c r="B22" s="76" t="s">
        <v>286</v>
      </c>
      <c r="C22" s="76" t="s">
        <v>235</v>
      </c>
      <c r="F22" s="76" t="s">
        <v>287</v>
      </c>
      <c r="G22" s="76" t="s">
        <v>239</v>
      </c>
      <c r="J22" s="76" t="s">
        <v>286</v>
      </c>
      <c r="K22" s="76" t="s">
        <v>235</v>
      </c>
    </row>
    <row r="23" spans="2:11">
      <c r="B23" s="76" t="s">
        <v>288</v>
      </c>
      <c r="C23" s="76" t="s">
        <v>235</v>
      </c>
      <c r="F23" s="76" t="s">
        <v>289</v>
      </c>
      <c r="G23" s="76" t="s">
        <v>239</v>
      </c>
      <c r="J23" s="76" t="s">
        <v>288</v>
      </c>
      <c r="K23" s="76" t="s">
        <v>235</v>
      </c>
    </row>
    <row r="24" spans="2:11">
      <c r="B24" s="76" t="s">
        <v>290</v>
      </c>
      <c r="C24" s="76" t="s">
        <v>235</v>
      </c>
      <c r="F24" s="76" t="s">
        <v>291</v>
      </c>
      <c r="G24" s="76" t="s">
        <v>239</v>
      </c>
      <c r="J24" s="76" t="s">
        <v>290</v>
      </c>
      <c r="K24" s="76" t="s">
        <v>235</v>
      </c>
    </row>
    <row r="25" spans="2:11">
      <c r="B25" s="76" t="s">
        <v>292</v>
      </c>
      <c r="C25" s="76" t="s">
        <v>235</v>
      </c>
      <c r="F25" s="76" t="s">
        <v>293</v>
      </c>
      <c r="G25" s="76" t="s">
        <v>239</v>
      </c>
      <c r="J25" s="76" t="s">
        <v>292</v>
      </c>
      <c r="K25" s="76" t="s">
        <v>235</v>
      </c>
    </row>
    <row r="26" spans="2:11">
      <c r="B26" s="76" t="s">
        <v>294</v>
      </c>
      <c r="C26" s="76" t="s">
        <v>235</v>
      </c>
      <c r="F26" s="76" t="s">
        <v>295</v>
      </c>
      <c r="G26" s="76" t="s">
        <v>239</v>
      </c>
      <c r="J26" s="76" t="s">
        <v>294</v>
      </c>
      <c r="K26" s="76" t="s">
        <v>235</v>
      </c>
    </row>
    <row r="27" spans="2:11">
      <c r="B27" s="76" t="s">
        <v>296</v>
      </c>
      <c r="C27" s="76" t="s">
        <v>235</v>
      </c>
      <c r="F27" s="76" t="s">
        <v>297</v>
      </c>
      <c r="G27" s="76" t="s">
        <v>239</v>
      </c>
      <c r="J27" s="76" t="s">
        <v>296</v>
      </c>
      <c r="K27" s="76" t="s">
        <v>235</v>
      </c>
    </row>
    <row r="28" spans="2:11">
      <c r="B28" s="76" t="s">
        <v>298</v>
      </c>
      <c r="C28" s="76" t="s">
        <v>235</v>
      </c>
      <c r="F28" s="76" t="s">
        <v>299</v>
      </c>
      <c r="G28" s="76" t="s">
        <v>239</v>
      </c>
      <c r="J28" s="76" t="s">
        <v>298</v>
      </c>
      <c r="K28" s="76" t="s">
        <v>235</v>
      </c>
    </row>
    <row r="29" spans="2:11">
      <c r="B29" s="76" t="s">
        <v>300</v>
      </c>
      <c r="C29" s="76" t="s">
        <v>235</v>
      </c>
      <c r="F29" s="76" t="s">
        <v>301</v>
      </c>
      <c r="G29" s="76" t="s">
        <v>239</v>
      </c>
      <c r="J29" s="76" t="s">
        <v>300</v>
      </c>
      <c r="K29" s="76" t="s">
        <v>235</v>
      </c>
    </row>
    <row r="30" spans="2:11">
      <c r="B30" s="76" t="s">
        <v>302</v>
      </c>
      <c r="C30" s="76" t="s">
        <v>235</v>
      </c>
      <c r="F30" s="76" t="s">
        <v>303</v>
      </c>
      <c r="G30" s="76" t="s">
        <v>239</v>
      </c>
      <c r="J30" s="76" t="s">
        <v>302</v>
      </c>
      <c r="K30" s="76" t="s">
        <v>235</v>
      </c>
    </row>
    <row r="31" spans="2:11">
      <c r="B31" s="76" t="s">
        <v>304</v>
      </c>
      <c r="C31" s="76" t="s">
        <v>235</v>
      </c>
      <c r="F31" s="76" t="s">
        <v>305</v>
      </c>
      <c r="G31" s="76" t="s">
        <v>239</v>
      </c>
      <c r="J31" s="76" t="s">
        <v>304</v>
      </c>
      <c r="K31" s="76" t="s">
        <v>235</v>
      </c>
    </row>
    <row r="32" spans="2:11">
      <c r="B32" s="76" t="s">
        <v>306</v>
      </c>
      <c r="C32" s="76" t="s">
        <v>235</v>
      </c>
      <c r="F32" s="76" t="s">
        <v>307</v>
      </c>
      <c r="G32" s="76" t="s">
        <v>239</v>
      </c>
      <c r="J32" s="76" t="s">
        <v>306</v>
      </c>
      <c r="K32" s="76" t="s">
        <v>235</v>
      </c>
    </row>
    <row r="33" spans="2:11">
      <c r="B33" s="76" t="s">
        <v>308</v>
      </c>
      <c r="C33" s="76" t="s">
        <v>235</v>
      </c>
      <c r="F33" s="76" t="s">
        <v>309</v>
      </c>
      <c r="G33" s="76" t="s">
        <v>239</v>
      </c>
      <c r="J33" s="76" t="s">
        <v>308</v>
      </c>
      <c r="K33" s="76" t="s">
        <v>235</v>
      </c>
    </row>
    <row r="34" spans="2:11">
      <c r="B34" s="76" t="s">
        <v>310</v>
      </c>
      <c r="C34" s="76" t="s">
        <v>235</v>
      </c>
      <c r="F34" s="76" t="s">
        <v>311</v>
      </c>
      <c r="G34" s="76" t="s">
        <v>239</v>
      </c>
      <c r="J34" s="76" t="s">
        <v>310</v>
      </c>
      <c r="K34" s="76" t="s">
        <v>235</v>
      </c>
    </row>
    <row r="35" spans="2:11">
      <c r="B35" s="76" t="s">
        <v>312</v>
      </c>
      <c r="C35" s="76" t="s">
        <v>235</v>
      </c>
      <c r="F35" s="76" t="s">
        <v>313</v>
      </c>
      <c r="G35" s="76" t="s">
        <v>239</v>
      </c>
      <c r="J35" s="76" t="s">
        <v>312</v>
      </c>
      <c r="K35" s="76" t="s">
        <v>235</v>
      </c>
    </row>
    <row r="36" spans="2:11">
      <c r="B36" s="76" t="s">
        <v>314</v>
      </c>
      <c r="C36" s="76" t="s">
        <v>235</v>
      </c>
      <c r="F36" s="76" t="s">
        <v>315</v>
      </c>
      <c r="G36" s="76" t="s">
        <v>239</v>
      </c>
      <c r="J36" s="76" t="s">
        <v>314</v>
      </c>
      <c r="K36" s="76" t="s">
        <v>235</v>
      </c>
    </row>
    <row r="37" spans="2:11">
      <c r="B37" s="76" t="s">
        <v>316</v>
      </c>
      <c r="C37" s="76" t="s">
        <v>235</v>
      </c>
      <c r="F37" s="76" t="s">
        <v>317</v>
      </c>
      <c r="G37" s="76" t="s">
        <v>239</v>
      </c>
      <c r="J37" s="76" t="s">
        <v>316</v>
      </c>
      <c r="K37" s="76" t="s">
        <v>235</v>
      </c>
    </row>
    <row r="38" spans="2:11">
      <c r="B38" s="76" t="s">
        <v>318</v>
      </c>
      <c r="C38" s="76" t="s">
        <v>235</v>
      </c>
      <c r="F38" s="76" t="s">
        <v>319</v>
      </c>
      <c r="G38" s="76" t="s">
        <v>239</v>
      </c>
      <c r="J38" s="76" t="s">
        <v>318</v>
      </c>
      <c r="K38" s="76" t="s">
        <v>235</v>
      </c>
    </row>
    <row r="39" spans="2:11">
      <c r="B39" s="76" t="s">
        <v>320</v>
      </c>
      <c r="C39" s="76" t="s">
        <v>235</v>
      </c>
      <c r="F39" s="76" t="s">
        <v>321</v>
      </c>
      <c r="G39" s="76" t="s">
        <v>239</v>
      </c>
      <c r="J39" s="76" t="s">
        <v>320</v>
      </c>
      <c r="K39" s="76" t="s">
        <v>235</v>
      </c>
    </row>
    <row r="40" spans="2:11">
      <c r="B40" s="76" t="s">
        <v>322</v>
      </c>
      <c r="C40" s="76" t="s">
        <v>235</v>
      </c>
      <c r="F40" s="76" t="s">
        <v>323</v>
      </c>
      <c r="G40" s="76" t="s">
        <v>239</v>
      </c>
      <c r="J40" s="76" t="s">
        <v>322</v>
      </c>
      <c r="K40" s="76" t="s">
        <v>235</v>
      </c>
    </row>
    <row r="41" spans="2:11">
      <c r="B41" s="76" t="s">
        <v>324</v>
      </c>
      <c r="C41" s="76" t="s">
        <v>235</v>
      </c>
      <c r="F41" s="76" t="s">
        <v>325</v>
      </c>
      <c r="G41" s="76" t="s">
        <v>239</v>
      </c>
      <c r="J41" s="76" t="s">
        <v>324</v>
      </c>
      <c r="K41" s="76" t="s">
        <v>235</v>
      </c>
    </row>
    <row r="42" spans="2:11">
      <c r="B42" s="76" t="s">
        <v>326</v>
      </c>
      <c r="C42" s="76" t="s">
        <v>235</v>
      </c>
      <c r="F42" s="76" t="s">
        <v>327</v>
      </c>
      <c r="G42" s="76" t="s">
        <v>239</v>
      </c>
      <c r="J42" s="76" t="s">
        <v>326</v>
      </c>
      <c r="K42" s="76" t="s">
        <v>235</v>
      </c>
    </row>
    <row r="43" spans="2:11">
      <c r="B43" s="76" t="s">
        <v>328</v>
      </c>
      <c r="C43" s="76" t="s">
        <v>235</v>
      </c>
      <c r="F43" s="76" t="s">
        <v>329</v>
      </c>
      <c r="G43" s="76" t="s">
        <v>239</v>
      </c>
      <c r="J43" s="76" t="s">
        <v>328</v>
      </c>
      <c r="K43" s="76" t="s">
        <v>235</v>
      </c>
    </row>
    <row r="44" spans="2:11">
      <c r="C44" s="76" t="s">
        <v>235</v>
      </c>
      <c r="F44" s="76" t="s">
        <v>330</v>
      </c>
      <c r="G44" s="76" t="s">
        <v>239</v>
      </c>
      <c r="J44" s="76" t="s">
        <v>236</v>
      </c>
      <c r="K44" s="76" t="s">
        <v>237</v>
      </c>
    </row>
    <row r="45" spans="2:11">
      <c r="C45" s="76" t="s">
        <v>235</v>
      </c>
      <c r="F45" s="76" t="s">
        <v>331</v>
      </c>
      <c r="G45" s="76" t="s">
        <v>239</v>
      </c>
      <c r="J45" s="76" t="s">
        <v>241</v>
      </c>
      <c r="K45" s="76" t="s">
        <v>237</v>
      </c>
    </row>
    <row r="46" spans="2:11">
      <c r="C46" s="76" t="s">
        <v>235</v>
      </c>
      <c r="F46" s="76" t="s">
        <v>332</v>
      </c>
      <c r="G46" s="76" t="s">
        <v>239</v>
      </c>
      <c r="J46" s="76" t="s">
        <v>244</v>
      </c>
      <c r="K46" s="76" t="s">
        <v>237</v>
      </c>
    </row>
    <row r="47" spans="2:11">
      <c r="C47" s="76" t="s">
        <v>235</v>
      </c>
      <c r="F47" s="76" t="s">
        <v>333</v>
      </c>
      <c r="G47" s="76" t="s">
        <v>239</v>
      </c>
      <c r="J47" s="76" t="s">
        <v>247</v>
      </c>
      <c r="K47" s="76" t="s">
        <v>237</v>
      </c>
    </row>
    <row r="48" spans="2:11">
      <c r="C48" s="76" t="s">
        <v>235</v>
      </c>
      <c r="F48" s="76" t="s">
        <v>334</v>
      </c>
      <c r="G48" s="76" t="s">
        <v>239</v>
      </c>
      <c r="J48" s="76" t="s">
        <v>250</v>
      </c>
      <c r="K48" s="76" t="s">
        <v>237</v>
      </c>
    </row>
    <row r="49" spans="3:11">
      <c r="C49" s="76" t="s">
        <v>235</v>
      </c>
      <c r="F49" s="76" t="s">
        <v>335</v>
      </c>
      <c r="G49" s="76" t="s">
        <v>239</v>
      </c>
      <c r="J49" s="76" t="s">
        <v>253</v>
      </c>
      <c r="K49" s="76" t="s">
        <v>237</v>
      </c>
    </row>
    <row r="50" spans="3:11">
      <c r="C50" s="76" t="s">
        <v>235</v>
      </c>
      <c r="F50" s="76" t="s">
        <v>336</v>
      </c>
      <c r="G50" s="76" t="s">
        <v>239</v>
      </c>
      <c r="J50" s="76" t="s">
        <v>256</v>
      </c>
      <c r="K50" s="76" t="s">
        <v>237</v>
      </c>
    </row>
    <row r="51" spans="3:11">
      <c r="C51" s="76" t="s">
        <v>235</v>
      </c>
      <c r="G51" s="76" t="s">
        <v>239</v>
      </c>
      <c r="J51" s="76" t="s">
        <v>259</v>
      </c>
      <c r="K51" s="76" t="s">
        <v>237</v>
      </c>
    </row>
    <row r="52" spans="3:11">
      <c r="C52" s="76" t="s">
        <v>235</v>
      </c>
      <c r="G52" s="76" t="s">
        <v>239</v>
      </c>
      <c r="J52" s="76" t="s">
        <v>262</v>
      </c>
      <c r="K52" s="76" t="s">
        <v>237</v>
      </c>
    </row>
    <row r="53" spans="3:11">
      <c r="C53" s="76" t="s">
        <v>235</v>
      </c>
      <c r="G53" s="76" t="s">
        <v>239</v>
      </c>
      <c r="J53" s="76" t="s">
        <v>265</v>
      </c>
      <c r="K53" s="76" t="s">
        <v>237</v>
      </c>
    </row>
    <row r="54" spans="3:11">
      <c r="C54" s="76" t="s">
        <v>235</v>
      </c>
      <c r="G54" s="76" t="s">
        <v>239</v>
      </c>
      <c r="J54" s="76" t="s">
        <v>268</v>
      </c>
      <c r="K54" s="76" t="s">
        <v>237</v>
      </c>
    </row>
    <row r="55" spans="3:11">
      <c r="C55" s="76" t="s">
        <v>235</v>
      </c>
      <c r="G55" s="76" t="s">
        <v>239</v>
      </c>
      <c r="J55" s="76" t="s">
        <v>238</v>
      </c>
      <c r="K55" s="76" t="s">
        <v>239</v>
      </c>
    </row>
    <row r="56" spans="3:11">
      <c r="C56" s="76" t="s">
        <v>235</v>
      </c>
      <c r="G56" s="76" t="s">
        <v>239</v>
      </c>
      <c r="J56" s="76" t="s">
        <v>242</v>
      </c>
      <c r="K56" s="76" t="s">
        <v>239</v>
      </c>
    </row>
    <row r="57" spans="3:11">
      <c r="G57" s="76" t="s">
        <v>239</v>
      </c>
      <c r="J57" s="76" t="s">
        <v>245</v>
      </c>
      <c r="K57" s="76" t="s">
        <v>239</v>
      </c>
    </row>
    <row r="58" spans="3:11">
      <c r="G58" s="76" t="s">
        <v>239</v>
      </c>
      <c r="J58" s="76" t="s">
        <v>248</v>
      </c>
      <c r="K58" s="76" t="s">
        <v>239</v>
      </c>
    </row>
    <row r="59" spans="3:11">
      <c r="G59" s="76" t="s">
        <v>239</v>
      </c>
      <c r="J59" s="76" t="s">
        <v>251</v>
      </c>
      <c r="K59" s="76" t="s">
        <v>239</v>
      </c>
    </row>
    <row r="60" spans="3:11">
      <c r="G60" s="76" t="s">
        <v>239</v>
      </c>
      <c r="J60" s="76" t="s">
        <v>254</v>
      </c>
      <c r="K60" s="76" t="s">
        <v>239</v>
      </c>
    </row>
    <row r="61" spans="3:11">
      <c r="G61" s="76" t="s">
        <v>239</v>
      </c>
      <c r="J61" s="76" t="s">
        <v>257</v>
      </c>
      <c r="K61" s="76" t="s">
        <v>239</v>
      </c>
    </row>
    <row r="62" spans="3:11">
      <c r="G62" s="76" t="s">
        <v>239</v>
      </c>
      <c r="J62" s="76" t="s">
        <v>260</v>
      </c>
      <c r="K62" s="76" t="s">
        <v>239</v>
      </c>
    </row>
    <row r="63" spans="3:11">
      <c r="G63" s="76" t="s">
        <v>239</v>
      </c>
      <c r="J63" s="76" t="s">
        <v>263</v>
      </c>
      <c r="K63" s="76" t="s">
        <v>239</v>
      </c>
    </row>
    <row r="64" spans="3:11">
      <c r="G64" s="76" t="s">
        <v>239</v>
      </c>
      <c r="J64" s="76" t="s">
        <v>266</v>
      </c>
      <c r="K64" s="76" t="s">
        <v>239</v>
      </c>
    </row>
    <row r="65" spans="7:11">
      <c r="G65" s="76" t="s">
        <v>239</v>
      </c>
      <c r="J65" s="76" t="s">
        <v>269</v>
      </c>
      <c r="K65" s="76" t="s">
        <v>239</v>
      </c>
    </row>
    <row r="66" spans="7:11">
      <c r="G66" s="76" t="s">
        <v>239</v>
      </c>
      <c r="J66" s="76" t="s">
        <v>271</v>
      </c>
      <c r="K66" s="76" t="s">
        <v>239</v>
      </c>
    </row>
    <row r="67" spans="7:11">
      <c r="G67" s="76" t="s">
        <v>239</v>
      </c>
      <c r="J67" s="76" t="s">
        <v>273</v>
      </c>
      <c r="K67" s="76" t="s">
        <v>239</v>
      </c>
    </row>
    <row r="68" spans="7:11">
      <c r="G68" s="76" t="s">
        <v>239</v>
      </c>
      <c r="J68" s="76" t="s">
        <v>275</v>
      </c>
      <c r="K68" s="76" t="s">
        <v>239</v>
      </c>
    </row>
    <row r="69" spans="7:11">
      <c r="G69" s="76" t="s">
        <v>239</v>
      </c>
      <c r="J69" s="76" t="s">
        <v>277</v>
      </c>
      <c r="K69" s="76" t="s">
        <v>239</v>
      </c>
    </row>
    <row r="70" spans="7:11">
      <c r="G70" s="76" t="s">
        <v>239</v>
      </c>
      <c r="J70" s="76" t="s">
        <v>279</v>
      </c>
      <c r="K70" s="76" t="s">
        <v>239</v>
      </c>
    </row>
    <row r="71" spans="7:11">
      <c r="G71" s="76" t="s">
        <v>239</v>
      </c>
      <c r="J71" s="76" t="s">
        <v>281</v>
      </c>
      <c r="K71" s="76" t="s">
        <v>239</v>
      </c>
    </row>
    <row r="72" spans="7:11">
      <c r="G72" s="76" t="s">
        <v>239</v>
      </c>
      <c r="J72" s="76" t="s">
        <v>283</v>
      </c>
      <c r="K72" s="76" t="s">
        <v>239</v>
      </c>
    </row>
    <row r="73" spans="7:11">
      <c r="G73" s="76" t="s">
        <v>239</v>
      </c>
      <c r="J73" s="76" t="s">
        <v>285</v>
      </c>
      <c r="K73" s="76" t="s">
        <v>239</v>
      </c>
    </row>
    <row r="74" spans="7:11">
      <c r="G74" s="76" t="s">
        <v>239</v>
      </c>
      <c r="J74" s="76" t="s">
        <v>287</v>
      </c>
      <c r="K74" s="76" t="s">
        <v>239</v>
      </c>
    </row>
    <row r="75" spans="7:11">
      <c r="G75" s="76" t="s">
        <v>239</v>
      </c>
      <c r="J75" s="76" t="s">
        <v>289</v>
      </c>
      <c r="K75" s="76" t="s">
        <v>239</v>
      </c>
    </row>
    <row r="76" spans="7:11">
      <c r="G76" s="76" t="s">
        <v>239</v>
      </c>
      <c r="J76" s="76" t="s">
        <v>291</v>
      </c>
      <c r="K76" s="76" t="s">
        <v>239</v>
      </c>
    </row>
    <row r="77" spans="7:11">
      <c r="G77" s="76" t="s">
        <v>239</v>
      </c>
      <c r="J77" s="76" t="s">
        <v>293</v>
      </c>
      <c r="K77" s="76" t="s">
        <v>239</v>
      </c>
    </row>
    <row r="78" spans="7:11">
      <c r="G78" s="76" t="s">
        <v>239</v>
      </c>
      <c r="J78" s="76" t="s">
        <v>295</v>
      </c>
      <c r="K78" s="76" t="s">
        <v>239</v>
      </c>
    </row>
    <row r="79" spans="7:11">
      <c r="J79" s="76" t="s">
        <v>297</v>
      </c>
      <c r="K79" s="76" t="s">
        <v>239</v>
      </c>
    </row>
    <row r="80" spans="7:11">
      <c r="J80" s="76" t="s">
        <v>299</v>
      </c>
      <c r="K80" s="76" t="s">
        <v>239</v>
      </c>
    </row>
    <row r="81" spans="10:11">
      <c r="J81" s="76" t="s">
        <v>301</v>
      </c>
      <c r="K81" s="76" t="s">
        <v>239</v>
      </c>
    </row>
    <row r="82" spans="10:11">
      <c r="J82" s="76" t="s">
        <v>303</v>
      </c>
      <c r="K82" s="76" t="s">
        <v>239</v>
      </c>
    </row>
    <row r="83" spans="10:11">
      <c r="J83" s="76" t="s">
        <v>305</v>
      </c>
      <c r="K83" s="76" t="s">
        <v>239</v>
      </c>
    </row>
    <row r="84" spans="10:11">
      <c r="J84" s="76" t="s">
        <v>307</v>
      </c>
      <c r="K84" s="76" t="s">
        <v>239</v>
      </c>
    </row>
    <row r="85" spans="10:11">
      <c r="J85" s="76" t="s">
        <v>309</v>
      </c>
      <c r="K85" s="76" t="s">
        <v>239</v>
      </c>
    </row>
    <row r="86" spans="10:11">
      <c r="J86" s="76" t="s">
        <v>311</v>
      </c>
      <c r="K86" s="76" t="s">
        <v>239</v>
      </c>
    </row>
    <row r="87" spans="10:11">
      <c r="J87" s="76" t="s">
        <v>313</v>
      </c>
      <c r="K87" s="76" t="s">
        <v>239</v>
      </c>
    </row>
    <row r="88" spans="10:11">
      <c r="J88" s="76" t="s">
        <v>315</v>
      </c>
      <c r="K88" s="76" t="s">
        <v>239</v>
      </c>
    </row>
    <row r="89" spans="10:11">
      <c r="J89" s="76" t="s">
        <v>317</v>
      </c>
      <c r="K89" s="76" t="s">
        <v>239</v>
      </c>
    </row>
    <row r="90" spans="10:11">
      <c r="J90" s="76" t="s">
        <v>319</v>
      </c>
      <c r="K90" s="76" t="s">
        <v>239</v>
      </c>
    </row>
    <row r="91" spans="10:11">
      <c r="J91" s="76" t="s">
        <v>321</v>
      </c>
      <c r="K91" s="76" t="s">
        <v>239</v>
      </c>
    </row>
    <row r="92" spans="10:11">
      <c r="J92" s="76" t="s">
        <v>323</v>
      </c>
      <c r="K92" s="76" t="s">
        <v>239</v>
      </c>
    </row>
    <row r="93" spans="10:11">
      <c r="J93" s="76" t="s">
        <v>325</v>
      </c>
      <c r="K93" s="76" t="s">
        <v>239</v>
      </c>
    </row>
    <row r="94" spans="10:11">
      <c r="J94" s="76" t="s">
        <v>327</v>
      </c>
      <c r="K94" s="76" t="s">
        <v>239</v>
      </c>
    </row>
    <row r="95" spans="10:11">
      <c r="J95" s="76" t="s">
        <v>329</v>
      </c>
      <c r="K95" s="76" t="s">
        <v>239</v>
      </c>
    </row>
    <row r="96" spans="10:11">
      <c r="J96" s="76" t="s">
        <v>330</v>
      </c>
      <c r="K96" s="76" t="s">
        <v>239</v>
      </c>
    </row>
    <row r="97" spans="10:11">
      <c r="J97" s="76" t="s">
        <v>331</v>
      </c>
      <c r="K97" s="76" t="s">
        <v>239</v>
      </c>
    </row>
    <row r="98" spans="10:11">
      <c r="J98" s="76" t="s">
        <v>332</v>
      </c>
      <c r="K98" s="76" t="s">
        <v>239</v>
      </c>
    </row>
    <row r="99" spans="10:11">
      <c r="J99" s="76" t="s">
        <v>333</v>
      </c>
      <c r="K99" s="76" t="s">
        <v>239</v>
      </c>
    </row>
    <row r="100" spans="10:11">
      <c r="J100" s="76" t="s">
        <v>334</v>
      </c>
      <c r="K100" s="76" t="s">
        <v>239</v>
      </c>
    </row>
    <row r="101" spans="10:11">
      <c r="J101" s="76" t="s">
        <v>335</v>
      </c>
      <c r="K101" s="76" t="s">
        <v>239</v>
      </c>
    </row>
    <row r="102" spans="10:11">
      <c r="J102" s="76" t="s">
        <v>336</v>
      </c>
      <c r="K102" s="76"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7"/>
  <sheetViews>
    <sheetView workbookViewId="0">
      <selection sqref="A1:B4"/>
    </sheetView>
  </sheetViews>
  <sheetFormatPr defaultColWidth="12.59765625" defaultRowHeight="15.75" customHeight="1"/>
  <cols>
    <col min="1" max="1" width="28.59765625" customWidth="1"/>
    <col min="2" max="2" width="19.86328125" customWidth="1"/>
  </cols>
  <sheetData>
    <row r="1" spans="1:4">
      <c r="A1" s="220" t="s">
        <v>337</v>
      </c>
      <c r="B1" s="129"/>
      <c r="C1" s="213" t="s">
        <v>338</v>
      </c>
      <c r="D1" s="221">
        <f>SUM(B6:B13)</f>
        <v>0</v>
      </c>
    </row>
    <row r="2" spans="1:4">
      <c r="A2" s="148"/>
      <c r="B2" s="154"/>
      <c r="C2" s="214"/>
      <c r="D2" s="217"/>
    </row>
    <row r="3" spans="1:4">
      <c r="A3" s="148"/>
      <c r="B3" s="154"/>
      <c r="C3" s="214"/>
      <c r="D3" s="217"/>
    </row>
    <row r="4" spans="1:4">
      <c r="A4" s="130"/>
      <c r="B4" s="132"/>
      <c r="C4" s="215"/>
      <c r="D4" s="218"/>
    </row>
    <row r="5" spans="1:4">
      <c r="A5" s="77"/>
      <c r="B5" s="77"/>
      <c r="C5" s="77"/>
      <c r="D5" s="78"/>
    </row>
    <row r="6" spans="1:4">
      <c r="A6" s="79" t="s">
        <v>339</v>
      </c>
      <c r="B6" s="80">
        <f>C56</f>
        <v>0</v>
      </c>
      <c r="C6" s="213" t="s">
        <v>340</v>
      </c>
      <c r="D6" s="221" t="str">
        <f>IF(B18="YES", "YES", "NO")</f>
        <v>NO</v>
      </c>
    </row>
    <row r="7" spans="1:4">
      <c r="A7" s="81" t="s">
        <v>341</v>
      </c>
      <c r="B7" s="82">
        <f>C65</f>
        <v>0</v>
      </c>
      <c r="C7" s="214"/>
      <c r="D7" s="217"/>
    </row>
    <row r="8" spans="1:4">
      <c r="A8" s="83" t="s">
        <v>342</v>
      </c>
      <c r="B8" s="60">
        <f>C16</f>
        <v>0</v>
      </c>
      <c r="C8" s="214"/>
      <c r="D8" s="217"/>
    </row>
    <row r="9" spans="1:4">
      <c r="A9" s="83" t="s">
        <v>343</v>
      </c>
      <c r="B9" s="60">
        <f>C25</f>
        <v>0</v>
      </c>
      <c r="C9" s="215"/>
      <c r="D9" s="218"/>
    </row>
    <row r="10" spans="1:4">
      <c r="A10" s="83" t="s">
        <v>344</v>
      </c>
      <c r="B10" s="60">
        <f>C32</f>
        <v>0</v>
      </c>
      <c r="C10" s="213" t="s">
        <v>345</v>
      </c>
      <c r="D10" s="216">
        <f>IF(D6="YES",(D1*1.5),D1)</f>
        <v>0</v>
      </c>
    </row>
    <row r="11" spans="1:4">
      <c r="A11" s="83" t="s">
        <v>346</v>
      </c>
      <c r="B11" s="60">
        <f>C42</f>
        <v>0</v>
      </c>
      <c r="C11" s="214"/>
      <c r="D11" s="217"/>
    </row>
    <row r="12" spans="1:4">
      <c r="A12" s="83" t="s">
        <v>347</v>
      </c>
      <c r="B12" s="60">
        <f>C47</f>
        <v>0</v>
      </c>
      <c r="C12" s="214"/>
      <c r="D12" s="217"/>
    </row>
    <row r="13" spans="1:4">
      <c r="A13" s="84" t="s">
        <v>348</v>
      </c>
      <c r="B13" s="85">
        <f>C53</f>
        <v>0</v>
      </c>
      <c r="C13" s="215"/>
      <c r="D13" s="218"/>
    </row>
    <row r="14" spans="1:4">
      <c r="A14" s="77"/>
      <c r="B14" s="77"/>
      <c r="C14" s="77"/>
      <c r="D14" s="78"/>
    </row>
    <row r="15" spans="1:4">
      <c r="A15" s="201" t="s">
        <v>349</v>
      </c>
      <c r="B15" s="202"/>
      <c r="C15" s="202"/>
      <c r="D15" s="203"/>
    </row>
    <row r="16" spans="1:4">
      <c r="A16" s="86" t="s">
        <v>42</v>
      </c>
      <c r="B16" s="87" t="str">
        <f>IF(Tracker!C12=TRUE, "60", "0")</f>
        <v>0</v>
      </c>
      <c r="C16" s="219">
        <f>B16+B17+IF(OR(B19="YES",B20="YES",B21="YES",B22="YES"),100)</f>
        <v>0</v>
      </c>
      <c r="D16" s="129"/>
    </row>
    <row r="17" spans="1:4">
      <c r="A17" s="86" t="s">
        <v>44</v>
      </c>
      <c r="B17" s="87" t="str">
        <f>IF(Tracker!C13=TRUE, "200", "0")</f>
        <v>0</v>
      </c>
      <c r="C17" s="148"/>
      <c r="D17" s="154"/>
    </row>
    <row r="18" spans="1:4">
      <c r="A18" s="88" t="s">
        <v>350</v>
      </c>
      <c r="B18" s="89" t="str">
        <f>IF(Tracker!C14=TRUE, "YES", "NO")</f>
        <v>NO</v>
      </c>
      <c r="C18" s="148"/>
      <c r="D18" s="154"/>
    </row>
    <row r="19" spans="1:4">
      <c r="A19" s="88" t="s">
        <v>351</v>
      </c>
      <c r="B19" s="89" t="str">
        <f>IF(Tracker!C15=TRUE, "YES", "NO")</f>
        <v>NO</v>
      </c>
      <c r="C19" s="148"/>
      <c r="D19" s="154"/>
    </row>
    <row r="20" spans="1:4">
      <c r="A20" s="88" t="s">
        <v>352</v>
      </c>
      <c r="B20" s="89" t="str">
        <f>IF(Tracker!C16=TRUE, "YES", "NO")</f>
        <v>NO</v>
      </c>
      <c r="C20" s="148"/>
      <c r="D20" s="154"/>
    </row>
    <row r="21" spans="1:4">
      <c r="A21" s="88" t="s">
        <v>353</v>
      </c>
      <c r="B21" s="89" t="str">
        <f>IF(Tracker!C17=TRUE, "YES", "NO")</f>
        <v>NO</v>
      </c>
      <c r="C21" s="148"/>
      <c r="D21" s="154"/>
    </row>
    <row r="22" spans="1:4">
      <c r="A22" s="88" t="s">
        <v>354</v>
      </c>
      <c r="B22" s="89" t="str">
        <f>IF(Tracker!C18=TRUE, "YES", "NO")</f>
        <v>NO</v>
      </c>
      <c r="C22" s="130"/>
      <c r="D22" s="132"/>
    </row>
    <row r="23" spans="1:4">
      <c r="A23" s="77"/>
      <c r="B23" s="77"/>
      <c r="C23" s="77"/>
      <c r="D23" s="78"/>
    </row>
    <row r="24" spans="1:4">
      <c r="A24" s="201" t="s">
        <v>63</v>
      </c>
      <c r="B24" s="202"/>
      <c r="C24" s="202"/>
      <c r="D24" s="203"/>
    </row>
    <row r="25" spans="1:4">
      <c r="A25" s="90" t="s">
        <v>355</v>
      </c>
      <c r="B25" s="91" t="str">
        <f>IF(Tracker!C21=TRUE, "40", "0")</f>
        <v>0</v>
      </c>
      <c r="C25" s="210">
        <f>B25+B26+B27+B28+B29</f>
        <v>0</v>
      </c>
      <c r="D25" s="129"/>
    </row>
    <row r="26" spans="1:4">
      <c r="A26" s="90" t="s">
        <v>356</v>
      </c>
      <c r="B26" s="91" t="str">
        <f>IF(Tracker!C22=TRUE, "40", "0")</f>
        <v>0</v>
      </c>
      <c r="C26" s="148"/>
      <c r="D26" s="154"/>
    </row>
    <row r="27" spans="1:4">
      <c r="A27" s="92" t="s">
        <v>357</v>
      </c>
      <c r="B27" s="91" t="str">
        <f>IF(Tracker!C23=TRUE, "40", "0")</f>
        <v>0</v>
      </c>
      <c r="C27" s="148"/>
      <c r="D27" s="154"/>
    </row>
    <row r="28" spans="1:4">
      <c r="A28" s="92" t="s">
        <v>358</v>
      </c>
      <c r="B28" s="91" t="str">
        <f>IF(Tracker!C24=TRUE, "40", "0")</f>
        <v>0</v>
      </c>
      <c r="C28" s="148"/>
      <c r="D28" s="154"/>
    </row>
    <row r="29" spans="1:4">
      <c r="A29" s="92" t="s">
        <v>359</v>
      </c>
      <c r="B29" s="91" t="str">
        <f>IF(Tracker!C25=TRUE, "40", "0")</f>
        <v>0</v>
      </c>
      <c r="C29" s="130"/>
      <c r="D29" s="132"/>
    </row>
    <row r="30" spans="1:4">
      <c r="A30" s="77"/>
      <c r="B30" s="77"/>
      <c r="C30" s="77"/>
      <c r="D30" s="78"/>
    </row>
    <row r="31" spans="1:4">
      <c r="A31" s="201" t="s">
        <v>360</v>
      </c>
      <c r="B31" s="202"/>
      <c r="C31" s="202"/>
      <c r="D31" s="203"/>
    </row>
    <row r="32" spans="1:4">
      <c r="A32" s="93" t="s">
        <v>23</v>
      </c>
      <c r="B32" s="94" t="str">
        <f>IF(Tracker!C7=TRUE, "60", "0")</f>
        <v>0</v>
      </c>
      <c r="C32" s="211">
        <f>B32+B33+B34+B35+B36+B37+B38+B39</f>
        <v>0</v>
      </c>
      <c r="D32" s="129"/>
    </row>
    <row r="33" spans="1:4">
      <c r="A33" s="95" t="s">
        <v>24</v>
      </c>
      <c r="B33" s="94" t="str">
        <f>IF(Tracker!D7=TRUE, "60", "0")</f>
        <v>0</v>
      </c>
      <c r="C33" s="148"/>
      <c r="D33" s="154"/>
    </row>
    <row r="34" spans="1:4">
      <c r="A34" s="95" t="s">
        <v>25</v>
      </c>
      <c r="B34" s="94" t="str">
        <f>IF(Tracker!E7=TRUE, "60", "0")</f>
        <v>0</v>
      </c>
      <c r="C34" s="148"/>
      <c r="D34" s="154"/>
    </row>
    <row r="35" spans="1:4">
      <c r="A35" s="95" t="s">
        <v>26</v>
      </c>
      <c r="B35" s="94" t="str">
        <f>IF(Tracker!F7=TRUE, "60", "0")</f>
        <v>0</v>
      </c>
      <c r="C35" s="148"/>
      <c r="D35" s="154"/>
    </row>
    <row r="36" spans="1:4">
      <c r="A36" s="95" t="s">
        <v>361</v>
      </c>
      <c r="B36" s="94" t="str">
        <f>IF(Tracker!G7=TRUE, "60", "0")</f>
        <v>0</v>
      </c>
      <c r="C36" s="148"/>
      <c r="D36" s="154"/>
    </row>
    <row r="37" spans="1:4">
      <c r="A37" s="95" t="s">
        <v>28</v>
      </c>
      <c r="B37" s="94" t="str">
        <f>IF(Tracker!H7=TRUE, "60", "0")</f>
        <v>0</v>
      </c>
      <c r="C37" s="148"/>
      <c r="D37" s="154"/>
    </row>
    <row r="38" spans="1:4">
      <c r="A38" s="96" t="s">
        <v>29</v>
      </c>
      <c r="B38" s="94" t="str">
        <f>IF(Tracker!I7=TRUE, "60", "0")</f>
        <v>0</v>
      </c>
      <c r="C38" s="148"/>
      <c r="D38" s="154"/>
    </row>
    <row r="39" spans="1:4">
      <c r="A39" s="97" t="s">
        <v>30</v>
      </c>
      <c r="B39" s="94" t="str">
        <f>IF(Tracker!J7=TRUE, "60", "0")</f>
        <v>0</v>
      </c>
      <c r="C39" s="130"/>
      <c r="D39" s="132"/>
    </row>
    <row r="40" spans="1:4">
      <c r="A40" s="77"/>
      <c r="B40" s="77"/>
      <c r="C40" s="77"/>
      <c r="D40" s="78"/>
    </row>
    <row r="41" spans="1:4">
      <c r="A41" s="201" t="s">
        <v>84</v>
      </c>
      <c r="B41" s="202"/>
      <c r="C41" s="202"/>
      <c r="D41" s="203"/>
    </row>
    <row r="42" spans="1:4">
      <c r="A42" s="98" t="s">
        <v>362</v>
      </c>
      <c r="B42" s="99" t="str">
        <f>IF(Tracker!C28=TRUE, "20", "0")</f>
        <v>0</v>
      </c>
      <c r="C42" s="206">
        <f>B42+B43+B44</f>
        <v>0</v>
      </c>
      <c r="D42" s="129"/>
    </row>
    <row r="43" spans="1:4">
      <c r="A43" s="98" t="s">
        <v>363</v>
      </c>
      <c r="B43" s="99" t="str">
        <f>IF(Tracker!C29=TRUE, "20", "0")</f>
        <v>0</v>
      </c>
      <c r="C43" s="148"/>
      <c r="D43" s="154"/>
    </row>
    <row r="44" spans="1:4">
      <c r="A44" s="100" t="s">
        <v>364</v>
      </c>
      <c r="B44" s="99" t="str">
        <f>IF(Tracker!C30=TRUE, "20", "0")</f>
        <v>0</v>
      </c>
      <c r="C44" s="130"/>
      <c r="D44" s="132"/>
    </row>
    <row r="45" spans="1:4">
      <c r="A45" s="77"/>
      <c r="B45" s="77"/>
      <c r="C45" s="77"/>
      <c r="D45" s="78"/>
    </row>
    <row r="46" spans="1:4">
      <c r="A46" s="201" t="s">
        <v>365</v>
      </c>
      <c r="B46" s="202"/>
      <c r="C46" s="202"/>
      <c r="D46" s="203"/>
    </row>
    <row r="47" spans="1:4">
      <c r="A47" s="101" t="s">
        <v>31</v>
      </c>
      <c r="B47" s="102" t="str">
        <f>IF(Tracker!K7=TRUE, "80", "0")</f>
        <v>0</v>
      </c>
      <c r="C47" s="207">
        <f>B47+B48+B49+B50</f>
        <v>0</v>
      </c>
      <c r="D47" s="129"/>
    </row>
    <row r="48" spans="1:4">
      <c r="A48" s="103" t="s">
        <v>32</v>
      </c>
      <c r="B48" s="104" t="str">
        <f>IF(Tracker!L7=TRUE, "80", "0")</f>
        <v>0</v>
      </c>
      <c r="C48" s="148"/>
      <c r="D48" s="154"/>
    </row>
    <row r="49" spans="1:4">
      <c r="A49" s="103" t="s">
        <v>33</v>
      </c>
      <c r="B49" s="104" t="str">
        <f>IF(Tracker!M7=TRUE, "80", "0")</f>
        <v>0</v>
      </c>
      <c r="C49" s="148"/>
      <c r="D49" s="154"/>
    </row>
    <row r="50" spans="1:4">
      <c r="A50" s="103" t="s">
        <v>34</v>
      </c>
      <c r="B50" s="104" t="str">
        <f>IF(Tracker!N7=TRUE, "80", "0")</f>
        <v>0</v>
      </c>
      <c r="C50" s="130"/>
      <c r="D50" s="132"/>
    </row>
    <row r="51" spans="1:4">
      <c r="A51" s="77"/>
      <c r="B51" s="77"/>
      <c r="C51" s="77"/>
      <c r="D51" s="78"/>
    </row>
    <row r="52" spans="1:4">
      <c r="A52" s="201" t="s">
        <v>366</v>
      </c>
      <c r="B52" s="202"/>
      <c r="C52" s="202"/>
      <c r="D52" s="203"/>
    </row>
    <row r="53" spans="1:4">
      <c r="A53" s="105" t="s">
        <v>35</v>
      </c>
      <c r="B53" s="106">
        <f>IF(Tracker!O7=TRUE,100,0)</f>
        <v>0</v>
      </c>
      <c r="C53" s="208">
        <f>B53</f>
        <v>0</v>
      </c>
      <c r="D53" s="203"/>
    </row>
    <row r="54" spans="1:4">
      <c r="A54" s="77"/>
      <c r="B54" s="77"/>
      <c r="C54" s="77"/>
      <c r="D54" s="78"/>
    </row>
    <row r="55" spans="1:4">
      <c r="A55" s="201" t="s">
        <v>367</v>
      </c>
      <c r="B55" s="202"/>
      <c r="C55" s="202"/>
      <c r="D55" s="203"/>
    </row>
    <row r="56" spans="1:4">
      <c r="A56" s="209" t="s">
        <v>368</v>
      </c>
      <c r="B56" s="139"/>
      <c r="C56" s="212">
        <f>(B57*-5)+(B58*-10)+(B59*-15)+(B60*-5)+(B61*-10)+(B62*-15)</f>
        <v>0</v>
      </c>
      <c r="D56" s="129"/>
    </row>
    <row r="57" spans="1:4">
      <c r="A57" s="107" t="s">
        <v>369</v>
      </c>
      <c r="B57" s="108">
        <f>'Team &amp; Encounters'!C21</f>
        <v>0</v>
      </c>
      <c r="C57" s="148"/>
      <c r="D57" s="154"/>
    </row>
    <row r="58" spans="1:4">
      <c r="A58" s="107" t="s">
        <v>370</v>
      </c>
      <c r="B58" s="108">
        <f>'Team &amp; Encounters'!C22</f>
        <v>0</v>
      </c>
      <c r="C58" s="148"/>
      <c r="D58" s="154"/>
    </row>
    <row r="59" spans="1:4">
      <c r="A59" s="107" t="s">
        <v>371</v>
      </c>
      <c r="B59" s="108">
        <f>'Team &amp; Encounters'!C23</f>
        <v>0</v>
      </c>
      <c r="C59" s="148"/>
      <c r="D59" s="154"/>
    </row>
    <row r="60" spans="1:4">
      <c r="A60" s="107" t="s">
        <v>372</v>
      </c>
      <c r="B60" s="108">
        <f>'Team &amp; Encounters'!E21</f>
        <v>0</v>
      </c>
      <c r="C60" s="148"/>
      <c r="D60" s="154"/>
    </row>
    <row r="61" spans="1:4">
      <c r="A61" s="107" t="s">
        <v>373</v>
      </c>
      <c r="B61" s="108">
        <f>'Team &amp; Encounters'!E22</f>
        <v>0</v>
      </c>
      <c r="C61" s="148"/>
      <c r="D61" s="154"/>
    </row>
    <row r="62" spans="1:4">
      <c r="A62" s="107" t="s">
        <v>374</v>
      </c>
      <c r="B62" s="108">
        <f>'Team &amp; Encounters'!E23</f>
        <v>0</v>
      </c>
      <c r="C62" s="130"/>
      <c r="D62" s="132"/>
    </row>
    <row r="63" spans="1:4">
      <c r="A63" s="77"/>
      <c r="B63" s="77"/>
      <c r="C63" s="77"/>
      <c r="D63" s="78"/>
    </row>
    <row r="64" spans="1:4">
      <c r="A64" s="201" t="s">
        <v>375</v>
      </c>
      <c r="B64" s="202"/>
      <c r="C64" s="202"/>
      <c r="D64" s="203"/>
    </row>
    <row r="65" spans="1:4">
      <c r="A65" s="204" t="s">
        <v>376</v>
      </c>
      <c r="B65" s="139"/>
      <c r="C65" s="205">
        <f>(B66*10)+(B67*5)</f>
        <v>0</v>
      </c>
      <c r="D65" s="129"/>
    </row>
    <row r="66" spans="1:4">
      <c r="A66" s="109" t="s">
        <v>377</v>
      </c>
      <c r="B66" s="110">
        <f>COUNTIF(Tracker!J13:J70, "F")</f>
        <v>0</v>
      </c>
      <c r="C66" s="148"/>
      <c r="D66" s="154"/>
    </row>
    <row r="67" spans="1:4">
      <c r="A67" s="109" t="s">
        <v>378</v>
      </c>
      <c r="B67" s="110">
        <f>COUNTIF(Tracker!J13:J70, "P")</f>
        <v>0</v>
      </c>
      <c r="C67" s="130"/>
      <c r="D67" s="132"/>
    </row>
  </sheetData>
  <mergeCells count="25">
    <mergeCell ref="A1:B4"/>
    <mergeCell ref="C1:C4"/>
    <mergeCell ref="D1:D4"/>
    <mergeCell ref="C6:C9"/>
    <mergeCell ref="D6:D9"/>
    <mergeCell ref="C10:C13"/>
    <mergeCell ref="A15:D15"/>
    <mergeCell ref="D10:D13"/>
    <mergeCell ref="C16:D22"/>
    <mergeCell ref="A24:D24"/>
    <mergeCell ref="C25:D29"/>
    <mergeCell ref="A31:D31"/>
    <mergeCell ref="C32:D39"/>
    <mergeCell ref="A41:D41"/>
    <mergeCell ref="C56:D62"/>
    <mergeCell ref="A64:D64"/>
    <mergeCell ref="A65:B65"/>
    <mergeCell ref="C65:D67"/>
    <mergeCell ref="C42:D44"/>
    <mergeCell ref="A46:D46"/>
    <mergeCell ref="C47:D50"/>
    <mergeCell ref="A52:D52"/>
    <mergeCell ref="C53:D53"/>
    <mergeCell ref="A55:D55"/>
    <mergeCell ref="A56:B5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68"/>
  <sheetViews>
    <sheetView workbookViewId="0">
      <selection sqref="A1:V1"/>
    </sheetView>
  </sheetViews>
  <sheetFormatPr defaultColWidth="12.59765625" defaultRowHeight="15.75" customHeight="1"/>
  <cols>
    <col min="1" max="1" width="10.1328125" customWidth="1"/>
    <col min="2" max="2" width="12.59765625" hidden="1"/>
    <col min="5" max="5" width="10.59765625" customWidth="1"/>
    <col min="6" max="6" width="12.59765625" hidden="1"/>
    <col min="7" max="7" width="6.265625" customWidth="1"/>
    <col min="8" max="8" width="10.59765625" customWidth="1"/>
    <col min="9" max="9" width="12.59765625" hidden="1"/>
    <col min="10" max="10" width="6.265625" customWidth="1"/>
    <col min="11" max="11" width="10.59765625" customWidth="1"/>
    <col min="12" max="12" width="12.59765625" hidden="1"/>
    <col min="13" max="13" width="6.265625" customWidth="1"/>
    <col min="14" max="14" width="10.59765625" customWidth="1"/>
    <col min="15" max="15" width="12.59765625" hidden="1"/>
    <col min="16" max="16" width="6.265625" customWidth="1"/>
    <col min="17" max="17" width="10.59765625" customWidth="1"/>
    <col min="18" max="18" width="12.59765625" hidden="1"/>
    <col min="19" max="19" width="6.265625" customWidth="1"/>
    <col min="20" max="20" width="10.59765625" customWidth="1"/>
    <col min="21" max="21" width="12.59765625" hidden="1"/>
    <col min="22" max="22" width="6.265625" customWidth="1"/>
  </cols>
  <sheetData>
    <row r="1" spans="1:22" ht="13.15">
      <c r="A1" s="232" t="s">
        <v>379</v>
      </c>
      <c r="B1" s="156"/>
      <c r="C1" s="156"/>
      <c r="D1" s="156"/>
      <c r="E1" s="156"/>
      <c r="F1" s="156"/>
      <c r="G1" s="156"/>
      <c r="H1" s="156"/>
      <c r="I1" s="156"/>
      <c r="J1" s="156"/>
      <c r="K1" s="156"/>
      <c r="L1" s="156"/>
      <c r="M1" s="156"/>
      <c r="N1" s="156"/>
      <c r="O1" s="156"/>
      <c r="P1" s="156"/>
      <c r="Q1" s="156"/>
      <c r="R1" s="156"/>
      <c r="S1" s="156"/>
      <c r="T1" s="156"/>
      <c r="U1" s="156"/>
      <c r="V1" s="134"/>
    </row>
    <row r="2" spans="1:22" ht="75" customHeight="1">
      <c r="A2" s="111" t="e">
        <f t="shared" ref="A2:A5" ca="1" si="0">_xludf.image("http://play.pokemonshowdown.com/sprites/trainers/"&amp;LOWER(B2)&amp;".png", 3)</f>
        <v>#NAME?</v>
      </c>
      <c r="B2" s="42" t="s">
        <v>380</v>
      </c>
      <c r="C2" s="42" t="s">
        <v>45</v>
      </c>
      <c r="D2" s="112" t="s">
        <v>46</v>
      </c>
      <c r="E2" s="113" t="e">
        <f t="shared" ref="E2:E5" ca="1" si="1">_xludf.image("http://play.pokemonshowdown.com/sprites/gen5/"&amp;LOWER(F2)&amp;".png", 3)</f>
        <v>#NAME?</v>
      </c>
      <c r="F2" s="64" t="s">
        <v>272</v>
      </c>
      <c r="G2" s="114">
        <v>5</v>
      </c>
      <c r="H2" s="113" t="e">
        <f t="shared" ref="H2:H5" ca="1" si="2">_xludf.image("http://play.pokemonshowdown.com/sprites/gen5/"&amp;LOWER(I2)&amp;".png", 3)</f>
        <v>#NAME?</v>
      </c>
      <c r="I2" s="64"/>
      <c r="J2" s="64"/>
      <c r="K2" s="64" t="e">
        <f t="shared" ref="K2:K4" ca="1" si="3">_xludf.image("http://play.pokemonshowdown.com/sprites/gen5/"&amp;LOWER(L2)&amp;".png", 3)</f>
        <v>#NAME?</v>
      </c>
      <c r="L2" s="64"/>
      <c r="M2" s="64"/>
      <c r="N2" s="113"/>
      <c r="O2" s="113"/>
      <c r="P2" s="113"/>
      <c r="Q2" s="113"/>
      <c r="R2" s="113"/>
      <c r="S2" s="113"/>
      <c r="T2" s="113"/>
      <c r="U2" s="113"/>
      <c r="V2" s="113"/>
    </row>
    <row r="3" spans="1:22" ht="75" customHeight="1">
      <c r="A3" s="111" t="e">
        <f t="shared" ca="1" si="0"/>
        <v>#NAME?</v>
      </c>
      <c r="B3" s="42" t="s">
        <v>380</v>
      </c>
      <c r="C3" s="42" t="s">
        <v>48</v>
      </c>
      <c r="D3" s="112" t="s">
        <v>49</v>
      </c>
      <c r="E3" s="113" t="e">
        <f t="shared" ca="1" si="1"/>
        <v>#NAME?</v>
      </c>
      <c r="F3" s="64" t="s">
        <v>267</v>
      </c>
      <c r="G3" s="114">
        <v>8</v>
      </c>
      <c r="H3" s="113" t="e">
        <f t="shared" ca="1" si="2"/>
        <v>#NAME?</v>
      </c>
      <c r="I3" s="64"/>
      <c r="J3" s="64"/>
      <c r="K3" s="113" t="e">
        <f t="shared" ca="1" si="3"/>
        <v>#NAME?</v>
      </c>
      <c r="L3" s="64"/>
      <c r="M3" s="64"/>
      <c r="N3" s="113"/>
      <c r="O3" s="113"/>
      <c r="P3" s="113"/>
      <c r="Q3" s="113"/>
      <c r="R3" s="113"/>
      <c r="S3" s="113"/>
      <c r="T3" s="113"/>
      <c r="U3" s="113"/>
      <c r="V3" s="113"/>
    </row>
    <row r="4" spans="1:22" ht="75" customHeight="1">
      <c r="A4" s="111" t="e">
        <f t="shared" ca="1" si="0"/>
        <v>#NAME?</v>
      </c>
      <c r="B4" s="42" t="s">
        <v>381</v>
      </c>
      <c r="C4" s="42" t="s">
        <v>51</v>
      </c>
      <c r="D4" s="112" t="s">
        <v>52</v>
      </c>
      <c r="E4" s="113" t="e">
        <f t="shared" ca="1" si="1"/>
        <v>#NAME?</v>
      </c>
      <c r="F4" s="64" t="s">
        <v>382</v>
      </c>
      <c r="G4" s="114">
        <v>7</v>
      </c>
      <c r="H4" s="113" t="e">
        <f t="shared" ca="1" si="2"/>
        <v>#NAME?</v>
      </c>
      <c r="I4" s="64" t="s">
        <v>383</v>
      </c>
      <c r="J4" s="114">
        <v>7</v>
      </c>
      <c r="K4" s="113" t="e">
        <f t="shared" ca="1" si="3"/>
        <v>#NAME?</v>
      </c>
      <c r="L4" s="64"/>
      <c r="M4" s="64"/>
      <c r="N4" s="113"/>
      <c r="O4" s="113"/>
      <c r="P4" s="113"/>
      <c r="Q4" s="113"/>
      <c r="R4" s="113"/>
      <c r="S4" s="113"/>
      <c r="T4" s="113"/>
      <c r="U4" s="113"/>
      <c r="V4" s="113"/>
    </row>
    <row r="5" spans="1:22" ht="75" customHeight="1">
      <c r="A5" s="111" t="e">
        <f t="shared" ca="1" si="0"/>
        <v>#NAME?</v>
      </c>
      <c r="B5" s="42" t="s">
        <v>384</v>
      </c>
      <c r="C5" s="42" t="s">
        <v>54</v>
      </c>
      <c r="D5" s="112" t="s">
        <v>55</v>
      </c>
      <c r="E5" s="113" t="e">
        <f t="shared" ca="1" si="1"/>
        <v>#NAME?</v>
      </c>
      <c r="F5" s="64" t="s">
        <v>385</v>
      </c>
      <c r="G5" s="114">
        <v>6</v>
      </c>
      <c r="H5" s="113" t="e">
        <f t="shared" ca="1" si="2"/>
        <v>#NAME?</v>
      </c>
      <c r="I5" s="64" t="s">
        <v>267</v>
      </c>
      <c r="J5" s="114">
        <v>8</v>
      </c>
      <c r="K5" s="113"/>
      <c r="L5" s="64"/>
      <c r="M5" s="64"/>
      <c r="N5" s="113"/>
      <c r="O5" s="113"/>
      <c r="P5" s="113"/>
      <c r="Q5" s="113"/>
      <c r="R5" s="113"/>
      <c r="S5" s="113"/>
      <c r="T5" s="113"/>
      <c r="U5" s="113"/>
      <c r="V5" s="113"/>
    </row>
    <row r="6" spans="1:22" ht="72.75" customHeight="1">
      <c r="A6" s="223" t="s">
        <v>386</v>
      </c>
      <c r="B6" s="156"/>
      <c r="C6" s="156"/>
      <c r="D6" s="134"/>
      <c r="E6" s="224"/>
      <c r="F6" s="156"/>
      <c r="G6" s="156"/>
      <c r="H6" s="156"/>
      <c r="I6" s="156"/>
      <c r="J6" s="156"/>
      <c r="K6" s="156"/>
      <c r="L6" s="156"/>
      <c r="M6" s="156"/>
      <c r="N6" s="156"/>
      <c r="O6" s="156"/>
      <c r="P6" s="156"/>
      <c r="Q6" s="156"/>
      <c r="R6" s="156"/>
      <c r="S6" s="156"/>
      <c r="T6" s="156"/>
      <c r="U6" s="156"/>
      <c r="V6" s="134"/>
    </row>
    <row r="7" spans="1:22" ht="13.15">
      <c r="A7" s="233" t="s">
        <v>387</v>
      </c>
      <c r="B7" s="156"/>
      <c r="C7" s="156"/>
      <c r="D7" s="156"/>
      <c r="E7" s="156"/>
      <c r="F7" s="156"/>
      <c r="G7" s="156"/>
      <c r="H7" s="156"/>
      <c r="I7" s="156"/>
      <c r="J7" s="156"/>
      <c r="K7" s="156"/>
      <c r="L7" s="156"/>
      <c r="M7" s="156"/>
      <c r="N7" s="156"/>
      <c r="O7" s="156"/>
      <c r="P7" s="156"/>
      <c r="Q7" s="156"/>
      <c r="R7" s="156"/>
      <c r="S7" s="156"/>
      <c r="T7" s="156"/>
      <c r="U7" s="156"/>
      <c r="V7" s="134"/>
    </row>
    <row r="8" spans="1:22" ht="75" customHeight="1">
      <c r="A8" s="111" t="e">
        <f t="shared" ref="A8:A11" ca="1" si="4">_xludf.image("http://play.pokemonshowdown.com/sprites/trainers/"&amp;LOWER(B8)&amp;".png", 3)</f>
        <v>#NAME?</v>
      </c>
      <c r="B8" s="115" t="s">
        <v>388</v>
      </c>
      <c r="C8" s="115" t="s">
        <v>59</v>
      </c>
      <c r="D8" s="116" t="s">
        <v>389</v>
      </c>
      <c r="E8" s="113" t="e">
        <f t="shared" ref="E8:E11" ca="1" si="5">_xludf.image("http://play.pokemonshowdown.com/sprites/gen5/"&amp;LOWER(F8)&amp;".png", 3)</f>
        <v>#NAME?</v>
      </c>
      <c r="F8" s="64" t="s">
        <v>390</v>
      </c>
      <c r="G8" s="114">
        <v>11</v>
      </c>
      <c r="H8" s="113" t="e">
        <f t="shared" ref="H8:H10" ca="1" si="6">_xludf.image("http://play.pokemonshowdown.com/sprites/gen5/"&amp;LOWER(I8)&amp;".png", 3)</f>
        <v>#NAME?</v>
      </c>
      <c r="I8" s="64" t="s">
        <v>390</v>
      </c>
      <c r="J8" s="114">
        <v>11</v>
      </c>
      <c r="K8" s="64"/>
      <c r="L8" s="64"/>
      <c r="M8" s="64"/>
      <c r="N8" s="113"/>
      <c r="O8" s="113"/>
      <c r="P8" s="113"/>
      <c r="Q8" s="113"/>
      <c r="R8" s="113"/>
      <c r="S8" s="113"/>
      <c r="T8" s="113"/>
      <c r="U8" s="113"/>
      <c r="V8" s="113"/>
    </row>
    <row r="9" spans="1:22" ht="75" customHeight="1">
      <c r="A9" s="111" t="e">
        <f t="shared" ca="1" si="4"/>
        <v>#NAME?</v>
      </c>
      <c r="B9" s="42" t="s">
        <v>391</v>
      </c>
      <c r="C9" s="42" t="s">
        <v>61</v>
      </c>
      <c r="D9" s="112" t="s">
        <v>62</v>
      </c>
      <c r="E9" s="113" t="e">
        <f t="shared" ca="1" si="5"/>
        <v>#NAME?</v>
      </c>
      <c r="F9" s="64" t="s">
        <v>392</v>
      </c>
      <c r="G9" s="114">
        <v>15</v>
      </c>
      <c r="H9" s="113" t="e">
        <f t="shared" ca="1" si="6"/>
        <v>#NAME?</v>
      </c>
      <c r="I9" s="64" t="s">
        <v>393</v>
      </c>
      <c r="J9" s="114">
        <v>17</v>
      </c>
      <c r="K9" s="113" t="e">
        <f t="shared" ref="K9:K10" ca="1" si="7">_xludf.image("http://play.pokemonshowdown.com/sprites/gen5/"&amp;LOWER(L9)&amp;".png", 3)</f>
        <v>#NAME?</v>
      </c>
      <c r="L9" s="64"/>
      <c r="M9" s="64"/>
      <c r="N9" s="113"/>
      <c r="O9" s="113"/>
      <c r="P9" s="113"/>
      <c r="Q9" s="113"/>
      <c r="R9" s="113"/>
      <c r="S9" s="113"/>
      <c r="T9" s="113"/>
      <c r="U9" s="113"/>
      <c r="V9" s="113"/>
    </row>
    <row r="10" spans="1:22" ht="75" customHeight="1">
      <c r="A10" s="111" t="e">
        <f t="shared" ca="1" si="4"/>
        <v>#NAME?</v>
      </c>
      <c r="B10" s="115" t="s">
        <v>394</v>
      </c>
      <c r="C10" s="115" t="s">
        <v>64</v>
      </c>
      <c r="D10" s="116" t="s">
        <v>65</v>
      </c>
      <c r="E10" s="113" t="e">
        <f t="shared" ca="1" si="5"/>
        <v>#NAME?</v>
      </c>
      <c r="F10" s="64" t="s">
        <v>249</v>
      </c>
      <c r="G10" s="114">
        <v>8</v>
      </c>
      <c r="H10" s="113" t="e">
        <f t="shared" ca="1" si="6"/>
        <v>#NAME?</v>
      </c>
      <c r="I10" s="64" t="s">
        <v>249</v>
      </c>
      <c r="J10" s="114">
        <v>10</v>
      </c>
      <c r="K10" s="113" t="e">
        <f t="shared" ca="1" si="7"/>
        <v>#NAME?</v>
      </c>
      <c r="L10" s="64" t="s">
        <v>249</v>
      </c>
      <c r="M10" s="114">
        <v>12</v>
      </c>
      <c r="N10" s="113" t="e">
        <f ca="1">_xludf.image("http://play.pokemonshowdown.com/sprites/gen5/"&amp;LOWER(O10)&amp;".png", 3)</f>
        <v>#NAME?</v>
      </c>
      <c r="O10" s="64" t="s">
        <v>249</v>
      </c>
      <c r="P10" s="114">
        <v>12</v>
      </c>
      <c r="Q10" s="113" t="e">
        <f ca="1">_xludf.image("http://play.pokemonshowdown.com/sprites/gen5/"&amp;LOWER(R10)&amp;".png", 3)</f>
        <v>#NAME?</v>
      </c>
      <c r="R10" s="64" t="s">
        <v>249</v>
      </c>
      <c r="S10" s="114">
        <v>14</v>
      </c>
      <c r="T10" s="113" t="e">
        <f ca="1">_xludf.image("http://play.pokemonshowdown.com/sprites/gen5/"&amp;LOWER(U10)&amp;".png", 3)</f>
        <v>#NAME?</v>
      </c>
      <c r="U10" s="64" t="s">
        <v>249</v>
      </c>
      <c r="V10" s="114">
        <v>16</v>
      </c>
    </row>
    <row r="11" spans="1:22" ht="75" customHeight="1">
      <c r="A11" s="111" t="e">
        <f t="shared" ca="1" si="4"/>
        <v>#NAME?</v>
      </c>
      <c r="B11" s="115" t="s">
        <v>395</v>
      </c>
      <c r="C11" s="115" t="s">
        <v>67</v>
      </c>
      <c r="D11" s="116" t="s">
        <v>68</v>
      </c>
      <c r="E11" s="113" t="e">
        <f t="shared" ca="1" si="5"/>
        <v>#NAME?</v>
      </c>
      <c r="F11" s="64" t="s">
        <v>396</v>
      </c>
      <c r="G11" s="114">
        <v>19</v>
      </c>
      <c r="H11" s="113"/>
      <c r="I11" s="64"/>
      <c r="J11" s="64"/>
      <c r="K11" s="113"/>
      <c r="L11" s="64"/>
      <c r="M11" s="64"/>
      <c r="N11" s="113"/>
      <c r="O11" s="113"/>
      <c r="P11" s="113"/>
      <c r="Q11" s="113"/>
      <c r="R11" s="113"/>
      <c r="S11" s="113"/>
      <c r="T11" s="113"/>
      <c r="U11" s="113"/>
      <c r="V11" s="113"/>
    </row>
    <row r="12" spans="1:22" ht="75" customHeight="1">
      <c r="A12" s="223" t="s">
        <v>397</v>
      </c>
      <c r="B12" s="156"/>
      <c r="C12" s="156"/>
      <c r="D12" s="134"/>
      <c r="E12" s="224"/>
      <c r="F12" s="156"/>
      <c r="G12" s="156"/>
      <c r="H12" s="156"/>
      <c r="I12" s="156"/>
      <c r="J12" s="156"/>
      <c r="K12" s="156"/>
      <c r="L12" s="156"/>
      <c r="M12" s="156"/>
      <c r="N12" s="156"/>
      <c r="O12" s="156"/>
      <c r="P12" s="156"/>
      <c r="Q12" s="156"/>
      <c r="R12" s="156"/>
      <c r="S12" s="156"/>
      <c r="T12" s="156"/>
      <c r="U12" s="156"/>
      <c r="V12" s="134"/>
    </row>
    <row r="13" spans="1:22" ht="12.75">
      <c r="A13" s="230" t="s">
        <v>398</v>
      </c>
      <c r="B13" s="156"/>
      <c r="C13" s="156"/>
      <c r="D13" s="156"/>
      <c r="E13" s="156"/>
      <c r="F13" s="156"/>
      <c r="G13" s="156"/>
      <c r="H13" s="156"/>
      <c r="I13" s="156"/>
      <c r="J13" s="156"/>
      <c r="K13" s="156"/>
      <c r="L13" s="156"/>
      <c r="M13" s="156"/>
      <c r="N13" s="156"/>
      <c r="O13" s="156"/>
      <c r="P13" s="156"/>
      <c r="Q13" s="156"/>
      <c r="R13" s="156"/>
      <c r="S13" s="156"/>
      <c r="T13" s="156"/>
      <c r="U13" s="156"/>
      <c r="V13" s="134"/>
    </row>
    <row r="14" spans="1:22" ht="75" customHeight="1">
      <c r="A14" s="117" t="e">
        <f t="shared" ref="A14:A16" ca="1" si="8">_xludf.image("http://play.pokemonshowdown.com/sprites/trainers/"&amp;LOWER(B14)&amp;".png", 3)</f>
        <v>#NAME?</v>
      </c>
      <c r="B14" s="42" t="s">
        <v>399</v>
      </c>
      <c r="C14" s="42" t="s">
        <v>73</v>
      </c>
      <c r="D14" s="118" t="s">
        <v>74</v>
      </c>
      <c r="E14" s="64" t="e">
        <f t="shared" ref="E14:E16" ca="1" si="9">_xludf.image("http://play.pokemonshowdown.com/sprites/gen5/"&amp;LOWER(F14)&amp;".png", 3)</f>
        <v>#NAME?</v>
      </c>
      <c r="F14" s="64" t="s">
        <v>392</v>
      </c>
      <c r="G14" s="114">
        <v>21</v>
      </c>
      <c r="H14" s="64" t="e">
        <f t="shared" ref="H14:H16" ca="1" si="10">_xludf.image("http://play.pokemonshowdown.com/sprites/gen5/"&amp;LOWER(I14)&amp;".png", 3)</f>
        <v>#NAME?</v>
      </c>
      <c r="I14" s="64" t="s">
        <v>400</v>
      </c>
      <c r="J14" s="114">
        <v>23</v>
      </c>
      <c r="K14" s="64" t="e">
        <f t="shared" ref="K14:K16" ca="1" si="11">_xludf.image("http://play.pokemonshowdown.com/sprites/gen5/"&amp;LOWER(L14)&amp;".png", 3)</f>
        <v>#NAME?</v>
      </c>
      <c r="L14" s="64"/>
      <c r="M14" s="64"/>
      <c r="N14" s="64"/>
      <c r="O14" s="64"/>
      <c r="P14" s="64"/>
      <c r="Q14" s="64"/>
      <c r="R14" s="64"/>
      <c r="S14" s="64"/>
      <c r="T14" s="64"/>
      <c r="U14" s="64"/>
      <c r="V14" s="64"/>
    </row>
    <row r="15" spans="1:22" ht="75" customHeight="1">
      <c r="A15" s="117" t="e">
        <f t="shared" ca="1" si="8"/>
        <v>#NAME?</v>
      </c>
      <c r="B15" s="42" t="s">
        <v>401</v>
      </c>
      <c r="C15" s="42" t="s">
        <v>76</v>
      </c>
      <c r="D15" s="118" t="s">
        <v>77</v>
      </c>
      <c r="E15" s="64" t="e">
        <f t="shared" ca="1" si="9"/>
        <v>#NAME?</v>
      </c>
      <c r="F15" s="64" t="s">
        <v>402</v>
      </c>
      <c r="G15" s="114">
        <v>21</v>
      </c>
      <c r="H15" s="64" t="e">
        <f t="shared" ca="1" si="10"/>
        <v>#NAME?</v>
      </c>
      <c r="I15" s="64"/>
      <c r="J15" s="64"/>
      <c r="K15" s="64" t="e">
        <f t="shared" ca="1" si="11"/>
        <v>#NAME?</v>
      </c>
      <c r="L15" s="64"/>
      <c r="M15" s="64"/>
      <c r="N15" s="64"/>
      <c r="O15" s="64"/>
      <c r="P15" s="64"/>
      <c r="Q15" s="64"/>
      <c r="R15" s="64"/>
      <c r="S15" s="64"/>
      <c r="T15" s="64"/>
      <c r="U15" s="64"/>
      <c r="V15" s="64"/>
    </row>
    <row r="16" spans="1:22" ht="75" customHeight="1">
      <c r="A16" s="117" t="e">
        <f t="shared" ca="1" si="8"/>
        <v>#NAME?</v>
      </c>
      <c r="B16" s="42" t="s">
        <v>380</v>
      </c>
      <c r="C16" s="42" t="s">
        <v>81</v>
      </c>
      <c r="D16" s="116" t="s">
        <v>82</v>
      </c>
      <c r="E16" s="64" t="e">
        <f t="shared" ca="1" si="9"/>
        <v>#NAME?</v>
      </c>
      <c r="F16" s="64" t="s">
        <v>403</v>
      </c>
      <c r="G16" s="114">
        <v>18</v>
      </c>
      <c r="H16" s="64" t="e">
        <f t="shared" ca="1" si="10"/>
        <v>#NAME?</v>
      </c>
      <c r="I16" s="64" t="s">
        <v>278</v>
      </c>
      <c r="J16" s="114">
        <v>18</v>
      </c>
      <c r="K16" s="64" t="e">
        <f t="shared" ca="1" si="11"/>
        <v>#NAME?</v>
      </c>
      <c r="L16" s="64" t="s">
        <v>404</v>
      </c>
      <c r="M16" s="114">
        <v>21</v>
      </c>
      <c r="N16" s="64"/>
      <c r="O16" s="64"/>
      <c r="P16" s="64"/>
      <c r="Q16" s="64"/>
      <c r="R16" s="64"/>
      <c r="S16" s="64"/>
      <c r="T16" s="64"/>
      <c r="U16" s="64"/>
      <c r="V16" s="64"/>
    </row>
    <row r="17" spans="1:22" ht="75" customHeight="1">
      <c r="A17" s="223" t="s">
        <v>405</v>
      </c>
      <c r="B17" s="156"/>
      <c r="C17" s="156"/>
      <c r="D17" s="134"/>
      <c r="E17" s="224"/>
      <c r="F17" s="156"/>
      <c r="G17" s="156"/>
      <c r="H17" s="156"/>
      <c r="I17" s="156"/>
      <c r="J17" s="156"/>
      <c r="K17" s="156"/>
      <c r="L17" s="156"/>
      <c r="M17" s="156"/>
      <c r="N17" s="156"/>
      <c r="O17" s="156"/>
      <c r="P17" s="156"/>
      <c r="Q17" s="156"/>
      <c r="R17" s="156"/>
      <c r="S17" s="156"/>
      <c r="T17" s="156"/>
      <c r="U17" s="156"/>
      <c r="V17" s="134"/>
    </row>
    <row r="18" spans="1:22" ht="12.75">
      <c r="A18" s="231" t="s">
        <v>406</v>
      </c>
      <c r="B18" s="122"/>
      <c r="C18" s="122"/>
      <c r="D18" s="122"/>
      <c r="E18" s="122"/>
      <c r="F18" s="122"/>
      <c r="G18" s="122"/>
      <c r="H18" s="122"/>
      <c r="I18" s="122"/>
      <c r="J18" s="122"/>
      <c r="K18" s="122"/>
      <c r="L18" s="122"/>
      <c r="M18" s="122"/>
      <c r="N18" s="122"/>
      <c r="O18" s="122"/>
      <c r="P18" s="122"/>
      <c r="Q18" s="122"/>
      <c r="R18" s="122"/>
      <c r="S18" s="122"/>
      <c r="T18" s="122"/>
      <c r="U18" s="122"/>
      <c r="V18" s="122"/>
    </row>
    <row r="19" spans="1:22" ht="75" customHeight="1">
      <c r="A19" s="117" t="e">
        <f t="shared" ref="A19:A23" ca="1" si="12">_xludf.image("http://play.pokemonshowdown.com/sprites/trainers/"&amp;LOWER(B19)&amp;".png", 3)</f>
        <v>#NAME?</v>
      </c>
      <c r="B19" s="42" t="s">
        <v>407</v>
      </c>
      <c r="C19" s="42" t="s">
        <v>87</v>
      </c>
      <c r="D19" s="116" t="s">
        <v>88</v>
      </c>
      <c r="E19" s="64" t="e">
        <f t="shared" ref="E19:E23" ca="1" si="13">_xludf.image("http://play.pokemonshowdown.com/sprites/gen5/"&amp;LOWER(F19)&amp;".png", 3)</f>
        <v>#NAME?</v>
      </c>
      <c r="F19" s="64" t="s">
        <v>408</v>
      </c>
      <c r="G19" s="114">
        <v>20</v>
      </c>
      <c r="H19" s="64" t="e">
        <f t="shared" ref="H19:H23" ca="1" si="14">_xludf.image("http://play.pokemonshowdown.com/sprites/gen5/"&amp;LOWER(I19)&amp;".png", 3)</f>
        <v>#NAME?</v>
      </c>
      <c r="I19" s="64" t="s">
        <v>322</v>
      </c>
      <c r="J19" s="114">
        <v>20</v>
      </c>
      <c r="K19" s="64" t="e">
        <f t="shared" ref="K19:K23" ca="1" si="15">_xludf.image("http://play.pokemonshowdown.com/sprites/gen5/"&amp;LOWER(L19)&amp;".png", 3)</f>
        <v>#NAME?</v>
      </c>
      <c r="L19" s="64" t="s">
        <v>409</v>
      </c>
      <c r="M19" s="114">
        <v>20</v>
      </c>
      <c r="N19" s="64" t="e">
        <f t="shared" ref="N19:N20" ca="1" si="16">_xludf.image("http://play.pokemonshowdown.com/sprites/gen5/"&amp;LOWER(O19)&amp;".png", 3)</f>
        <v>#NAME?</v>
      </c>
      <c r="O19" s="64" t="s">
        <v>298</v>
      </c>
      <c r="P19" s="114">
        <v>20</v>
      </c>
      <c r="Q19" s="64" t="e">
        <f t="shared" ref="Q19:Q20" ca="1" si="17">_xludf.image("http://play.pokemonshowdown.com/sprites/gen5/"&amp;LOWER(R19)&amp;".png", 3)</f>
        <v>#NAME?</v>
      </c>
      <c r="R19" s="64"/>
      <c r="S19" s="64"/>
      <c r="T19" s="64" t="e">
        <f t="shared" ref="T19:T20" ca="1" si="18">_xludf.image("http://play.pokemonshowdown.com/sprites/gen5/"&amp;LOWER(U19)&amp;".png", 3)</f>
        <v>#NAME?</v>
      </c>
      <c r="U19" s="64"/>
      <c r="V19" s="64"/>
    </row>
    <row r="20" spans="1:22" ht="75" customHeight="1">
      <c r="A20" s="117" t="e">
        <f t="shared" ca="1" si="12"/>
        <v>#NAME?</v>
      </c>
      <c r="B20" s="42" t="s">
        <v>410</v>
      </c>
      <c r="C20" s="42" t="s">
        <v>90</v>
      </c>
      <c r="D20" s="112" t="s">
        <v>411</v>
      </c>
      <c r="E20" s="64" t="e">
        <f t="shared" ca="1" si="13"/>
        <v>#NAME?</v>
      </c>
      <c r="F20" s="64" t="s">
        <v>412</v>
      </c>
      <c r="G20" s="114">
        <v>23</v>
      </c>
      <c r="H20" s="64" t="e">
        <f t="shared" ca="1" si="14"/>
        <v>#NAME?</v>
      </c>
      <c r="I20" s="64" t="s">
        <v>278</v>
      </c>
      <c r="J20" s="114">
        <v>23</v>
      </c>
      <c r="K20" s="64" t="e">
        <f t="shared" ca="1" si="15"/>
        <v>#NAME?</v>
      </c>
      <c r="L20" s="64"/>
      <c r="M20" s="64"/>
      <c r="N20" s="64" t="e">
        <f t="shared" ca="1" si="16"/>
        <v>#NAME?</v>
      </c>
      <c r="O20" s="64"/>
      <c r="P20" s="64"/>
      <c r="Q20" s="64" t="e">
        <f t="shared" ca="1" si="17"/>
        <v>#NAME?</v>
      </c>
      <c r="R20" s="64"/>
      <c r="S20" s="64"/>
      <c r="T20" s="64" t="e">
        <f t="shared" ca="1" si="18"/>
        <v>#NAME?</v>
      </c>
      <c r="U20" s="64"/>
      <c r="V20" s="64"/>
    </row>
    <row r="21" spans="1:22" ht="75" customHeight="1">
      <c r="A21" s="117" t="e">
        <f t="shared" ca="1" si="12"/>
        <v>#NAME?</v>
      </c>
      <c r="B21" s="42" t="s">
        <v>413</v>
      </c>
      <c r="C21" s="42" t="s">
        <v>95</v>
      </c>
      <c r="D21" s="112" t="s">
        <v>96</v>
      </c>
      <c r="E21" s="64" t="e">
        <f t="shared" ca="1" si="13"/>
        <v>#NAME?</v>
      </c>
      <c r="F21" s="64" t="s">
        <v>385</v>
      </c>
      <c r="G21" s="114">
        <v>19</v>
      </c>
      <c r="H21" s="64" t="e">
        <f t="shared" ca="1" si="14"/>
        <v>#NAME?</v>
      </c>
      <c r="I21" s="64" t="s">
        <v>385</v>
      </c>
      <c r="J21" s="114">
        <v>21</v>
      </c>
      <c r="K21" s="64" t="e">
        <f t="shared" ca="1" si="15"/>
        <v>#NAME?</v>
      </c>
      <c r="L21" s="64" t="s">
        <v>414</v>
      </c>
      <c r="M21" s="114">
        <v>23</v>
      </c>
      <c r="N21" s="64"/>
      <c r="O21" s="64"/>
      <c r="P21" s="64"/>
      <c r="Q21" s="64"/>
      <c r="R21" s="64"/>
      <c r="S21" s="64"/>
      <c r="T21" s="64"/>
      <c r="U21" s="64"/>
      <c r="V21" s="64"/>
    </row>
    <row r="22" spans="1:22" ht="75" customHeight="1">
      <c r="A22" s="117" t="e">
        <f t="shared" ca="1" si="12"/>
        <v>#NAME?</v>
      </c>
      <c r="B22" s="42" t="s">
        <v>415</v>
      </c>
      <c r="C22" s="42" t="s">
        <v>98</v>
      </c>
      <c r="D22" s="112" t="s">
        <v>416</v>
      </c>
      <c r="E22" s="64" t="e">
        <f t="shared" ca="1" si="13"/>
        <v>#NAME?</v>
      </c>
      <c r="F22" s="64" t="s">
        <v>270</v>
      </c>
      <c r="G22" s="114">
        <v>24</v>
      </c>
      <c r="H22" s="64" t="e">
        <f t="shared" ca="1" si="14"/>
        <v>#NAME?</v>
      </c>
      <c r="I22" s="64" t="s">
        <v>263</v>
      </c>
      <c r="J22" s="114">
        <v>24</v>
      </c>
      <c r="K22" s="64" t="e">
        <f t="shared" ca="1" si="15"/>
        <v>#NAME?</v>
      </c>
      <c r="L22" s="64"/>
      <c r="M22" s="64"/>
      <c r="N22" s="64"/>
      <c r="O22" s="64"/>
      <c r="P22" s="64"/>
      <c r="Q22" s="64"/>
      <c r="R22" s="64"/>
      <c r="S22" s="64"/>
      <c r="T22" s="64"/>
      <c r="U22" s="64"/>
      <c r="V22" s="64"/>
    </row>
    <row r="23" spans="1:22" ht="75" customHeight="1">
      <c r="A23" s="117" t="e">
        <f t="shared" ca="1" si="12"/>
        <v>#NAME?</v>
      </c>
      <c r="B23" s="42" t="s">
        <v>417</v>
      </c>
      <c r="C23" s="42" t="s">
        <v>102</v>
      </c>
      <c r="D23" s="112" t="s">
        <v>103</v>
      </c>
      <c r="E23" s="64" t="e">
        <f t="shared" ca="1" si="13"/>
        <v>#NAME?</v>
      </c>
      <c r="F23" s="64" t="s">
        <v>418</v>
      </c>
      <c r="G23" s="114">
        <v>21</v>
      </c>
      <c r="H23" s="64" t="e">
        <f t="shared" ca="1" si="14"/>
        <v>#NAME?</v>
      </c>
      <c r="I23" s="64" t="s">
        <v>267</v>
      </c>
      <c r="J23" s="114">
        <v>24</v>
      </c>
      <c r="K23" s="64" t="e">
        <f t="shared" ca="1" si="15"/>
        <v>#NAME?</v>
      </c>
      <c r="L23" s="64" t="s">
        <v>286</v>
      </c>
      <c r="M23" s="114">
        <v>24</v>
      </c>
      <c r="N23" s="64"/>
      <c r="O23" s="64"/>
      <c r="P23" s="64"/>
      <c r="Q23" s="64"/>
      <c r="R23" s="64"/>
      <c r="S23" s="64"/>
      <c r="T23" s="64"/>
      <c r="U23" s="64"/>
      <c r="V23" s="64"/>
    </row>
    <row r="24" spans="1:22" ht="75" customHeight="1">
      <c r="A24" s="223" t="s">
        <v>419</v>
      </c>
      <c r="B24" s="156"/>
      <c r="C24" s="156"/>
      <c r="D24" s="134"/>
      <c r="E24" s="224"/>
      <c r="F24" s="156"/>
      <c r="G24" s="156"/>
      <c r="H24" s="156"/>
      <c r="I24" s="156"/>
      <c r="J24" s="156"/>
      <c r="K24" s="156"/>
      <c r="L24" s="156"/>
      <c r="M24" s="156"/>
      <c r="N24" s="156"/>
      <c r="O24" s="156"/>
      <c r="P24" s="156"/>
      <c r="Q24" s="156"/>
      <c r="R24" s="156"/>
      <c r="S24" s="156"/>
      <c r="T24" s="156"/>
      <c r="U24" s="156"/>
      <c r="V24" s="134"/>
    </row>
    <row r="25" spans="1:22" ht="12.75">
      <c r="A25" s="222" t="s">
        <v>420</v>
      </c>
      <c r="B25" s="156"/>
      <c r="C25" s="156"/>
      <c r="D25" s="156"/>
      <c r="E25" s="156"/>
      <c r="F25" s="156"/>
      <c r="G25" s="156"/>
      <c r="H25" s="156"/>
      <c r="I25" s="156"/>
      <c r="J25" s="156"/>
      <c r="K25" s="156"/>
      <c r="L25" s="156"/>
      <c r="M25" s="156"/>
      <c r="N25" s="156"/>
      <c r="O25" s="156"/>
      <c r="P25" s="156"/>
      <c r="Q25" s="156"/>
      <c r="R25" s="156"/>
      <c r="S25" s="156"/>
      <c r="T25" s="156"/>
      <c r="U25" s="156"/>
      <c r="V25" s="134"/>
    </row>
    <row r="26" spans="1:22" ht="75" customHeight="1">
      <c r="A26" s="117" t="e">
        <f t="shared" ref="A26:A30" ca="1" si="19">_xludf.image("http://play.pokemonshowdown.com/sprites/trainers/"&amp;LOWER(B26)&amp;".png", 3)</f>
        <v>#NAME?</v>
      </c>
      <c r="B26" s="42" t="s">
        <v>421</v>
      </c>
      <c r="C26" s="42" t="s">
        <v>107</v>
      </c>
      <c r="D26" s="112" t="s">
        <v>108</v>
      </c>
      <c r="E26" s="64" t="e">
        <f t="shared" ref="E26:E30" ca="1" si="20">_xludf.image("http://play.pokemonshowdown.com/sprites/gen5/"&amp;LOWER(F26)&amp;".png", 3)</f>
        <v>#NAME?</v>
      </c>
      <c r="F26" s="64" t="s">
        <v>300</v>
      </c>
      <c r="G26" s="114">
        <v>26</v>
      </c>
      <c r="H26" s="64" t="e">
        <f t="shared" ref="H26:H30" ca="1" si="21">_xludf.image("http://play.pokemonshowdown.com/sprites/gen5/"&amp;LOWER(I26)&amp;".png", 3)</f>
        <v>#NAME?</v>
      </c>
      <c r="I26" s="64" t="s">
        <v>247</v>
      </c>
      <c r="J26" s="114">
        <v>26</v>
      </c>
      <c r="K26" s="64" t="e">
        <f t="shared" ref="K26:K28" ca="1" si="22">_xludf.image("http://play.pokemonshowdown.com/sprites/gen5/"&amp;LOWER(L26)&amp;".png", 3)</f>
        <v>#NAME?</v>
      </c>
      <c r="L26" s="64"/>
      <c r="M26" s="64"/>
      <c r="N26" s="64"/>
      <c r="O26" s="64"/>
      <c r="P26" s="64"/>
      <c r="Q26" s="64"/>
      <c r="R26" s="64"/>
      <c r="S26" s="64"/>
      <c r="T26" s="64"/>
      <c r="U26" s="64"/>
      <c r="V26" s="64"/>
    </row>
    <row r="27" spans="1:22" ht="75" customHeight="1">
      <c r="A27" s="117" t="e">
        <f t="shared" ca="1" si="19"/>
        <v>#NAME?</v>
      </c>
      <c r="B27" s="42" t="s">
        <v>422</v>
      </c>
      <c r="C27" s="42" t="s">
        <v>109</v>
      </c>
      <c r="D27" s="112" t="s">
        <v>108</v>
      </c>
      <c r="E27" s="64" t="e">
        <f t="shared" ca="1" si="20"/>
        <v>#NAME?</v>
      </c>
      <c r="F27" s="64" t="s">
        <v>423</v>
      </c>
      <c r="G27" s="114">
        <v>24</v>
      </c>
      <c r="H27" s="64" t="e">
        <f t="shared" ca="1" si="21"/>
        <v>#NAME?</v>
      </c>
      <c r="I27" s="64" t="s">
        <v>299</v>
      </c>
      <c r="J27" s="114">
        <v>24</v>
      </c>
      <c r="K27" s="64" t="e">
        <f t="shared" ca="1" si="22"/>
        <v>#NAME?</v>
      </c>
      <c r="L27" s="64" t="s">
        <v>297</v>
      </c>
      <c r="M27" s="114">
        <v>24</v>
      </c>
      <c r="N27" s="64"/>
      <c r="O27" s="64"/>
      <c r="P27" s="64"/>
      <c r="Q27" s="64"/>
      <c r="R27" s="64"/>
      <c r="S27" s="64"/>
      <c r="T27" s="64"/>
      <c r="U27" s="64"/>
      <c r="V27" s="64"/>
    </row>
    <row r="28" spans="1:22" ht="75" customHeight="1">
      <c r="A28" s="117" t="e">
        <f t="shared" ca="1" si="19"/>
        <v>#NAME?</v>
      </c>
      <c r="B28" s="42" t="s">
        <v>394</v>
      </c>
      <c r="C28" s="42" t="s">
        <v>112</v>
      </c>
      <c r="D28" s="112" t="s">
        <v>113</v>
      </c>
      <c r="E28" s="64" t="e">
        <f t="shared" ca="1" si="20"/>
        <v>#NAME?</v>
      </c>
      <c r="F28" s="64" t="s">
        <v>312</v>
      </c>
      <c r="G28" s="114">
        <v>25</v>
      </c>
      <c r="H28" s="64" t="e">
        <f t="shared" ca="1" si="21"/>
        <v>#NAME?</v>
      </c>
      <c r="I28" s="64" t="s">
        <v>312</v>
      </c>
      <c r="J28" s="114">
        <v>25</v>
      </c>
      <c r="K28" s="64" t="e">
        <f t="shared" ca="1" si="22"/>
        <v>#NAME?</v>
      </c>
      <c r="L28" s="64" t="s">
        <v>242</v>
      </c>
      <c r="M28" s="114">
        <v>28</v>
      </c>
      <c r="N28" s="64"/>
      <c r="O28" s="64"/>
      <c r="P28" s="64"/>
      <c r="Q28" s="64"/>
      <c r="R28" s="64"/>
      <c r="S28" s="64"/>
      <c r="T28" s="64"/>
      <c r="U28" s="64"/>
      <c r="V28" s="64"/>
    </row>
    <row r="29" spans="1:22" ht="75" customHeight="1">
      <c r="A29" s="117" t="e">
        <f t="shared" ca="1" si="19"/>
        <v>#NAME?</v>
      </c>
      <c r="B29" s="42" t="s">
        <v>422</v>
      </c>
      <c r="C29" s="42" t="s">
        <v>114</v>
      </c>
      <c r="D29" s="112" t="s">
        <v>115</v>
      </c>
      <c r="E29" s="64" t="e">
        <f t="shared" ca="1" si="20"/>
        <v>#NAME?</v>
      </c>
      <c r="F29" s="64" t="s">
        <v>303</v>
      </c>
      <c r="G29" s="114">
        <v>27</v>
      </c>
      <c r="H29" s="64" t="e">
        <f t="shared" ca="1" si="21"/>
        <v>#NAME?</v>
      </c>
      <c r="I29" s="64" t="s">
        <v>301</v>
      </c>
      <c r="J29" s="114">
        <v>27</v>
      </c>
      <c r="K29" s="64"/>
      <c r="L29" s="64"/>
      <c r="M29" s="64"/>
      <c r="N29" s="64"/>
      <c r="O29" s="64"/>
      <c r="P29" s="64"/>
      <c r="Q29" s="64"/>
      <c r="R29" s="64"/>
      <c r="S29" s="64"/>
      <c r="T29" s="64"/>
      <c r="U29" s="64"/>
      <c r="V29" s="64"/>
    </row>
    <row r="30" spans="1:22" ht="75" customHeight="1">
      <c r="A30" s="117" t="e">
        <f t="shared" ca="1" si="19"/>
        <v>#NAME?</v>
      </c>
      <c r="B30" s="42" t="s">
        <v>424</v>
      </c>
      <c r="C30" s="42" t="s">
        <v>118</v>
      </c>
      <c r="D30" s="112" t="s">
        <v>115</v>
      </c>
      <c r="E30" s="64" t="e">
        <f t="shared" ca="1" si="20"/>
        <v>#NAME?</v>
      </c>
      <c r="F30" s="64" t="s">
        <v>329</v>
      </c>
      <c r="G30" s="114">
        <v>28</v>
      </c>
      <c r="H30" s="64" t="e">
        <f t="shared" ca="1" si="21"/>
        <v>#NAME?</v>
      </c>
      <c r="I30" s="64" t="s">
        <v>403</v>
      </c>
      <c r="J30" s="114">
        <v>30</v>
      </c>
      <c r="K30" s="64"/>
      <c r="L30" s="64"/>
      <c r="M30" s="64"/>
      <c r="N30" s="64"/>
      <c r="O30" s="64"/>
      <c r="P30" s="64"/>
      <c r="Q30" s="64"/>
      <c r="R30" s="64"/>
      <c r="S30" s="64"/>
      <c r="T30" s="64"/>
      <c r="U30" s="64"/>
      <c r="V30" s="64"/>
    </row>
    <row r="31" spans="1:22" ht="75" customHeight="1">
      <c r="A31" s="223" t="s">
        <v>425</v>
      </c>
      <c r="B31" s="156"/>
      <c r="C31" s="156"/>
      <c r="D31" s="134"/>
      <c r="E31" s="224"/>
      <c r="F31" s="156"/>
      <c r="G31" s="156"/>
      <c r="H31" s="156"/>
      <c r="I31" s="156"/>
      <c r="J31" s="156"/>
      <c r="K31" s="156"/>
      <c r="L31" s="156"/>
      <c r="M31" s="156"/>
      <c r="N31" s="156"/>
      <c r="O31" s="156"/>
      <c r="P31" s="156"/>
      <c r="Q31" s="156"/>
      <c r="R31" s="156"/>
      <c r="S31" s="156"/>
      <c r="T31" s="156"/>
      <c r="U31" s="156"/>
      <c r="V31" s="134"/>
    </row>
    <row r="32" spans="1:22" ht="12.75">
      <c r="A32" s="227" t="s">
        <v>426</v>
      </c>
      <c r="B32" s="156"/>
      <c r="C32" s="156"/>
      <c r="D32" s="156"/>
      <c r="E32" s="156"/>
      <c r="F32" s="156"/>
      <c r="G32" s="156"/>
      <c r="H32" s="156"/>
      <c r="I32" s="156"/>
      <c r="J32" s="156"/>
      <c r="K32" s="156"/>
      <c r="L32" s="156"/>
      <c r="M32" s="156"/>
      <c r="N32" s="156"/>
      <c r="O32" s="156"/>
      <c r="P32" s="156"/>
      <c r="Q32" s="156"/>
      <c r="R32" s="156"/>
      <c r="S32" s="156"/>
      <c r="T32" s="156"/>
      <c r="U32" s="156"/>
      <c r="V32" s="134"/>
    </row>
    <row r="33" spans="1:22" ht="75" customHeight="1">
      <c r="A33" s="117" t="e">
        <f t="shared" ref="A33:A36" ca="1" si="23">_xludf.image("http://play.pokemonshowdown.com/sprites/trainers/"&amp;LOWER(B33)&amp;".png", 3)</f>
        <v>#NAME?</v>
      </c>
      <c r="B33" s="42" t="s">
        <v>427</v>
      </c>
      <c r="C33" s="42" t="s">
        <v>122</v>
      </c>
      <c r="D33" s="112" t="s">
        <v>123</v>
      </c>
      <c r="E33" s="64" t="e">
        <f t="shared" ref="E33:E36" ca="1" si="24">_xludf.image("http://play.pokemonshowdown.com/sprites/gen5/"&amp;LOWER(F33)&amp;".png", 3)</f>
        <v>#NAME?</v>
      </c>
      <c r="F33" s="64" t="s">
        <v>418</v>
      </c>
      <c r="G33" s="114">
        <v>31</v>
      </c>
      <c r="H33" s="64" t="e">
        <f t="shared" ref="H33:H36" ca="1" si="25">_xludf.image("http://play.pokemonshowdown.com/sprites/gen5/"&amp;LOWER(I33)&amp;".png", 3)</f>
        <v>#NAME?</v>
      </c>
      <c r="I33" s="64"/>
      <c r="J33" s="64"/>
      <c r="K33" s="64"/>
      <c r="L33" s="64"/>
      <c r="M33" s="64"/>
      <c r="N33" s="64"/>
      <c r="O33" s="64"/>
      <c r="P33" s="64"/>
      <c r="Q33" s="64"/>
      <c r="R33" s="64"/>
      <c r="S33" s="64"/>
      <c r="T33" s="64"/>
      <c r="U33" s="64"/>
      <c r="V33" s="64"/>
    </row>
    <row r="34" spans="1:22" ht="75" customHeight="1">
      <c r="A34" s="117" t="e">
        <f t="shared" ca="1" si="23"/>
        <v>#NAME?</v>
      </c>
      <c r="B34" s="42" t="s">
        <v>428</v>
      </c>
      <c r="C34" s="42" t="s">
        <v>124</v>
      </c>
      <c r="D34" s="112" t="s">
        <v>429</v>
      </c>
      <c r="E34" s="64" t="e">
        <f t="shared" ca="1" si="24"/>
        <v>#NAME?</v>
      </c>
      <c r="F34" s="64" t="s">
        <v>242</v>
      </c>
      <c r="G34" s="114">
        <v>36</v>
      </c>
      <c r="H34" s="64" t="e">
        <f t="shared" ca="1" si="25"/>
        <v>#NAME?</v>
      </c>
      <c r="I34" s="64" t="s">
        <v>430</v>
      </c>
      <c r="J34" s="114">
        <v>36</v>
      </c>
      <c r="K34" s="64" t="e">
        <f t="shared" ref="K34:K36" ca="1" si="26">_xludf.image("http://play.pokemonshowdown.com/sprites/gen5/"&amp;LOWER(L34)&amp;".png", 3)</f>
        <v>#NAME?</v>
      </c>
      <c r="L34" s="64"/>
      <c r="M34" s="64"/>
      <c r="N34" s="64"/>
      <c r="O34" s="64"/>
      <c r="P34" s="64"/>
      <c r="Q34" s="64"/>
      <c r="R34" s="64"/>
      <c r="S34" s="64"/>
      <c r="T34" s="64"/>
      <c r="U34" s="64"/>
      <c r="V34" s="64"/>
    </row>
    <row r="35" spans="1:22" ht="75" customHeight="1">
      <c r="A35" s="117" t="e">
        <f t="shared" ca="1" si="23"/>
        <v>#NAME?</v>
      </c>
      <c r="B35" s="42" t="s">
        <v>431</v>
      </c>
      <c r="C35" s="119" t="s">
        <v>128</v>
      </c>
      <c r="D35" s="112" t="s">
        <v>129</v>
      </c>
      <c r="E35" s="64" t="e">
        <f t="shared" ca="1" si="24"/>
        <v>#NAME?</v>
      </c>
      <c r="F35" s="64" t="s">
        <v>302</v>
      </c>
      <c r="G35" s="114">
        <v>32</v>
      </c>
      <c r="H35" s="64" t="e">
        <f t="shared" ca="1" si="25"/>
        <v>#NAME?</v>
      </c>
      <c r="I35" s="64" t="s">
        <v>432</v>
      </c>
      <c r="J35" s="114">
        <v>31</v>
      </c>
      <c r="K35" s="64" t="e">
        <f t="shared" ca="1" si="26"/>
        <v>#NAME?</v>
      </c>
      <c r="L35" s="64" t="s">
        <v>403</v>
      </c>
      <c r="M35" s="114">
        <v>34</v>
      </c>
      <c r="N35" s="64"/>
      <c r="O35" s="64"/>
      <c r="P35" s="64"/>
      <c r="Q35" s="64"/>
      <c r="R35" s="64"/>
      <c r="S35" s="64"/>
      <c r="T35" s="64"/>
      <c r="U35" s="64"/>
      <c r="V35" s="64"/>
    </row>
    <row r="36" spans="1:22" ht="75" customHeight="1">
      <c r="A36" s="117" t="e">
        <f t="shared" ca="1" si="23"/>
        <v>#NAME?</v>
      </c>
      <c r="B36" s="42" t="s">
        <v>394</v>
      </c>
      <c r="C36" s="119" t="s">
        <v>130</v>
      </c>
      <c r="D36" s="112" t="s">
        <v>131</v>
      </c>
      <c r="E36" s="64" t="e">
        <f t="shared" ca="1" si="24"/>
        <v>#NAME?</v>
      </c>
      <c r="F36" s="64" t="s">
        <v>242</v>
      </c>
      <c r="G36" s="114">
        <v>33</v>
      </c>
      <c r="H36" s="64" t="e">
        <f t="shared" ca="1" si="25"/>
        <v>#NAME?</v>
      </c>
      <c r="I36" s="64" t="s">
        <v>242</v>
      </c>
      <c r="J36" s="114">
        <v>33</v>
      </c>
      <c r="K36" s="64" t="e">
        <f t="shared" ca="1" si="26"/>
        <v>#NAME?</v>
      </c>
      <c r="L36" s="64"/>
      <c r="M36" s="64"/>
      <c r="N36" s="64"/>
      <c r="O36" s="64"/>
      <c r="P36" s="64"/>
      <c r="Q36" s="64"/>
      <c r="R36" s="64"/>
      <c r="S36" s="64"/>
      <c r="T36" s="64"/>
      <c r="U36" s="64"/>
      <c r="V36" s="64"/>
    </row>
    <row r="37" spans="1:22" ht="75" customHeight="1">
      <c r="A37" s="223" t="s">
        <v>433</v>
      </c>
      <c r="B37" s="156"/>
      <c r="C37" s="156"/>
      <c r="D37" s="134"/>
      <c r="E37" s="224"/>
      <c r="F37" s="156"/>
      <c r="G37" s="156"/>
      <c r="H37" s="156"/>
      <c r="I37" s="156"/>
      <c r="J37" s="156"/>
      <c r="K37" s="156"/>
      <c r="L37" s="156"/>
      <c r="M37" s="156"/>
      <c r="N37" s="156"/>
      <c r="O37" s="156"/>
      <c r="P37" s="156"/>
      <c r="Q37" s="156"/>
      <c r="R37" s="156"/>
      <c r="S37" s="156"/>
      <c r="T37" s="156"/>
      <c r="U37" s="156"/>
      <c r="V37" s="134"/>
    </row>
    <row r="38" spans="1:22" ht="12.75">
      <c r="A38" s="228" t="s">
        <v>434</v>
      </c>
      <c r="B38" s="156"/>
      <c r="C38" s="156"/>
      <c r="D38" s="156"/>
      <c r="E38" s="156"/>
      <c r="F38" s="156"/>
      <c r="G38" s="156"/>
      <c r="H38" s="156"/>
      <c r="I38" s="156"/>
      <c r="J38" s="156"/>
      <c r="K38" s="156"/>
      <c r="L38" s="156"/>
      <c r="M38" s="156"/>
      <c r="N38" s="156"/>
      <c r="O38" s="156"/>
      <c r="P38" s="156"/>
      <c r="Q38" s="156"/>
      <c r="R38" s="156"/>
      <c r="S38" s="156"/>
      <c r="T38" s="156"/>
      <c r="U38" s="156"/>
      <c r="V38" s="134"/>
    </row>
    <row r="39" spans="1:22" ht="75" customHeight="1">
      <c r="A39" s="117" t="e">
        <f t="shared" ref="A39:A42" ca="1" si="27">_xludf.image("http://play.pokemonshowdown.com/sprites/trainers/"&amp;LOWER(B39)&amp;".png", 3)</f>
        <v>#NAME?</v>
      </c>
      <c r="B39" s="42" t="s">
        <v>435</v>
      </c>
      <c r="C39" s="42" t="s">
        <v>133</v>
      </c>
      <c r="D39" s="112" t="s">
        <v>134</v>
      </c>
      <c r="E39" s="64" t="e">
        <f t="shared" ref="E39:E42" ca="1" si="28">_xludf.image("http://play.pokemonshowdown.com/sprites/gen5/"&amp;LOWER(F39)&amp;".png", 3)</f>
        <v>#NAME?</v>
      </c>
      <c r="F39" s="64" t="s">
        <v>436</v>
      </c>
      <c r="G39" s="114">
        <v>38</v>
      </c>
      <c r="H39" s="64" t="e">
        <f t="shared" ref="H39:H42" ca="1" si="29">_xludf.image("http://play.pokemonshowdown.com/sprites/gen5/"&amp;LOWER(I39)&amp;".png", 3)</f>
        <v>#NAME?</v>
      </c>
      <c r="I39" s="64" t="s">
        <v>414</v>
      </c>
      <c r="J39" s="114">
        <v>38</v>
      </c>
      <c r="K39" s="64" t="e">
        <f t="shared" ref="K39:K42" ca="1" si="30">_xludf.image("http://play.pokemonshowdown.com/sprites/gen5/"&amp;LOWER(L39)&amp;".png", 3)</f>
        <v>#NAME?</v>
      </c>
      <c r="L39" s="64" t="s">
        <v>437</v>
      </c>
      <c r="M39" s="114">
        <v>40</v>
      </c>
      <c r="N39" s="64"/>
      <c r="O39" s="64"/>
      <c r="P39" s="64"/>
      <c r="Q39" s="64"/>
      <c r="R39" s="64"/>
      <c r="S39" s="64"/>
      <c r="T39" s="64"/>
      <c r="U39" s="64"/>
      <c r="V39" s="64"/>
    </row>
    <row r="40" spans="1:22" ht="75" customHeight="1">
      <c r="A40" s="117" t="e">
        <f t="shared" ca="1" si="27"/>
        <v>#NAME?</v>
      </c>
      <c r="B40" s="42" t="s">
        <v>391</v>
      </c>
      <c r="C40" s="42" t="s">
        <v>61</v>
      </c>
      <c r="D40" s="112" t="s">
        <v>135</v>
      </c>
      <c r="E40" s="64" t="e">
        <f t="shared" ca="1" si="28"/>
        <v>#NAME?</v>
      </c>
      <c r="F40" s="64" t="s">
        <v>436</v>
      </c>
      <c r="G40" s="114">
        <v>38</v>
      </c>
      <c r="H40" s="64" t="e">
        <f t="shared" ca="1" si="29"/>
        <v>#NAME?</v>
      </c>
      <c r="I40" s="64" t="s">
        <v>414</v>
      </c>
      <c r="J40" s="114">
        <v>38</v>
      </c>
      <c r="K40" s="64" t="e">
        <f t="shared" ca="1" si="30"/>
        <v>#NAME?</v>
      </c>
      <c r="L40" s="64" t="s">
        <v>393</v>
      </c>
      <c r="M40" s="114">
        <v>40</v>
      </c>
      <c r="N40" s="64"/>
      <c r="O40" s="64"/>
      <c r="P40" s="64"/>
      <c r="Q40" s="64"/>
      <c r="R40" s="64"/>
      <c r="S40" s="64"/>
      <c r="T40" s="64"/>
      <c r="U40" s="64"/>
      <c r="V40" s="64"/>
    </row>
    <row r="41" spans="1:22" ht="75" customHeight="1">
      <c r="A41" s="117" t="e">
        <f t="shared" ca="1" si="27"/>
        <v>#NAME?</v>
      </c>
      <c r="B41" s="42" t="s">
        <v>438</v>
      </c>
      <c r="C41" s="42" t="s">
        <v>136</v>
      </c>
      <c r="D41" s="112" t="s">
        <v>137</v>
      </c>
      <c r="E41" s="64" t="e">
        <f t="shared" ca="1" si="28"/>
        <v>#NAME?</v>
      </c>
      <c r="F41" s="64" t="s">
        <v>439</v>
      </c>
      <c r="G41" s="114">
        <v>39</v>
      </c>
      <c r="H41" s="64" t="e">
        <f t="shared" ca="1" si="29"/>
        <v>#NAME?</v>
      </c>
      <c r="I41" s="64" t="s">
        <v>440</v>
      </c>
      <c r="J41" s="114">
        <v>40</v>
      </c>
      <c r="K41" s="64" t="e">
        <f t="shared" ca="1" si="30"/>
        <v>#NAME?</v>
      </c>
      <c r="L41" s="64"/>
      <c r="M41" s="64"/>
      <c r="N41" s="64" t="e">
        <f ca="1">_xludf.image("http://play.pokemonshowdown.com/sprites/gen5/"&amp;LOWER(O41)&amp;".png", 3)</f>
        <v>#NAME?</v>
      </c>
      <c r="O41" s="64"/>
      <c r="P41" s="64"/>
      <c r="Q41" s="64" t="e">
        <f ca="1">_xludf.image("http://play.pokemonshowdown.com/sprites/gen5/"&amp;LOWER(R41)&amp;".png", 3)</f>
        <v>#NAME?</v>
      </c>
      <c r="R41" s="64"/>
      <c r="S41" s="64"/>
      <c r="T41" s="64" t="e">
        <f ca="1">_xludf.image("http://play.pokemonshowdown.com/sprites/gen5/"&amp;LOWER(U41)&amp;".png", 3)</f>
        <v>#NAME?</v>
      </c>
      <c r="U41" s="64"/>
      <c r="V41" s="64"/>
    </row>
    <row r="42" spans="1:22" ht="75" customHeight="1">
      <c r="A42" s="117" t="e">
        <f t="shared" ca="1" si="27"/>
        <v>#NAME?</v>
      </c>
      <c r="B42" s="42" t="s">
        <v>438</v>
      </c>
      <c r="C42" s="42" t="s">
        <v>138</v>
      </c>
      <c r="D42" s="112" t="s">
        <v>137</v>
      </c>
      <c r="E42" s="64" t="e">
        <f t="shared" ca="1" si="28"/>
        <v>#NAME?</v>
      </c>
      <c r="F42" s="64" t="s">
        <v>441</v>
      </c>
      <c r="G42" s="114">
        <v>37</v>
      </c>
      <c r="H42" s="64" t="e">
        <f t="shared" ca="1" si="29"/>
        <v>#NAME?</v>
      </c>
      <c r="I42" s="64" t="s">
        <v>262</v>
      </c>
      <c r="J42" s="114">
        <v>39</v>
      </c>
      <c r="K42" s="64" t="e">
        <f t="shared" ca="1" si="30"/>
        <v>#NAME?</v>
      </c>
      <c r="L42" s="64" t="s">
        <v>302</v>
      </c>
      <c r="M42" s="114">
        <v>39</v>
      </c>
      <c r="N42" s="64"/>
      <c r="O42" s="64"/>
      <c r="P42" s="64"/>
      <c r="Q42" s="64"/>
      <c r="R42" s="64"/>
      <c r="S42" s="64"/>
      <c r="T42" s="64"/>
      <c r="U42" s="64"/>
      <c r="V42" s="64"/>
    </row>
    <row r="43" spans="1:22" ht="75" customHeight="1">
      <c r="A43" s="223" t="s">
        <v>442</v>
      </c>
      <c r="B43" s="156"/>
      <c r="C43" s="156"/>
      <c r="D43" s="134"/>
      <c r="E43" s="224"/>
      <c r="F43" s="156"/>
      <c r="G43" s="156"/>
      <c r="H43" s="156"/>
      <c r="I43" s="156"/>
      <c r="J43" s="156"/>
      <c r="K43" s="156"/>
      <c r="L43" s="156"/>
      <c r="M43" s="156"/>
      <c r="N43" s="156"/>
      <c r="O43" s="156"/>
      <c r="P43" s="156"/>
      <c r="Q43" s="156"/>
      <c r="R43" s="156"/>
      <c r="S43" s="156"/>
      <c r="T43" s="156"/>
      <c r="U43" s="156"/>
      <c r="V43" s="134"/>
    </row>
    <row r="44" spans="1:22" ht="12.75">
      <c r="A44" s="229" t="s">
        <v>443</v>
      </c>
      <c r="B44" s="156"/>
      <c r="C44" s="156"/>
      <c r="D44" s="156"/>
      <c r="E44" s="156"/>
      <c r="F44" s="156"/>
      <c r="G44" s="156"/>
      <c r="H44" s="156"/>
      <c r="I44" s="156"/>
      <c r="J44" s="156"/>
      <c r="K44" s="156"/>
      <c r="L44" s="156"/>
      <c r="M44" s="156"/>
      <c r="N44" s="156"/>
      <c r="O44" s="156"/>
      <c r="P44" s="156"/>
      <c r="Q44" s="156"/>
      <c r="R44" s="156"/>
      <c r="S44" s="156"/>
      <c r="T44" s="156"/>
      <c r="U44" s="156"/>
      <c r="V44" s="134"/>
    </row>
    <row r="45" spans="1:22" ht="75" customHeight="1">
      <c r="A45" s="117" t="e">
        <f ca="1">_xludf.image("http://play.pokemonshowdown.com/sprites/trainers/"&amp;LOWER(B45)&amp;".png", 3)</f>
        <v>#NAME?</v>
      </c>
      <c r="B45" s="42" t="s">
        <v>444</v>
      </c>
      <c r="C45" s="119" t="s">
        <v>133</v>
      </c>
      <c r="D45" s="112" t="s">
        <v>140</v>
      </c>
      <c r="E45" s="64" t="e">
        <f t="shared" ref="E45:E51" ca="1" si="31">_xludf.image("http://play.pokemonshowdown.com/sprites/gen5/"&amp;LOWER(F45)&amp;".png", 3)</f>
        <v>#NAME?</v>
      </c>
      <c r="F45" s="64" t="s">
        <v>436</v>
      </c>
      <c r="G45" s="114">
        <v>42</v>
      </c>
      <c r="H45" s="64" t="e">
        <f t="shared" ref="H45:H46" ca="1" si="32">_xludf.image("http://play.pokemonshowdown.com/sprites/gen5/"&amp;LOWER(I45)&amp;".png", 3)</f>
        <v>#NAME?</v>
      </c>
      <c r="I45" s="64" t="s">
        <v>414</v>
      </c>
      <c r="J45" s="114">
        <v>42</v>
      </c>
      <c r="K45" s="64" t="e">
        <f ca="1">_xludf.image("http://play.pokemonshowdown.com/sprites/gen5/"&amp;LOWER(L45)&amp;".png", 3)</f>
        <v>#NAME?</v>
      </c>
      <c r="L45" s="64" t="s">
        <v>437</v>
      </c>
      <c r="M45" s="114">
        <v>44</v>
      </c>
      <c r="N45" s="64"/>
      <c r="O45" s="64"/>
      <c r="P45" s="64"/>
      <c r="Q45" s="64"/>
      <c r="R45" s="64"/>
      <c r="S45" s="64"/>
      <c r="T45" s="64"/>
      <c r="U45" s="64"/>
      <c r="V45" s="64"/>
    </row>
    <row r="46" spans="1:22" ht="75" customHeight="1">
      <c r="A46" s="117" t="e">
        <f ca="1">_xludf.image("http://play.pokemonshowdown.com/sprites/gen5/"&amp;LOWER(F46)&amp;".png", 3)</f>
        <v>#NAME?</v>
      </c>
      <c r="B46" s="42"/>
      <c r="C46" s="119" t="s">
        <v>141</v>
      </c>
      <c r="D46" s="112" t="s">
        <v>142</v>
      </c>
      <c r="E46" s="64" t="e">
        <f t="shared" ca="1" si="31"/>
        <v>#NAME?</v>
      </c>
      <c r="F46" s="64" t="s">
        <v>141</v>
      </c>
      <c r="G46" s="114">
        <v>47</v>
      </c>
      <c r="H46" s="64" t="e">
        <f t="shared" ca="1" si="32"/>
        <v>#NAME?</v>
      </c>
      <c r="I46" s="64"/>
      <c r="J46" s="64"/>
      <c r="K46" s="64"/>
      <c r="L46" s="64"/>
      <c r="M46" s="64"/>
      <c r="N46" s="64"/>
      <c r="O46" s="64"/>
      <c r="P46" s="64"/>
      <c r="Q46" s="64"/>
      <c r="R46" s="64"/>
      <c r="S46" s="64"/>
      <c r="T46" s="64"/>
      <c r="U46" s="64"/>
      <c r="V46" s="64"/>
    </row>
    <row r="47" spans="1:22" ht="75" customHeight="1">
      <c r="A47" s="117" t="e">
        <f t="shared" ref="A47:A51" ca="1" si="33">_xludf.image("http://play.pokemonshowdown.com/sprites/trainers/"&amp;LOWER(B47)&amp;".png", 3)</f>
        <v>#NAME?</v>
      </c>
      <c r="B47" s="42" t="s">
        <v>445</v>
      </c>
      <c r="C47" s="119" t="s">
        <v>143</v>
      </c>
      <c r="D47" s="112" t="s">
        <v>144</v>
      </c>
      <c r="E47" s="64" t="e">
        <f t="shared" ca="1" si="31"/>
        <v>#NAME?</v>
      </c>
      <c r="F47" s="64" t="s">
        <v>446</v>
      </c>
      <c r="G47" s="114">
        <v>45</v>
      </c>
      <c r="H47" s="64"/>
      <c r="I47" s="64"/>
      <c r="J47" s="64"/>
      <c r="K47" s="64"/>
      <c r="L47" s="64"/>
      <c r="M47" s="64"/>
      <c r="N47" s="64"/>
      <c r="O47" s="64"/>
      <c r="P47" s="64"/>
      <c r="Q47" s="64"/>
      <c r="R47" s="64"/>
      <c r="S47" s="64"/>
      <c r="T47" s="64"/>
      <c r="U47" s="64"/>
      <c r="V47" s="64"/>
    </row>
    <row r="48" spans="1:22" ht="75" customHeight="1">
      <c r="A48" s="117" t="e">
        <f t="shared" ca="1" si="33"/>
        <v>#NAME?</v>
      </c>
      <c r="B48" s="42" t="s">
        <v>447</v>
      </c>
      <c r="C48" s="119" t="s">
        <v>145</v>
      </c>
      <c r="D48" s="112" t="s">
        <v>144</v>
      </c>
      <c r="E48" s="64" t="e">
        <f t="shared" ca="1" si="31"/>
        <v>#NAME?</v>
      </c>
      <c r="F48" s="64" t="s">
        <v>310</v>
      </c>
      <c r="G48" s="114">
        <v>41</v>
      </c>
      <c r="H48" s="64" t="e">
        <f t="shared" ref="H48:H51" ca="1" si="34">_xludf.image("http://play.pokemonshowdown.com/sprites/gen5/"&amp;LOWER(I48)&amp;".png", 3)</f>
        <v>#NAME?</v>
      </c>
      <c r="I48" s="64" t="s">
        <v>448</v>
      </c>
      <c r="J48" s="114">
        <v>43</v>
      </c>
      <c r="K48" s="64" t="e">
        <f t="shared" ref="K48:K51" ca="1" si="35">_xludf.image("http://play.pokemonshowdown.com/sprites/gen5/"&amp;LOWER(L48)&amp;".png", 3)</f>
        <v>#NAME?</v>
      </c>
      <c r="L48" s="64" t="s">
        <v>256</v>
      </c>
      <c r="M48" s="114">
        <v>42</v>
      </c>
      <c r="N48" s="64"/>
      <c r="O48" s="64"/>
      <c r="P48" s="64"/>
      <c r="Q48" s="64"/>
      <c r="R48" s="64"/>
      <c r="S48" s="64"/>
      <c r="T48" s="64"/>
      <c r="U48" s="64"/>
      <c r="V48" s="64"/>
    </row>
    <row r="49" spans="1:22" ht="75" customHeight="1">
      <c r="A49" s="117" t="e">
        <f t="shared" ca="1" si="33"/>
        <v>#NAME?</v>
      </c>
      <c r="B49" s="42" t="s">
        <v>394</v>
      </c>
      <c r="C49" s="119" t="s">
        <v>146</v>
      </c>
      <c r="D49" s="112" t="s">
        <v>144</v>
      </c>
      <c r="E49" s="64" t="e">
        <f t="shared" ca="1" si="31"/>
        <v>#NAME?</v>
      </c>
      <c r="F49" s="64" t="s">
        <v>249</v>
      </c>
      <c r="G49" s="114">
        <v>41</v>
      </c>
      <c r="H49" s="64" t="e">
        <f t="shared" ca="1" si="34"/>
        <v>#NAME?</v>
      </c>
      <c r="I49" s="64" t="s">
        <v>242</v>
      </c>
      <c r="J49" s="114">
        <v>42</v>
      </c>
      <c r="K49" s="64" t="e">
        <f t="shared" ca="1" si="35"/>
        <v>#NAME?</v>
      </c>
      <c r="L49" s="64" t="s">
        <v>312</v>
      </c>
      <c r="M49" s="114">
        <v>41</v>
      </c>
      <c r="N49" s="64" t="e">
        <f t="shared" ref="N49:N51" ca="1" si="36">_xludf.image("http://play.pokemonshowdown.com/sprites/gen5/"&amp;LOWER(O49)&amp;".png", 3)</f>
        <v>#NAME?</v>
      </c>
      <c r="O49" s="64" t="s">
        <v>282</v>
      </c>
      <c r="P49" s="114">
        <v>41</v>
      </c>
      <c r="Q49" s="64"/>
      <c r="R49" s="64"/>
      <c r="S49" s="64"/>
      <c r="T49" s="64"/>
      <c r="U49" s="64"/>
      <c r="V49" s="64"/>
    </row>
    <row r="50" spans="1:22" ht="75" customHeight="1">
      <c r="A50" s="117" t="e">
        <f t="shared" ca="1" si="33"/>
        <v>#NAME?</v>
      </c>
      <c r="B50" s="42" t="s">
        <v>394</v>
      </c>
      <c r="C50" s="119" t="s">
        <v>147</v>
      </c>
      <c r="D50" s="112" t="s">
        <v>144</v>
      </c>
      <c r="E50" s="64" t="e">
        <f t="shared" ca="1" si="31"/>
        <v>#NAME?</v>
      </c>
      <c r="F50" s="64" t="s">
        <v>242</v>
      </c>
      <c r="G50" s="114">
        <v>43</v>
      </c>
      <c r="H50" s="64" t="e">
        <f t="shared" ca="1" si="34"/>
        <v>#NAME?</v>
      </c>
      <c r="I50" s="64" t="s">
        <v>242</v>
      </c>
      <c r="J50" s="114">
        <v>43</v>
      </c>
      <c r="K50" s="64" t="e">
        <f t="shared" ca="1" si="35"/>
        <v>#NAME?</v>
      </c>
      <c r="L50" s="64" t="s">
        <v>312</v>
      </c>
      <c r="M50" s="114">
        <v>40</v>
      </c>
      <c r="N50" s="64" t="e">
        <f t="shared" ca="1" si="36"/>
        <v>#NAME?</v>
      </c>
      <c r="O50" s="64"/>
      <c r="P50" s="64"/>
      <c r="Q50" s="64"/>
      <c r="R50" s="64"/>
      <c r="S50" s="64"/>
      <c r="T50" s="64"/>
      <c r="U50" s="64"/>
      <c r="V50" s="64"/>
    </row>
    <row r="51" spans="1:22" ht="75" customHeight="1">
      <c r="A51" s="117" t="e">
        <f t="shared" ca="1" si="33"/>
        <v>#NAME?</v>
      </c>
      <c r="B51" s="42" t="s">
        <v>449</v>
      </c>
      <c r="C51" s="119" t="s">
        <v>148</v>
      </c>
      <c r="D51" s="112" t="s">
        <v>149</v>
      </c>
      <c r="E51" s="64" t="e">
        <f t="shared" ca="1" si="31"/>
        <v>#NAME?</v>
      </c>
      <c r="F51" s="64" t="s">
        <v>403</v>
      </c>
      <c r="G51" s="114">
        <v>45</v>
      </c>
      <c r="H51" s="64" t="e">
        <f t="shared" ca="1" si="34"/>
        <v>#NAME?</v>
      </c>
      <c r="I51" s="64" t="s">
        <v>403</v>
      </c>
      <c r="J51" s="114">
        <v>45</v>
      </c>
      <c r="K51" s="64" t="e">
        <f t="shared" ca="1" si="35"/>
        <v>#NAME?</v>
      </c>
      <c r="L51" s="64"/>
      <c r="M51" s="64"/>
      <c r="N51" s="64" t="e">
        <f t="shared" ca="1" si="36"/>
        <v>#NAME?</v>
      </c>
      <c r="O51" s="64"/>
      <c r="P51" s="64"/>
      <c r="Q51" s="64"/>
      <c r="R51" s="64"/>
      <c r="S51" s="64"/>
      <c r="T51" s="64"/>
      <c r="U51" s="64"/>
      <c r="V51" s="64"/>
    </row>
    <row r="52" spans="1:22" ht="75" customHeight="1">
      <c r="A52" s="223" t="s">
        <v>450</v>
      </c>
      <c r="B52" s="156"/>
      <c r="C52" s="156"/>
      <c r="D52" s="134"/>
      <c r="E52" s="224"/>
      <c r="F52" s="156"/>
      <c r="G52" s="156"/>
      <c r="H52" s="156"/>
      <c r="I52" s="156"/>
      <c r="J52" s="156"/>
      <c r="K52" s="156"/>
      <c r="L52" s="156"/>
      <c r="M52" s="156"/>
      <c r="N52" s="156"/>
      <c r="O52" s="156"/>
      <c r="P52" s="156"/>
      <c r="Q52" s="156"/>
      <c r="R52" s="156"/>
      <c r="S52" s="156"/>
      <c r="T52" s="156"/>
      <c r="U52" s="156"/>
      <c r="V52" s="134"/>
    </row>
    <row r="53" spans="1:22" ht="12.75">
      <c r="A53" s="225" t="s">
        <v>451</v>
      </c>
      <c r="B53" s="156"/>
      <c r="C53" s="156"/>
      <c r="D53" s="156"/>
      <c r="E53" s="156"/>
      <c r="F53" s="156"/>
      <c r="G53" s="156"/>
      <c r="H53" s="156"/>
      <c r="I53" s="156"/>
      <c r="J53" s="156"/>
      <c r="K53" s="156"/>
      <c r="L53" s="156"/>
      <c r="M53" s="156"/>
      <c r="N53" s="156"/>
      <c r="O53" s="156"/>
      <c r="P53" s="156"/>
      <c r="Q53" s="156"/>
      <c r="R53" s="156"/>
      <c r="S53" s="156"/>
      <c r="T53" s="156"/>
      <c r="U53" s="156"/>
      <c r="V53" s="134"/>
    </row>
    <row r="54" spans="1:22" ht="75" customHeight="1">
      <c r="A54" s="117" t="e">
        <f t="shared" ref="A54:A67" ca="1" si="37">_xludf.image("http://play.pokemonshowdown.com/sprites/trainers/"&amp;LOWER(B54)&amp;".png", 3)</f>
        <v>#NAME?</v>
      </c>
      <c r="B54" s="42" t="s">
        <v>421</v>
      </c>
      <c r="C54" s="42" t="s">
        <v>151</v>
      </c>
      <c r="D54" s="112" t="s">
        <v>152</v>
      </c>
      <c r="E54" s="64" t="e">
        <f t="shared" ref="E54:E67" ca="1" si="38">_xludf.image("http://play.pokemonshowdown.com/sprites/gen5/"&amp;LOWER(F54)&amp;".png", 3)</f>
        <v>#NAME?</v>
      </c>
      <c r="F54" s="64" t="s">
        <v>452</v>
      </c>
      <c r="G54" s="114">
        <v>43</v>
      </c>
      <c r="H54" s="64" t="e">
        <f t="shared" ref="H54:H67" ca="1" si="39">_xludf.image("http://play.pokemonshowdown.com/sprites/gen5/"&amp;LOWER(I54)&amp;".png", 3)</f>
        <v>#NAME?</v>
      </c>
      <c r="I54" s="64" t="s">
        <v>453</v>
      </c>
      <c r="J54" s="114">
        <v>46</v>
      </c>
      <c r="K54" s="64" t="e">
        <f t="shared" ref="K54:K57" ca="1" si="40">_xludf.image("http://play.pokemonshowdown.com/sprites/gen5/"&amp;LOWER(L54)&amp;".png", 3)</f>
        <v>#NAME?</v>
      </c>
      <c r="L54" s="64" t="s">
        <v>293</v>
      </c>
      <c r="M54" s="114">
        <v>46</v>
      </c>
      <c r="N54" s="64"/>
      <c r="O54" s="64"/>
      <c r="P54" s="64"/>
      <c r="Q54" s="64"/>
      <c r="R54" s="64"/>
      <c r="S54" s="64"/>
      <c r="T54" s="64"/>
      <c r="U54" s="64"/>
      <c r="V54" s="64"/>
    </row>
    <row r="55" spans="1:22" ht="75" customHeight="1">
      <c r="A55" s="117" t="e">
        <f t="shared" ca="1" si="37"/>
        <v>#NAME?</v>
      </c>
      <c r="B55" s="42" t="s">
        <v>454</v>
      </c>
      <c r="C55" s="42" t="s">
        <v>153</v>
      </c>
      <c r="D55" s="112" t="s">
        <v>152</v>
      </c>
      <c r="E55" s="64" t="e">
        <f t="shared" ca="1" si="38"/>
        <v>#NAME?</v>
      </c>
      <c r="F55" s="64" t="s">
        <v>455</v>
      </c>
      <c r="G55" s="114">
        <v>45</v>
      </c>
      <c r="H55" s="64" t="e">
        <f t="shared" ca="1" si="39"/>
        <v>#NAME?</v>
      </c>
      <c r="I55" s="64" t="s">
        <v>456</v>
      </c>
      <c r="J55" s="114">
        <v>47</v>
      </c>
      <c r="K55" s="64" t="e">
        <f t="shared" ca="1" si="40"/>
        <v>#NAME?</v>
      </c>
      <c r="L55" s="64"/>
      <c r="M55" s="64"/>
      <c r="N55" s="64" t="e">
        <f t="shared" ref="N55:N57" ca="1" si="41">_xludf.image("http://play.pokemonshowdown.com/sprites/gen5/"&amp;LOWER(O55)&amp;".png", 3)</f>
        <v>#NAME?</v>
      </c>
      <c r="O55" s="64"/>
      <c r="P55" s="64"/>
      <c r="Q55" s="64"/>
      <c r="R55" s="64"/>
      <c r="S55" s="64"/>
      <c r="T55" s="64"/>
      <c r="U55" s="64"/>
      <c r="V55" s="64"/>
    </row>
    <row r="56" spans="1:22" ht="75" customHeight="1">
      <c r="A56" s="117" t="e">
        <f t="shared" ca="1" si="37"/>
        <v>#NAME?</v>
      </c>
      <c r="B56" s="42" t="s">
        <v>457</v>
      </c>
      <c r="C56" s="42" t="s">
        <v>154</v>
      </c>
      <c r="D56" s="112" t="s">
        <v>152</v>
      </c>
      <c r="E56" s="64" t="e">
        <f t="shared" ca="1" si="38"/>
        <v>#NAME?</v>
      </c>
      <c r="F56" s="64" t="s">
        <v>458</v>
      </c>
      <c r="G56" s="114">
        <v>45</v>
      </c>
      <c r="H56" s="64" t="e">
        <f t="shared" ca="1" si="39"/>
        <v>#NAME?</v>
      </c>
      <c r="I56" s="64" t="s">
        <v>334</v>
      </c>
      <c r="J56" s="114">
        <v>46</v>
      </c>
      <c r="K56" s="64" t="e">
        <f t="shared" ca="1" si="40"/>
        <v>#NAME?</v>
      </c>
      <c r="L56" s="64" t="s">
        <v>459</v>
      </c>
      <c r="M56" s="114">
        <v>48</v>
      </c>
      <c r="N56" s="64" t="e">
        <f t="shared" ca="1" si="41"/>
        <v>#NAME?</v>
      </c>
      <c r="O56" s="64"/>
      <c r="P56" s="64"/>
      <c r="Q56" s="64"/>
      <c r="R56" s="64"/>
      <c r="S56" s="64"/>
      <c r="T56" s="64"/>
      <c r="U56" s="64"/>
      <c r="V56" s="64"/>
    </row>
    <row r="57" spans="1:22" ht="75" customHeight="1">
      <c r="A57" s="117" t="e">
        <f t="shared" ca="1" si="37"/>
        <v>#NAME?</v>
      </c>
      <c r="B57" s="42" t="s">
        <v>460</v>
      </c>
      <c r="C57" s="42" t="s">
        <v>155</v>
      </c>
      <c r="D57" s="112" t="s">
        <v>152</v>
      </c>
      <c r="E57" s="64" t="e">
        <f t="shared" ca="1" si="38"/>
        <v>#NAME?</v>
      </c>
      <c r="F57" s="64" t="s">
        <v>461</v>
      </c>
      <c r="G57" s="114">
        <v>45</v>
      </c>
      <c r="H57" s="64" t="e">
        <f t="shared" ca="1" si="39"/>
        <v>#NAME?</v>
      </c>
      <c r="I57" s="64" t="s">
        <v>269</v>
      </c>
      <c r="J57" s="114">
        <v>46</v>
      </c>
      <c r="K57" s="64" t="e">
        <f t="shared" ca="1" si="40"/>
        <v>#NAME?</v>
      </c>
      <c r="L57" s="64" t="s">
        <v>257</v>
      </c>
      <c r="M57" s="114">
        <v>48</v>
      </c>
      <c r="N57" s="64" t="e">
        <f t="shared" ca="1" si="41"/>
        <v>#NAME?</v>
      </c>
      <c r="O57" s="64"/>
      <c r="P57" s="64"/>
      <c r="Q57" s="64"/>
      <c r="R57" s="64"/>
      <c r="S57" s="64"/>
      <c r="T57" s="64"/>
      <c r="U57" s="64"/>
      <c r="V57" s="64"/>
    </row>
    <row r="58" spans="1:22" ht="75" customHeight="1">
      <c r="A58" s="117" t="e">
        <f t="shared" ca="1" si="37"/>
        <v>#NAME?</v>
      </c>
      <c r="B58" s="42" t="s">
        <v>457</v>
      </c>
      <c r="C58" s="42" t="s">
        <v>156</v>
      </c>
      <c r="D58" s="112" t="s">
        <v>152</v>
      </c>
      <c r="E58" s="64" t="e">
        <f t="shared" ca="1" si="38"/>
        <v>#NAME?</v>
      </c>
      <c r="F58" s="64" t="s">
        <v>462</v>
      </c>
      <c r="G58" s="114">
        <v>47</v>
      </c>
      <c r="H58" s="64" t="e">
        <f t="shared" ca="1" si="39"/>
        <v>#NAME?</v>
      </c>
      <c r="I58" s="64" t="s">
        <v>463</v>
      </c>
      <c r="J58" s="114">
        <v>48</v>
      </c>
      <c r="K58" s="64"/>
      <c r="L58" s="64"/>
      <c r="M58" s="64"/>
      <c r="N58" s="64"/>
      <c r="O58" s="64"/>
      <c r="P58" s="64"/>
      <c r="Q58" s="64"/>
      <c r="R58" s="64"/>
      <c r="S58" s="64"/>
      <c r="T58" s="64"/>
      <c r="U58" s="64"/>
      <c r="V58" s="64"/>
    </row>
    <row r="59" spans="1:22" ht="75" customHeight="1">
      <c r="A59" s="117" t="e">
        <f t="shared" ca="1" si="37"/>
        <v>#NAME?</v>
      </c>
      <c r="B59" s="42" t="s">
        <v>464</v>
      </c>
      <c r="C59" s="42" t="s">
        <v>157</v>
      </c>
      <c r="D59" s="112" t="s">
        <v>152</v>
      </c>
      <c r="E59" s="64" t="e">
        <f t="shared" ca="1" si="38"/>
        <v>#NAME?</v>
      </c>
      <c r="F59" s="64" t="s">
        <v>465</v>
      </c>
      <c r="G59" s="114">
        <v>47</v>
      </c>
      <c r="H59" s="64" t="e">
        <f t="shared" ca="1" si="39"/>
        <v>#NAME?</v>
      </c>
      <c r="I59" s="64" t="s">
        <v>466</v>
      </c>
      <c r="J59" s="114">
        <v>47</v>
      </c>
      <c r="K59" s="64"/>
      <c r="L59" s="64"/>
      <c r="M59" s="64"/>
      <c r="N59" s="64"/>
      <c r="O59" s="64"/>
      <c r="P59" s="64"/>
      <c r="Q59" s="64"/>
      <c r="R59" s="64"/>
      <c r="S59" s="64"/>
      <c r="T59" s="64"/>
      <c r="U59" s="64"/>
      <c r="V59" s="64"/>
    </row>
    <row r="60" spans="1:22" ht="75" customHeight="1">
      <c r="A60" s="117" t="e">
        <f t="shared" ca="1" si="37"/>
        <v>#NAME?</v>
      </c>
      <c r="B60" s="42" t="s">
        <v>428</v>
      </c>
      <c r="C60" s="42" t="s">
        <v>158</v>
      </c>
      <c r="D60" s="112" t="s">
        <v>467</v>
      </c>
      <c r="E60" s="64" t="e">
        <f t="shared" ca="1" si="38"/>
        <v>#NAME?</v>
      </c>
      <c r="F60" s="64" t="s">
        <v>465</v>
      </c>
      <c r="G60" s="114">
        <v>50</v>
      </c>
      <c r="H60" s="64" t="e">
        <f t="shared" ca="1" si="39"/>
        <v>#NAME?</v>
      </c>
      <c r="I60" s="64" t="s">
        <v>439</v>
      </c>
      <c r="J60" s="114">
        <v>50</v>
      </c>
      <c r="K60" s="64" t="e">
        <f t="shared" ref="K60:K67" ca="1" si="42">_xludf.image("http://play.pokemonshowdown.com/sprites/gen5/"&amp;LOWER(L60)&amp;".png", 3)</f>
        <v>#NAME?</v>
      </c>
      <c r="L60" s="64"/>
      <c r="M60" s="64"/>
      <c r="N60" s="64"/>
      <c r="O60" s="64"/>
      <c r="P60" s="64"/>
      <c r="Q60" s="64"/>
      <c r="R60" s="64"/>
      <c r="S60" s="64"/>
      <c r="T60" s="64"/>
      <c r="U60" s="64"/>
      <c r="V60" s="64"/>
    </row>
    <row r="61" spans="1:22" ht="75" customHeight="1">
      <c r="A61" s="117" t="e">
        <f t="shared" ca="1" si="37"/>
        <v>#NAME?</v>
      </c>
      <c r="B61" s="42" t="s">
        <v>468</v>
      </c>
      <c r="C61" s="42" t="s">
        <v>160</v>
      </c>
      <c r="D61" s="112" t="s">
        <v>152</v>
      </c>
      <c r="E61" s="64" t="e">
        <f t="shared" ca="1" si="38"/>
        <v>#NAME?</v>
      </c>
      <c r="F61" s="120" t="s">
        <v>260</v>
      </c>
      <c r="G61" s="114">
        <v>48</v>
      </c>
      <c r="H61" s="64" t="e">
        <f t="shared" ca="1" si="39"/>
        <v>#NAME?</v>
      </c>
      <c r="I61" s="64"/>
      <c r="J61" s="64"/>
      <c r="K61" s="64" t="e">
        <f t="shared" ca="1" si="42"/>
        <v>#NAME?</v>
      </c>
      <c r="L61" s="64"/>
      <c r="M61" s="64"/>
      <c r="N61" s="64"/>
      <c r="O61" s="64"/>
      <c r="P61" s="64"/>
      <c r="Q61" s="64"/>
      <c r="R61" s="64"/>
      <c r="S61" s="64"/>
      <c r="T61" s="64"/>
      <c r="U61" s="64"/>
      <c r="V61" s="64"/>
    </row>
    <row r="62" spans="1:22" ht="75" customHeight="1">
      <c r="A62" s="117" t="e">
        <f t="shared" ca="1" si="37"/>
        <v>#NAME?</v>
      </c>
      <c r="B62" s="42" t="s">
        <v>469</v>
      </c>
      <c r="C62" s="42" t="s">
        <v>161</v>
      </c>
      <c r="D62" s="112" t="s">
        <v>152</v>
      </c>
      <c r="E62" s="64" t="e">
        <f t="shared" ca="1" si="38"/>
        <v>#NAME?</v>
      </c>
      <c r="F62" s="120" t="s">
        <v>285</v>
      </c>
      <c r="G62" s="114">
        <v>44</v>
      </c>
      <c r="H62" s="64" t="e">
        <f t="shared" ca="1" si="39"/>
        <v>#NAME?</v>
      </c>
      <c r="I62" s="64" t="s">
        <v>289</v>
      </c>
      <c r="J62" s="114">
        <v>45</v>
      </c>
      <c r="K62" s="64" t="e">
        <f t="shared" ca="1" si="42"/>
        <v>#NAME?</v>
      </c>
      <c r="L62" s="64" t="s">
        <v>309</v>
      </c>
      <c r="M62" s="114">
        <v>46</v>
      </c>
      <c r="N62" s="64"/>
      <c r="O62" s="64"/>
      <c r="P62" s="64"/>
      <c r="Q62" s="64"/>
      <c r="R62" s="64"/>
      <c r="S62" s="64"/>
      <c r="T62" s="64"/>
      <c r="U62" s="64"/>
      <c r="V62" s="64"/>
    </row>
    <row r="63" spans="1:22" ht="75" customHeight="1">
      <c r="A63" s="117" t="e">
        <f t="shared" ca="1" si="37"/>
        <v>#NAME?</v>
      </c>
      <c r="B63" s="42" t="s">
        <v>428</v>
      </c>
      <c r="C63" s="42" t="s">
        <v>162</v>
      </c>
      <c r="D63" s="112" t="s">
        <v>470</v>
      </c>
      <c r="E63" s="64" t="e">
        <f t="shared" ca="1" si="38"/>
        <v>#NAME?</v>
      </c>
      <c r="F63" s="64" t="s">
        <v>279</v>
      </c>
      <c r="G63" s="114">
        <v>50</v>
      </c>
      <c r="H63" s="64" t="e">
        <f t="shared" ca="1" si="39"/>
        <v>#NAME?</v>
      </c>
      <c r="I63" s="64" t="s">
        <v>263</v>
      </c>
      <c r="J63" s="114">
        <v>50</v>
      </c>
      <c r="K63" s="64" t="e">
        <f t="shared" ca="1" si="42"/>
        <v>#NAME?</v>
      </c>
      <c r="L63" s="64"/>
      <c r="M63" s="64"/>
      <c r="N63" s="64"/>
      <c r="O63" s="64"/>
      <c r="P63" s="64"/>
      <c r="Q63" s="64"/>
      <c r="R63" s="64"/>
      <c r="S63" s="64"/>
      <c r="T63" s="64"/>
      <c r="U63" s="64"/>
      <c r="V63" s="64"/>
    </row>
    <row r="64" spans="1:22" ht="75" customHeight="1">
      <c r="A64" s="117" t="e">
        <f t="shared" ca="1" si="37"/>
        <v>#NAME?</v>
      </c>
      <c r="B64" s="42" t="s">
        <v>460</v>
      </c>
      <c r="C64" s="42" t="s">
        <v>164</v>
      </c>
      <c r="D64" s="112" t="s">
        <v>152</v>
      </c>
      <c r="E64" s="64" t="e">
        <f t="shared" ca="1" si="38"/>
        <v>#NAME?</v>
      </c>
      <c r="F64" s="120" t="s">
        <v>471</v>
      </c>
      <c r="G64" s="114">
        <v>47</v>
      </c>
      <c r="H64" s="64" t="e">
        <f t="shared" ca="1" si="39"/>
        <v>#NAME?</v>
      </c>
      <c r="I64" s="64" t="s">
        <v>329</v>
      </c>
      <c r="J64" s="114">
        <v>48</v>
      </c>
      <c r="K64" s="64" t="e">
        <f t="shared" ca="1" si="42"/>
        <v>#NAME?</v>
      </c>
      <c r="L64" s="64"/>
      <c r="M64" s="64"/>
      <c r="N64" s="64"/>
      <c r="O64" s="64"/>
      <c r="P64" s="64"/>
      <c r="Q64" s="64"/>
      <c r="R64" s="64"/>
      <c r="S64" s="64"/>
      <c r="T64" s="64"/>
      <c r="U64" s="64"/>
      <c r="V64" s="64"/>
    </row>
    <row r="65" spans="1:22" ht="75" customHeight="1">
      <c r="A65" s="117" t="e">
        <f t="shared" ca="1" si="37"/>
        <v>#NAME?</v>
      </c>
      <c r="B65" s="42" t="s">
        <v>472</v>
      </c>
      <c r="C65" s="42" t="s">
        <v>165</v>
      </c>
      <c r="D65" s="112" t="s">
        <v>152</v>
      </c>
      <c r="E65" s="64" t="e">
        <f t="shared" ca="1" si="38"/>
        <v>#NAME?</v>
      </c>
      <c r="F65" s="120" t="s">
        <v>313</v>
      </c>
      <c r="G65" s="114">
        <v>45</v>
      </c>
      <c r="H65" s="64" t="e">
        <f t="shared" ca="1" si="39"/>
        <v>#NAME?</v>
      </c>
      <c r="I65" s="64" t="s">
        <v>473</v>
      </c>
      <c r="J65" s="114">
        <v>47</v>
      </c>
      <c r="K65" s="64" t="e">
        <f t="shared" ca="1" si="42"/>
        <v>#NAME?</v>
      </c>
      <c r="L65" s="64"/>
      <c r="M65" s="64"/>
      <c r="N65" s="64"/>
      <c r="O65" s="64"/>
      <c r="P65" s="64"/>
      <c r="Q65" s="64"/>
      <c r="R65" s="64"/>
      <c r="S65" s="64"/>
      <c r="T65" s="64"/>
      <c r="U65" s="64"/>
      <c r="V65" s="64"/>
    </row>
    <row r="66" spans="1:22" ht="75" customHeight="1">
      <c r="A66" s="117" t="e">
        <f t="shared" ca="1" si="37"/>
        <v>#NAME?</v>
      </c>
      <c r="B66" s="42" t="s">
        <v>464</v>
      </c>
      <c r="C66" s="42" t="s">
        <v>166</v>
      </c>
      <c r="D66" s="112" t="s">
        <v>152</v>
      </c>
      <c r="E66" s="64" t="e">
        <f t="shared" ca="1" si="38"/>
        <v>#NAME?</v>
      </c>
      <c r="F66" s="120" t="s">
        <v>474</v>
      </c>
      <c r="G66" s="114">
        <v>46</v>
      </c>
      <c r="H66" s="64" t="e">
        <f t="shared" ca="1" si="39"/>
        <v>#NAME?</v>
      </c>
      <c r="I66" s="64" t="s">
        <v>323</v>
      </c>
      <c r="J66" s="114">
        <v>46</v>
      </c>
      <c r="K66" s="64" t="e">
        <f t="shared" ca="1" si="42"/>
        <v>#NAME?</v>
      </c>
      <c r="L66" s="64" t="s">
        <v>475</v>
      </c>
      <c r="M66" s="114">
        <v>46</v>
      </c>
      <c r="N66" s="64"/>
      <c r="O66" s="64"/>
      <c r="P66" s="64"/>
      <c r="Q66" s="64"/>
      <c r="R66" s="64"/>
      <c r="S66" s="64"/>
      <c r="T66" s="64"/>
      <c r="U66" s="64"/>
      <c r="V66" s="64"/>
    </row>
    <row r="67" spans="1:22" ht="75" customHeight="1">
      <c r="A67" s="117" t="e">
        <f t="shared" ca="1" si="37"/>
        <v>#NAME?</v>
      </c>
      <c r="B67" s="42" t="s">
        <v>472</v>
      </c>
      <c r="C67" s="42" t="s">
        <v>167</v>
      </c>
      <c r="D67" s="112" t="s">
        <v>152</v>
      </c>
      <c r="E67" s="64" t="e">
        <f t="shared" ca="1" si="38"/>
        <v>#NAME?</v>
      </c>
      <c r="F67" s="120" t="s">
        <v>476</v>
      </c>
      <c r="G67" s="114">
        <v>43</v>
      </c>
      <c r="H67" s="64" t="e">
        <f t="shared" ca="1" si="39"/>
        <v>#NAME?</v>
      </c>
      <c r="I67" s="64" t="s">
        <v>304</v>
      </c>
      <c r="J67" s="114">
        <v>45</v>
      </c>
      <c r="K67" s="64" t="e">
        <f t="shared" ca="1" si="42"/>
        <v>#NAME?</v>
      </c>
      <c r="L67" s="64" t="s">
        <v>473</v>
      </c>
      <c r="M67" s="114">
        <v>47</v>
      </c>
      <c r="N67" s="64"/>
      <c r="O67" s="64"/>
      <c r="P67" s="64"/>
      <c r="Q67" s="64"/>
      <c r="R67" s="64"/>
      <c r="S67" s="64"/>
      <c r="T67" s="64"/>
      <c r="U67" s="64"/>
      <c r="V67" s="64"/>
    </row>
    <row r="68" spans="1:22" ht="75" customHeight="1">
      <c r="A68" s="223" t="s">
        <v>477</v>
      </c>
      <c r="B68" s="156"/>
      <c r="C68" s="156"/>
      <c r="D68" s="134"/>
      <c r="E68" s="226" t="s">
        <v>478</v>
      </c>
      <c r="F68" s="156"/>
      <c r="G68" s="156"/>
      <c r="H68" s="156"/>
      <c r="I68" s="156"/>
      <c r="J68" s="156"/>
      <c r="K68" s="156"/>
      <c r="L68" s="156"/>
      <c r="M68" s="156"/>
      <c r="N68" s="156"/>
      <c r="O68" s="156"/>
      <c r="P68" s="156"/>
      <c r="Q68" s="156"/>
      <c r="R68" s="156"/>
      <c r="S68" s="156"/>
      <c r="T68" s="156"/>
      <c r="U68" s="156"/>
      <c r="V68" s="134"/>
    </row>
  </sheetData>
  <mergeCells count="27">
    <mergeCell ref="A1:V1"/>
    <mergeCell ref="A6:D6"/>
    <mergeCell ref="E6:V6"/>
    <mergeCell ref="A7:V7"/>
    <mergeCell ref="A12:D12"/>
    <mergeCell ref="E12:V12"/>
    <mergeCell ref="A13:V13"/>
    <mergeCell ref="A17:D17"/>
    <mergeCell ref="E17:V17"/>
    <mergeCell ref="A18:V18"/>
    <mergeCell ref="A24:D24"/>
    <mergeCell ref="E24:V24"/>
    <mergeCell ref="A25:V25"/>
    <mergeCell ref="A31:D31"/>
    <mergeCell ref="A43:D43"/>
    <mergeCell ref="A52:D52"/>
    <mergeCell ref="A68:D68"/>
    <mergeCell ref="E52:V52"/>
    <mergeCell ref="A53:V53"/>
    <mergeCell ref="E68:V68"/>
    <mergeCell ref="E31:V31"/>
    <mergeCell ref="A32:V32"/>
    <mergeCell ref="A37:D37"/>
    <mergeCell ref="E37:V37"/>
    <mergeCell ref="A38:V38"/>
    <mergeCell ref="E43:V43"/>
    <mergeCell ref="A44:V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Tracker</vt:lpstr>
      <vt:lpstr>Team &amp; Encounters</vt:lpstr>
      <vt:lpstr>Stages (DO NOT TOUCH)</vt:lpstr>
      <vt:lpstr>Points Calculation</vt:lpstr>
      <vt:lpstr>Hitlist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Gil Bartholomew</cp:lastModifiedBy>
  <dcterms:created xsi:type="dcterms:W3CDTF">2024-07-31T18:49:04Z</dcterms:created>
  <dcterms:modified xsi:type="dcterms:W3CDTF">2024-08-07T00:18:32Z</dcterms:modified>
</cp:coreProperties>
</file>