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120" yWindow="510" windowWidth="15480" windowHeight="8160" tabRatio="904" activeTab="3"/>
  </bookViews>
  <sheets>
    <sheet name="Sheet1" sheetId="1" r:id="rId1"/>
    <sheet name="Instructions" sheetId="26" r:id="rId2"/>
    <sheet name="Master" sheetId="9" r:id="rId3"/>
    <sheet name="Jul2013" sheetId="52" r:id="rId4"/>
    <sheet name="SalarySlip" sheetId="8" r:id="rId5"/>
    <sheet name="Tax Slab_2012" sheetId="30" r:id="rId6"/>
    <sheet name="Sheet2" sheetId="50" state="hidden" r:id="rId7"/>
  </sheets>
  <externalReferences>
    <externalReference r:id="rId8"/>
  </externalReferences>
  <calcPr calcId="144525"/>
</workbook>
</file>

<file path=xl/calcChain.xml><?xml version="1.0" encoding="utf-8"?>
<calcChain xmlns="http://schemas.openxmlformats.org/spreadsheetml/2006/main">
  <c r="X11" i="52" l="1"/>
  <c r="X10" i="52"/>
  <c r="D13" i="8" l="1"/>
  <c r="D11" i="8"/>
  <c r="D10" i="8"/>
  <c r="D21" i="8"/>
  <c r="D20" i="8"/>
  <c r="D19" i="8"/>
  <c r="D18" i="8"/>
  <c r="D17" i="8"/>
  <c r="D12" i="8"/>
  <c r="D9" i="8"/>
  <c r="D22" i="8" l="1"/>
  <c r="F5" i="8"/>
  <c r="G35" i="8"/>
  <c r="E27" i="8"/>
  <c r="E26" i="8"/>
  <c r="D33" i="8"/>
  <c r="G34" i="8"/>
  <c r="G10" i="8"/>
  <c r="E19" i="8"/>
  <c r="G19" i="8"/>
  <c r="E21" i="8"/>
  <c r="G33" i="8"/>
  <c r="E17" i="8"/>
  <c r="D35" i="8"/>
  <c r="D31" i="8"/>
  <c r="E25" i="8"/>
  <c r="G13" i="8"/>
  <c r="E18" i="8"/>
  <c r="G31" i="8"/>
  <c r="G32" i="8"/>
  <c r="G22" i="8"/>
  <c r="E22" i="8"/>
  <c r="G20" i="8"/>
  <c r="D34" i="8"/>
  <c r="G18" i="8"/>
  <c r="D37" i="8"/>
  <c r="E20" i="8"/>
  <c r="E23" i="8"/>
  <c r="D36" i="8"/>
  <c r="G21" i="8"/>
  <c r="E24" i="8"/>
  <c r="Q6" i="9" l="1"/>
  <c r="G27" i="8"/>
  <c r="D38" i="8"/>
  <c r="G17" i="8"/>
  <c r="G28" i="8"/>
  <c r="I4" i="30" l="1"/>
  <c r="I5" i="30" s="1"/>
  <c r="I6" i="30" s="1"/>
  <c r="I7" i="30" l="1"/>
  <c r="I8" i="30" s="1"/>
  <c r="F6" i="30" l="1"/>
</calcChain>
</file>

<file path=xl/sharedStrings.xml><?xml version="1.0" encoding="utf-8"?>
<sst xmlns="http://schemas.openxmlformats.org/spreadsheetml/2006/main" count="212" uniqueCount="152">
  <si>
    <t>Employee ID</t>
  </si>
  <si>
    <t>V.K Gupta</t>
  </si>
  <si>
    <t>V.S. Gupta</t>
  </si>
  <si>
    <t>Shashi Prabha</t>
  </si>
  <si>
    <t>Suchi Kamboj</t>
  </si>
  <si>
    <t>Director</t>
  </si>
  <si>
    <t>Trainee - Hr</t>
  </si>
  <si>
    <t>Not Paid</t>
  </si>
  <si>
    <t>Basic</t>
  </si>
  <si>
    <t>HRA</t>
  </si>
  <si>
    <t>Special Allowance</t>
  </si>
  <si>
    <t>Conveyance</t>
  </si>
  <si>
    <t>Child Education</t>
  </si>
  <si>
    <t>HRA Exemption</t>
  </si>
  <si>
    <t>Monthly Gross</t>
  </si>
  <si>
    <t>Nett Salary</t>
  </si>
  <si>
    <t>No of Days</t>
  </si>
  <si>
    <t>Total Tax</t>
  </si>
  <si>
    <t>Other</t>
  </si>
  <si>
    <t>Name</t>
  </si>
  <si>
    <t>ICICI-0007001500543</t>
  </si>
  <si>
    <t>Salary Head</t>
  </si>
  <si>
    <t>Monthly</t>
  </si>
  <si>
    <t>Earned</t>
  </si>
  <si>
    <t>Actual</t>
  </si>
  <si>
    <t>Employee</t>
  </si>
  <si>
    <t>Date Of Joining</t>
  </si>
  <si>
    <t>Gross Earnings</t>
  </si>
  <si>
    <t>Deductions</t>
  </si>
  <si>
    <t>Total</t>
  </si>
  <si>
    <t>Head</t>
  </si>
  <si>
    <t>Income Tax</t>
  </si>
  <si>
    <t>PF</t>
  </si>
  <si>
    <t>PF/Acc No</t>
  </si>
  <si>
    <t>INPUT ZERO TECHNOLOGIES PVT. LTD.</t>
  </si>
  <si>
    <t>Tax Calculation</t>
  </si>
  <si>
    <t>Yearly Projection</t>
  </si>
  <si>
    <t>Taxable salary</t>
  </si>
  <si>
    <t>Exemptions</t>
  </si>
  <si>
    <t>Tax per month</t>
  </si>
  <si>
    <t>Conv Exemption</t>
  </si>
  <si>
    <t>Month</t>
  </si>
  <si>
    <t>YTD Income</t>
  </si>
  <si>
    <t xml:space="preserve">Projected Income Tax </t>
  </si>
  <si>
    <t>No. of days in Quarter</t>
  </si>
  <si>
    <t>Sex</t>
  </si>
  <si>
    <t>M</t>
  </si>
  <si>
    <t>Taxable Income</t>
  </si>
  <si>
    <t>Tax Slab Exemption</t>
  </si>
  <si>
    <t>Surcharge@10%</t>
  </si>
  <si>
    <t>Cess@3%</t>
  </si>
  <si>
    <t>Nett Tax</t>
  </si>
  <si>
    <t>Min Slab</t>
  </si>
  <si>
    <t>Income Tax/Month</t>
  </si>
  <si>
    <t>Projected Income</t>
  </si>
  <si>
    <t>Employee Type</t>
  </si>
  <si>
    <t>Permanent</t>
  </si>
  <si>
    <t>80C Savings</t>
  </si>
  <si>
    <t>Monthly Deductions</t>
  </si>
  <si>
    <t>Annual 80C Savings</t>
  </si>
  <si>
    <t>Total Yearly Tax</t>
  </si>
  <si>
    <t>DOJ</t>
  </si>
  <si>
    <t>YTD Tax Paid</t>
  </si>
  <si>
    <t>YTD  HRA Exempt</t>
  </si>
  <si>
    <t>YTD Conv Exempt</t>
  </si>
  <si>
    <t>Arrears</t>
  </si>
  <si>
    <t>Medical Premium</t>
  </si>
  <si>
    <t>80D Exemption</t>
  </si>
  <si>
    <t>Annual 80D Savings</t>
  </si>
  <si>
    <t>Axis Bank</t>
  </si>
  <si>
    <t>TDS</t>
  </si>
  <si>
    <t>Sal</t>
  </si>
  <si>
    <t>On Call allowance</t>
  </si>
  <si>
    <t>On Call Allowance</t>
  </si>
  <si>
    <t>PAN</t>
  </si>
  <si>
    <t>AHIPA8451A</t>
  </si>
  <si>
    <t>AQOPG6776H</t>
  </si>
  <si>
    <t>ALTPR6590G</t>
  </si>
  <si>
    <t>BMUPM3741D</t>
  </si>
  <si>
    <t>AGXPG5745P</t>
  </si>
  <si>
    <t>PAN No</t>
  </si>
  <si>
    <t>Defence Colony New Delhi 110024</t>
  </si>
  <si>
    <t>UTIB0000357</t>
  </si>
  <si>
    <t>Axis- 912010004060557</t>
  </si>
  <si>
    <t>Step 1</t>
  </si>
  <si>
    <t>Step 2</t>
  </si>
  <si>
    <t>Insert a new sheet in the Previous Months'  Excel Document</t>
  </si>
  <si>
    <t>Step 3</t>
  </si>
  <si>
    <t>Rename it, follow the naming convention, the month should be named as Xyz1234(i.e. first three alphabet of a month, the first alphabet being in Caps, and the year. Do not leave any space befor, after or in between the name of the month and year</t>
  </si>
  <si>
    <t>Step 4</t>
  </si>
  <si>
    <t>Go to YTD Sheet, Under "Income" head, select the income of all the employees, and drag tehm to adjacent column. Same is done for Income tax, HRA and Conveyance</t>
  </si>
  <si>
    <t>Step 5</t>
  </si>
  <si>
    <t>Go to top left corner of previous month's sheet, right click, go to copy option and then paste(p) in new sheet</t>
  </si>
  <si>
    <t>Go to the left corner of previous month's sheet, right click, and select paste 123, it will lock the previous sheet</t>
  </si>
  <si>
    <t>Step 6</t>
  </si>
  <si>
    <t>Step 8</t>
  </si>
  <si>
    <t>Mention the number of the days employees worked in their particular rows, if the month is quarter end i.e. March, June, September or December, mention the number of days in a quarter he/she has worked upon</t>
  </si>
  <si>
    <t>Step 9</t>
  </si>
  <si>
    <t>Remove/edit the previous month's components e.g. On call allowance, arrears income, project allowances, and some other allowances which were given apart from the employee's  basic salary structure</t>
  </si>
  <si>
    <t>In the top row (the row in which month is mentioned) go to salary option and check whether its including net income of all employees or not. Same is done with TDS it should include Income tax of all the employees</t>
  </si>
  <si>
    <t>Step 10</t>
  </si>
  <si>
    <r>
      <t xml:space="preserve">Go to newly made sheet, on top left corner change the month name to </t>
    </r>
    <r>
      <rPr>
        <b/>
        <sz val="11"/>
        <color theme="1"/>
        <rFont val="Calibri"/>
        <family val="2"/>
        <scheme val="minor"/>
      </rPr>
      <t>Xyz-yy</t>
    </r>
    <r>
      <rPr>
        <sz val="11"/>
        <color theme="1"/>
        <rFont val="Calibri"/>
        <family val="2"/>
        <scheme val="minor"/>
      </rPr>
      <t>, Adjacent ot this cell there is another cell in which a number is written, make sure that the number mentioned in it is the numbers of remaining months till march i.e end of financial year. e.g. if we are calculating for Dec month the number mentioned in this cell would be 3. Make sure that the number of days of the month is correct in the cell beside the cell just beside the cell of the numbers of remaining months</t>
    </r>
  </si>
  <si>
    <r>
      <t xml:space="preserve">Go to Salary Slip enter the month and year in the format </t>
    </r>
    <r>
      <rPr>
        <b/>
        <sz val="11"/>
        <color theme="1"/>
        <rFont val="Calibri"/>
        <family val="2"/>
        <scheme val="minor"/>
      </rPr>
      <t>Xyz1234</t>
    </r>
    <r>
      <rPr>
        <sz val="11"/>
        <color theme="1"/>
        <rFont val="Calibri"/>
        <family val="2"/>
        <scheme val="minor"/>
      </rPr>
      <t xml:space="preserve">, check the no of days of the month, if the month goes 30, mention 30 and if the month goes 31 mention 31 in it. </t>
    </r>
  </si>
  <si>
    <t>Step 11</t>
  </si>
  <si>
    <t>Step 12</t>
  </si>
  <si>
    <t>Enter the Employee ID , the salary slip will be populated, make sure that the number pof days he has worked upon is mentioned currect in top right corner</t>
  </si>
  <si>
    <t>Step 13</t>
  </si>
  <si>
    <t>Copy the sheet and paste it in Word Document  and save as PDF. Rename the PDF file, if the sal is calculated for jan 2012 for the employee having emp ID 1017 rename is  as Sal2012Jan1017</t>
  </si>
  <si>
    <r>
      <t>Go to credit sheet enter the N</t>
    </r>
    <r>
      <rPr>
        <b/>
        <sz val="11"/>
        <color theme="1"/>
        <rFont val="Calibri"/>
        <family val="2"/>
        <scheme val="minor"/>
      </rPr>
      <t xml:space="preserve">et Amount </t>
    </r>
    <r>
      <rPr>
        <sz val="11"/>
        <color theme="1"/>
        <rFont val="Calibri"/>
        <family val="2"/>
        <scheme val="minor"/>
      </rPr>
      <t>of all the employees. Rename the month and year for which we are calculating salary in the format Xyz1234</t>
    </r>
  </si>
  <si>
    <t>Instructions to Run Payroll</t>
  </si>
  <si>
    <t>Instructions for generating Salary Slip</t>
  </si>
  <si>
    <t>0-200000</t>
  </si>
  <si>
    <t>200000-500000</t>
  </si>
  <si>
    <t>500000-1000000</t>
  </si>
  <si>
    <t>&gt;1000000</t>
  </si>
  <si>
    <t>Tax</t>
  </si>
  <si>
    <t>Cess</t>
  </si>
  <si>
    <t>Surcharge</t>
  </si>
  <si>
    <t>Medical Reimbursement</t>
  </si>
  <si>
    <t>Performance Linked Incentive</t>
  </si>
  <si>
    <t>Net Earnings</t>
  </si>
  <si>
    <t>Net Tax</t>
  </si>
  <si>
    <t>PLIB</t>
  </si>
  <si>
    <t>No of Days in Quarter</t>
  </si>
  <si>
    <t>Laptop Allowance</t>
  </si>
  <si>
    <t>Note:     Only Change the values in grey cells. Add Employees in the order they exist in the "Master" sheet</t>
  </si>
  <si>
    <t>Professional Tax</t>
  </si>
  <si>
    <t>PF Account Number</t>
  </si>
  <si>
    <t>HR/GGN/33236/1</t>
  </si>
  <si>
    <t>Arrear Income</t>
  </si>
  <si>
    <t>Total PF</t>
  </si>
  <si>
    <t>Total Prof Tax</t>
  </si>
  <si>
    <t>ESI</t>
  </si>
  <si>
    <t>Arrear Deduction</t>
  </si>
  <si>
    <t>Total ESI</t>
  </si>
  <si>
    <t>Aug2013</t>
  </si>
  <si>
    <t>Allen Allbrook</t>
  </si>
  <si>
    <t>Consultant</t>
  </si>
  <si>
    <t>name</t>
  </si>
  <si>
    <t>designation</t>
  </si>
  <si>
    <t>pan_card</t>
  </si>
  <si>
    <t>doj</t>
  </si>
  <si>
    <t>dob</t>
  </si>
  <si>
    <t>name_bank</t>
  </si>
  <si>
    <t>bank_name</t>
  </si>
  <si>
    <t>bank_branch</t>
  </si>
  <si>
    <t>acc_details</t>
  </si>
  <si>
    <t>ifsc_code</t>
  </si>
  <si>
    <t>salary</t>
  </si>
  <si>
    <t>paid_days</t>
  </si>
  <si>
    <t>comment</t>
  </si>
  <si>
    <t>employee_id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</si>
</sst>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myyyy"/>
    <numFmt numFmtId="166" formatCode="[$-409]dd/mmm/yy;@"/>
  </numFmts>
  <fonts count="13" x14ac:knownFonts="1">
    <font>
      <sz val="11"/>
      <color theme="1"/>
      <name val="Calibri"/>
      <family val="2"/>
      <scheme val="minor"/>
    </font>
    <font>
      <sz val="11"/>
      <name val="Calibri"/>
      <family val="2"/>
      <scheme val="minor"/>
    </font>
    <font>
      <b/>
      <sz val="11"/>
      <color theme="1"/>
      <name val="Calibri"/>
      <family val="2"/>
      <scheme val="minor"/>
    </font>
    <font>
      <sz val="10"/>
      <color theme="1"/>
      <name val="Arial"/>
      <family val="2"/>
    </font>
    <font>
      <sz val="11"/>
      <color theme="1"/>
      <name val="Arial"/>
      <family val="2"/>
    </font>
    <font>
      <sz val="11"/>
      <name val="Arial"/>
      <family val="2"/>
    </font>
    <font>
      <sz val="10"/>
      <name val="Arial"/>
      <family val="2"/>
    </font>
    <font>
      <b/>
      <sz val="10"/>
      <color theme="1"/>
      <name val="Arial"/>
      <family val="2"/>
    </font>
    <font>
      <sz val="11"/>
      <color theme="0"/>
      <name val="Calibri"/>
      <family val="2"/>
      <scheme val="minor"/>
    </font>
    <font>
      <sz val="11"/>
      <color theme="1" tint="4.9989318521683403E-2"/>
      <name val="Calibri"/>
      <family val="2"/>
      <scheme val="minor"/>
    </font>
    <font>
      <sz val="11"/>
      <color rgb="FF000000"/>
      <name val="Calibri"/>
      <family val="2"/>
      <scheme val="minor"/>
    </font>
    <font>
      <b/>
      <sz val="11"/>
      <color rgb="FF000000"/>
      <name val="Calibri"/>
      <family val="2"/>
      <scheme val="minor"/>
    </font>
    <font>
      <sz val="12"/>
      <color theme="1"/>
      <name val="Times New Roman"/>
      <family val="1"/>
    </font>
  </fonts>
  <fills count="12">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00B0F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2"/>
        <bgColor indexed="64"/>
      </patternFill>
    </fill>
    <fill>
      <patternFill patternType="solid">
        <fgColor theme="4" tint="0.79998168889431442"/>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style="medium">
        <color indexed="64"/>
      </top>
      <bottom style="medium">
        <color indexed="64"/>
      </bottom>
      <diagonal/>
    </border>
  </borders>
  <cellStyleXfs count="2">
    <xf numFmtId="0" fontId="0" fillId="0" borderId="0"/>
    <xf numFmtId="0" fontId="6" fillId="0" borderId="0"/>
  </cellStyleXfs>
  <cellXfs count="135">
    <xf numFmtId="0" fontId="0" fillId="0" borderId="0" xfId="0"/>
    <xf numFmtId="0" fontId="0" fillId="0" borderId="0" xfId="0" applyBorder="1"/>
    <xf numFmtId="0" fontId="2" fillId="0" borderId="5" xfId="0" applyFont="1" applyFill="1" applyBorder="1"/>
    <xf numFmtId="0" fontId="2" fillId="0" borderId="13" xfId="0" applyFont="1" applyBorder="1"/>
    <xf numFmtId="164" fontId="0" fillId="0" borderId="1" xfId="0" applyNumberFormat="1" applyBorder="1"/>
    <xf numFmtId="17" fontId="0" fillId="0" borderId="0" xfId="0" applyNumberFormat="1"/>
    <xf numFmtId="0" fontId="3" fillId="3" borderId="1" xfId="0" applyFont="1" applyFill="1" applyBorder="1" applyAlignment="1">
      <alignment textRotation="90" wrapText="1"/>
    </xf>
    <xf numFmtId="0" fontId="3" fillId="0" borderId="1" xfId="0" applyFont="1" applyBorder="1"/>
    <xf numFmtId="0" fontId="3" fillId="0" borderId="1" xfId="0" applyNumberFormat="1" applyFont="1" applyBorder="1"/>
    <xf numFmtId="17" fontId="4" fillId="5" borderId="0" xfId="0" applyNumberFormat="1" applyFont="1" applyFill="1"/>
    <xf numFmtId="0" fontId="5" fillId="5" borderId="1" xfId="0" applyNumberFormat="1" applyFont="1" applyFill="1" applyBorder="1"/>
    <xf numFmtId="0" fontId="3" fillId="4" borderId="1" xfId="0" applyFont="1" applyFill="1" applyBorder="1"/>
    <xf numFmtId="49" fontId="0" fillId="0" borderId="0" xfId="0" applyNumberFormat="1"/>
    <xf numFmtId="0" fontId="0" fillId="0" borderId="0" xfId="0" applyFill="1"/>
    <xf numFmtId="0" fontId="0" fillId="4" borderId="1" xfId="0" applyFill="1" applyBorder="1"/>
    <xf numFmtId="0" fontId="0" fillId="8" borderId="5" xfId="0" applyFill="1" applyBorder="1"/>
    <xf numFmtId="0" fontId="7" fillId="9" borderId="7" xfId="0" applyFont="1" applyFill="1" applyBorder="1"/>
    <xf numFmtId="0" fontId="6" fillId="0" borderId="1" xfId="1" applyBorder="1"/>
    <xf numFmtId="49" fontId="0" fillId="0" borderId="1" xfId="0" applyNumberFormat="1" applyBorder="1"/>
    <xf numFmtId="49" fontId="1" fillId="2" borderId="1" xfId="0" applyNumberFormat="1" applyFont="1" applyFill="1" applyBorder="1"/>
    <xf numFmtId="164" fontId="0" fillId="0" borderId="0" xfId="0" applyNumberFormat="1"/>
    <xf numFmtId="0" fontId="3" fillId="0" borderId="1" xfId="0" applyFont="1" applyFill="1" applyBorder="1" applyAlignment="1">
      <alignment textRotation="90" wrapText="1"/>
    </xf>
    <xf numFmtId="0" fontId="3" fillId="0" borderId="1" xfId="0" applyFont="1" applyFill="1" applyBorder="1"/>
    <xf numFmtId="0" fontId="0" fillId="0" borderId="1" xfId="0" applyNumberFormat="1" applyBorder="1" applyAlignment="1">
      <alignment horizontal="left"/>
    </xf>
    <xf numFmtId="49" fontId="0" fillId="0" borderId="1" xfId="0" applyNumberFormat="1" applyBorder="1" applyAlignment="1">
      <alignment horizontal="right"/>
    </xf>
    <xf numFmtId="0" fontId="0" fillId="7" borderId="1" xfId="0" applyFill="1" applyBorder="1" applyAlignment="1">
      <alignment horizontal="left"/>
    </xf>
    <xf numFmtId="0" fontId="0" fillId="7" borderId="1" xfId="0" applyFill="1" applyBorder="1" applyAlignment="1">
      <alignment horizontal="left" vertical="center" wrapText="1"/>
    </xf>
    <xf numFmtId="0" fontId="0" fillId="7" borderId="1" xfId="0" applyFill="1" applyBorder="1" applyAlignment="1">
      <alignment horizontal="left" vertical="center"/>
    </xf>
    <xf numFmtId="0" fontId="0" fillId="0" borderId="0" xfId="0" applyAlignment="1">
      <alignment horizontal="center" vertical="center"/>
    </xf>
    <xf numFmtId="15" fontId="0" fillId="0" borderId="1" xfId="0" applyNumberFormat="1" applyBorder="1" applyAlignment="1">
      <alignment horizontal="center" vertical="center"/>
    </xf>
    <xf numFmtId="0" fontId="0" fillId="0" borderId="0" xfId="0" applyAlignment="1">
      <alignment horizontal="center"/>
    </xf>
    <xf numFmtId="0" fontId="0" fillId="11" borderId="1" xfId="0" applyFill="1" applyBorder="1"/>
    <xf numFmtId="9" fontId="0" fillId="11" borderId="1" xfId="0" applyNumberFormat="1" applyFill="1" applyBorder="1"/>
    <xf numFmtId="49" fontId="0" fillId="0" borderId="0" xfId="0" applyNumberFormat="1" applyAlignment="1">
      <alignment horizontal="left"/>
    </xf>
    <xf numFmtId="0" fontId="8" fillId="0" borderId="0" xfId="0" applyFont="1"/>
    <xf numFmtId="0" fontId="3" fillId="3" borderId="1" xfId="0" applyFont="1" applyFill="1" applyBorder="1" applyAlignment="1">
      <alignment horizontal="center" textRotation="90" wrapText="1"/>
    </xf>
    <xf numFmtId="0" fontId="9" fillId="0" borderId="0" xfId="0" applyFont="1"/>
    <xf numFmtId="0" fontId="2" fillId="0" borderId="19" xfId="0" applyFont="1" applyFill="1" applyBorder="1"/>
    <xf numFmtId="0" fontId="3" fillId="3" borderId="1" xfId="0" applyFont="1" applyFill="1" applyBorder="1" applyAlignment="1">
      <alignment horizontal="center" vertical="center" textRotation="90" wrapText="1"/>
    </xf>
    <xf numFmtId="0" fontId="2" fillId="0" borderId="17" xfId="0" applyFont="1" applyBorder="1" applyAlignment="1">
      <alignment horizontal="right"/>
    </xf>
    <xf numFmtId="0" fontId="2" fillId="0" borderId="13" xfId="0" applyFont="1" applyBorder="1" applyAlignment="1">
      <alignment horizontal="right"/>
    </xf>
    <xf numFmtId="0" fontId="0" fillId="0" borderId="1" xfId="0" applyFont="1" applyFill="1" applyBorder="1"/>
    <xf numFmtId="49" fontId="2" fillId="4" borderId="1" xfId="0" applyNumberFormat="1" applyFont="1" applyFill="1" applyBorder="1" applyAlignment="1">
      <alignment horizontal="right"/>
    </xf>
    <xf numFmtId="165" fontId="2" fillId="0" borderId="1" xfId="0" applyNumberFormat="1" applyFont="1" applyBorder="1"/>
    <xf numFmtId="49" fontId="1" fillId="0" borderId="1" xfId="0" applyNumberFormat="1" applyFont="1" applyBorder="1" applyAlignment="1">
      <alignment horizontal="left"/>
    </xf>
    <xf numFmtId="0" fontId="6" fillId="0" borderId="1" xfId="0" applyFont="1" applyBorder="1"/>
    <xf numFmtId="0" fontId="10" fillId="0" borderId="1" xfId="0" applyFont="1" applyBorder="1"/>
    <xf numFmtId="0" fontId="0" fillId="0" borderId="0" xfId="0" applyAlignment="1">
      <alignment horizontal="right"/>
    </xf>
    <xf numFmtId="0" fontId="4" fillId="5" borderId="0" xfId="0" applyFont="1" applyFill="1" applyAlignment="1">
      <alignment horizontal="right"/>
    </xf>
    <xf numFmtId="0" fontId="9" fillId="0" borderId="0" xfId="0" applyFont="1" applyAlignment="1">
      <alignment horizontal="right"/>
    </xf>
    <xf numFmtId="0" fontId="3" fillId="3" borderId="1" xfId="0" applyFont="1" applyFill="1" applyBorder="1" applyAlignment="1">
      <alignment horizontal="right" textRotation="90" wrapText="1"/>
    </xf>
    <xf numFmtId="0" fontId="0" fillId="0" borderId="1" xfId="0" applyFill="1" applyBorder="1" applyAlignment="1">
      <alignment horizontal="right"/>
    </xf>
    <xf numFmtId="0" fontId="0" fillId="3" borderId="1" xfId="0" applyFill="1" applyBorder="1" applyAlignment="1">
      <alignment textRotation="90"/>
    </xf>
    <xf numFmtId="0" fontId="0" fillId="0" borderId="1" xfId="0" applyFont="1" applyBorder="1"/>
    <xf numFmtId="0" fontId="0" fillId="0" borderId="8" xfId="0" applyFont="1" applyBorder="1"/>
    <xf numFmtId="0" fontId="0" fillId="0" borderId="9" xfId="0" applyFont="1" applyBorder="1"/>
    <xf numFmtId="0" fontId="0" fillId="0" borderId="10" xfId="0" applyFont="1" applyBorder="1"/>
    <xf numFmtId="0" fontId="0" fillId="0" borderId="11" xfId="0" applyFont="1" applyBorder="1"/>
    <xf numFmtId="0" fontId="0" fillId="0" borderId="0" xfId="0" applyFont="1" applyBorder="1"/>
    <xf numFmtId="0" fontId="0" fillId="0" borderId="12" xfId="0" applyFont="1" applyBorder="1"/>
    <xf numFmtId="165" fontId="0" fillId="0" borderId="0" xfId="0" applyNumberFormat="1" applyFont="1" applyBorder="1"/>
    <xf numFmtId="0" fontId="10" fillId="0" borderId="1" xfId="0" applyFont="1" applyBorder="1" applyAlignment="1">
      <alignment horizontal="right"/>
    </xf>
    <xf numFmtId="0" fontId="0" fillId="3" borderId="1" xfId="0" applyFont="1" applyFill="1" applyBorder="1"/>
    <xf numFmtId="0" fontId="0" fillId="0" borderId="0" xfId="0" applyFont="1" applyFill="1" applyBorder="1"/>
    <xf numFmtId="0" fontId="0" fillId="0" borderId="12" xfId="0" quotePrefix="1" applyFont="1" applyBorder="1"/>
    <xf numFmtId="0" fontId="0" fillId="3" borderId="1" xfId="0" applyFont="1" applyFill="1" applyBorder="1" applyAlignment="1">
      <alignment wrapText="1"/>
    </xf>
    <xf numFmtId="0" fontId="0" fillId="0" borderId="4" xfId="0" applyFont="1" applyFill="1" applyBorder="1"/>
    <xf numFmtId="0" fontId="10" fillId="0" borderId="4" xfId="0" applyFont="1" applyBorder="1"/>
    <xf numFmtId="0" fontId="0" fillId="0" borderId="15" xfId="0" applyFont="1" applyFill="1" applyBorder="1"/>
    <xf numFmtId="0" fontId="0" fillId="0" borderId="16" xfId="0" applyFont="1" applyFill="1" applyBorder="1"/>
    <xf numFmtId="0" fontId="0" fillId="0" borderId="16" xfId="0" applyFont="1" applyBorder="1"/>
    <xf numFmtId="1" fontId="10" fillId="0" borderId="1" xfId="0" applyNumberFormat="1" applyFont="1" applyBorder="1"/>
    <xf numFmtId="0" fontId="0" fillId="0" borderId="12" xfId="0" applyFont="1" applyFill="1" applyBorder="1"/>
    <xf numFmtId="0" fontId="0" fillId="0" borderId="15" xfId="0" applyFont="1" applyBorder="1"/>
    <xf numFmtId="0" fontId="11" fillId="0" borderId="8" xfId="0" applyFont="1" applyBorder="1" applyAlignment="1"/>
    <xf numFmtId="0" fontId="11" fillId="0" borderId="20" xfId="0" applyFont="1" applyBorder="1"/>
    <xf numFmtId="0" fontId="10" fillId="0" borderId="0" xfId="0" applyFont="1" applyBorder="1"/>
    <xf numFmtId="0" fontId="0" fillId="0" borderId="3" xfId="0" applyFont="1" applyBorder="1"/>
    <xf numFmtId="0" fontId="0" fillId="0" borderId="14" xfId="0" applyFont="1" applyBorder="1"/>
    <xf numFmtId="0" fontId="3" fillId="0" borderId="1" xfId="0" applyFont="1" applyBorder="1" applyAlignment="1">
      <alignment horizontal="center"/>
    </xf>
    <xf numFmtId="0" fontId="0" fillId="0" borderId="0" xfId="0"/>
    <xf numFmtId="0" fontId="0" fillId="0" borderId="1" xfId="0" applyFill="1" applyBorder="1"/>
    <xf numFmtId="49" fontId="0" fillId="0" borderId="1" xfId="0" applyNumberFormat="1" applyBorder="1" applyAlignment="1">
      <alignment horizontal="left"/>
    </xf>
    <xf numFmtId="0" fontId="0" fillId="0" borderId="1" xfId="0" applyBorder="1"/>
    <xf numFmtId="0" fontId="0" fillId="0" borderId="20" xfId="0" applyFont="1" applyBorder="1"/>
    <xf numFmtId="9" fontId="0" fillId="0" borderId="0" xfId="0" applyNumberFormat="1"/>
    <xf numFmtId="49" fontId="0" fillId="0" borderId="0" xfId="0" applyNumberFormat="1" applyAlignment="1">
      <alignment horizontal="right"/>
    </xf>
    <xf numFmtId="0" fontId="0" fillId="0" borderId="0" xfId="0" applyFill="1" applyAlignment="1"/>
    <xf numFmtId="0" fontId="0" fillId="3" borderId="1" xfId="0" applyFill="1" applyBorder="1" applyAlignment="1">
      <alignment horizontal="center" textRotation="90"/>
    </xf>
    <xf numFmtId="0" fontId="6" fillId="0" borderId="18" xfId="1" applyBorder="1"/>
    <xf numFmtId="0" fontId="6" fillId="0" borderId="16" xfId="1" applyBorder="1"/>
    <xf numFmtId="0" fontId="0" fillId="0" borderId="16" xfId="0" applyFill="1" applyBorder="1"/>
    <xf numFmtId="0" fontId="0" fillId="0" borderId="20" xfId="0" applyBorder="1"/>
    <xf numFmtId="0" fontId="2" fillId="0" borderId="5" xfId="0" applyFont="1" applyBorder="1"/>
    <xf numFmtId="0" fontId="2" fillId="0" borderId="6" xfId="0" applyFont="1" applyBorder="1"/>
    <xf numFmtId="0" fontId="2" fillId="0" borderId="7" xfId="0" applyFont="1" applyBorder="1"/>
    <xf numFmtId="0" fontId="1" fillId="0" borderId="0" xfId="0" applyFont="1"/>
    <xf numFmtId="0" fontId="0" fillId="0" borderId="13" xfId="0" applyBorder="1"/>
    <xf numFmtId="0" fontId="0" fillId="0" borderId="13" xfId="0" applyNumberFormat="1" applyBorder="1"/>
    <xf numFmtId="0" fontId="2" fillId="0" borderId="20" xfId="0" applyFont="1" applyBorder="1"/>
    <xf numFmtId="0" fontId="0" fillId="4" borderId="1" xfId="0" applyFill="1" applyBorder="1" applyAlignment="1">
      <alignment horizontal="right"/>
    </xf>
    <xf numFmtId="0" fontId="0" fillId="0" borderId="1" xfId="0" applyBorder="1" applyAlignment="1">
      <alignment horizontal="right" vertical="center"/>
    </xf>
    <xf numFmtId="166" fontId="0" fillId="0" borderId="1" xfId="0" applyNumberFormat="1" applyBorder="1" applyAlignment="1">
      <alignment horizontal="right" vertical="center"/>
    </xf>
    <xf numFmtId="0" fontId="10" fillId="0" borderId="1" xfId="0" applyNumberFormat="1" applyFont="1" applyBorder="1" applyAlignment="1">
      <alignment horizontal="right"/>
    </xf>
    <xf numFmtId="0" fontId="0" fillId="6" borderId="0" xfId="0" applyFill="1" applyAlignment="1"/>
    <xf numFmtId="0" fontId="0" fillId="8" borderId="5" xfId="0" applyFill="1" applyBorder="1" applyAlignment="1"/>
    <xf numFmtId="0" fontId="0" fillId="8" borderId="21" xfId="0" applyFill="1" applyBorder="1" applyAlignment="1"/>
    <xf numFmtId="0" fontId="0" fillId="8" borderId="6" xfId="0" applyFill="1" applyBorder="1" applyAlignment="1"/>
    <xf numFmtId="0" fontId="12" fillId="0" borderId="0" xfId="0" applyFont="1" applyAlignment="1">
      <alignment vertical="center" wrapText="1"/>
    </xf>
    <xf numFmtId="0" fontId="0" fillId="7" borderId="1" xfId="0" applyFill="1" applyBorder="1" applyAlignment="1">
      <alignment horizontal="left" vertical="center"/>
    </xf>
    <xf numFmtId="0" fontId="0" fillId="0" borderId="1" xfId="0" applyBorder="1" applyAlignment="1">
      <alignment vertical="center" wrapText="1"/>
    </xf>
    <xf numFmtId="0" fontId="0" fillId="0" borderId="14" xfId="0" applyBorder="1" applyAlignment="1">
      <alignment horizontal="center"/>
    </xf>
    <xf numFmtId="0" fontId="2" fillId="10" borderId="1" xfId="0" applyFont="1" applyFill="1" applyBorder="1" applyAlignment="1">
      <alignment horizontal="center"/>
    </xf>
    <xf numFmtId="0" fontId="0" fillId="0" borderId="2" xfId="0" applyFill="1" applyBorder="1" applyAlignment="1">
      <alignment horizontal="center"/>
    </xf>
    <xf numFmtId="0" fontId="0" fillId="0" borderId="18" xfId="0" applyFill="1" applyBorder="1" applyAlignment="1">
      <alignment horizontal="center"/>
    </xf>
    <xf numFmtId="0" fontId="0" fillId="0" borderId="16" xfId="0"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vertical="center"/>
    </xf>
    <xf numFmtId="0" fontId="0" fillId="0" borderId="11" xfId="0" applyFill="1" applyBorder="1" applyAlignment="1">
      <alignment horizontal="center"/>
    </xf>
    <xf numFmtId="0" fontId="0" fillId="0" borderId="0" xfId="0" applyFill="1" applyBorder="1" applyAlignment="1">
      <alignment horizontal="center"/>
    </xf>
    <xf numFmtId="0" fontId="0" fillId="0" borderId="12" xfId="0" applyFill="1" applyBorder="1" applyAlignment="1">
      <alignment horizontal="center"/>
    </xf>
    <xf numFmtId="0" fontId="0" fillId="0" borderId="3"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2" fillId="10" borderId="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5" xfId="0" applyFont="1" applyFill="1" applyBorder="1" applyAlignment="1">
      <alignment horizontal="center"/>
    </xf>
    <xf numFmtId="0" fontId="2" fillId="0" borderId="7" xfId="0" applyFont="1" applyFill="1" applyBorder="1" applyAlignment="1">
      <alignment horizontal="center"/>
    </xf>
    <xf numFmtId="0" fontId="2" fillId="0" borderId="5" xfId="0" applyFont="1" applyBorder="1" applyAlignment="1">
      <alignment horizontal="center"/>
    </xf>
    <xf numFmtId="0" fontId="2" fillId="0" borderId="7" xfId="0" applyFont="1" applyBorder="1" applyAlignment="1">
      <alignment horizontal="center"/>
    </xf>
    <xf numFmtId="0" fontId="0" fillId="0" borderId="0" xfId="0" applyFont="1" applyBorder="1" applyAlignment="1">
      <alignment horizontal="left"/>
    </xf>
    <xf numFmtId="0" fontId="2" fillId="0" borderId="6" xfId="0" applyFont="1" applyBorder="1" applyAlignment="1">
      <alignment horizontal="center"/>
    </xf>
    <xf numFmtId="0" fontId="2" fillId="0" borderId="20" xfId="0" applyFont="1" applyBorder="1"/>
  </cellXfs>
  <cellStyles count="2">
    <cellStyle name="Normal" xfId="0" builtinId="0"/>
    <cellStyle name="Normal 2" xfId="1"/>
  </cellStyles>
  <dxfs count="0"/>
  <tableStyles count="0" defaultTableStyle="TableStyleMedium9" defaultPivotStyle="PivotStyleLight16"/>
  <colors>
    <mruColors>
      <color rgb="FFFF3300"/>
      <color rgb="FF66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2</xdr:row>
      <xdr:rowOff>28575</xdr:rowOff>
    </xdr:from>
    <xdr:to>
      <xdr:col>2</xdr:col>
      <xdr:colOff>1076609</xdr:colOff>
      <xdr:row>4</xdr:row>
      <xdr:rowOff>13335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681" y="409575"/>
          <a:ext cx="1019459" cy="365760"/>
        </a:xfrm>
        <a:prstGeom prst="rect">
          <a:avLst/>
        </a:prstGeom>
      </xdr:spPr>
    </xdr:pic>
    <xdr:clientData/>
  </xdr:twoCellAnchor>
  <xdr:twoCellAnchor editAs="oneCell">
    <xdr:from>
      <xdr:col>2</xdr:col>
      <xdr:colOff>57150</xdr:colOff>
      <xdr:row>2</xdr:row>
      <xdr:rowOff>28575</xdr:rowOff>
    </xdr:from>
    <xdr:to>
      <xdr:col>2</xdr:col>
      <xdr:colOff>1076609</xdr:colOff>
      <xdr:row>4</xdr:row>
      <xdr:rowOff>13335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5825" y="409575"/>
          <a:ext cx="1019459" cy="3657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gupta/Google%20Drive/iz_all/salary/2013-14/Employee%20Salary_June20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Instructions"/>
      <sheetName val="Master"/>
      <sheetName val="YTD"/>
      <sheetName val="Apr2013"/>
      <sheetName val="May2013"/>
      <sheetName val="Jun2013"/>
      <sheetName val="SalarySlip"/>
      <sheetName val="Credit"/>
      <sheetName val="Tax Slab_2012"/>
      <sheetName val="PF Arrear"/>
      <sheetName val="Arrears"/>
      <sheetName val="Sheet2"/>
    </sheetNames>
    <sheetDataSet>
      <sheetData sheetId="0"/>
      <sheetData sheetId="1"/>
      <sheetData sheetId="2">
        <row r="6">
          <cell r="A6">
            <v>1011</v>
          </cell>
          <cell r="B6" t="str">
            <v>Vipul Gupta</v>
          </cell>
          <cell r="C6" t="str">
            <v>AGXPG5745P</v>
          </cell>
          <cell r="D6" t="str">
            <v>HR/GGN/33236/1</v>
          </cell>
          <cell r="E6" t="str">
            <v>Permanent</v>
          </cell>
          <cell r="F6">
            <v>40634</v>
          </cell>
          <cell r="G6" t="str">
            <v>M</v>
          </cell>
          <cell r="H6">
            <v>200000</v>
          </cell>
          <cell r="I6">
            <v>42000</v>
          </cell>
          <cell r="J6">
            <v>16800</v>
          </cell>
          <cell r="K6">
            <v>33129</v>
          </cell>
          <cell r="L6">
            <v>800</v>
          </cell>
          <cell r="M6">
            <v>200</v>
          </cell>
          <cell r="N6">
            <v>0</v>
          </cell>
          <cell r="P6">
            <v>0</v>
          </cell>
        </row>
        <row r="7">
          <cell r="A7">
            <v>1020</v>
          </cell>
          <cell r="B7" t="str">
            <v>Nadeem Ansari</v>
          </cell>
          <cell r="C7" t="str">
            <v>AHIPA8451A</v>
          </cell>
          <cell r="D7" t="str">
            <v>HR/GGN/33236/2</v>
          </cell>
          <cell r="E7" t="str">
            <v>Permanent</v>
          </cell>
          <cell r="F7">
            <v>40735</v>
          </cell>
          <cell r="G7" t="str">
            <v>M</v>
          </cell>
          <cell r="H7">
            <v>200000</v>
          </cell>
          <cell r="I7">
            <v>15152</v>
          </cell>
          <cell r="J7">
            <v>7576</v>
          </cell>
          <cell r="K7">
            <v>5488</v>
          </cell>
          <cell r="L7">
            <v>800</v>
          </cell>
          <cell r="M7">
            <v>200</v>
          </cell>
          <cell r="N7">
            <v>0</v>
          </cell>
          <cell r="O7">
            <v>0</v>
          </cell>
          <cell r="P7">
            <v>36364</v>
          </cell>
        </row>
        <row r="8">
          <cell r="A8">
            <v>1021</v>
          </cell>
          <cell r="B8" t="str">
            <v>Bhuvaneswari Gadasala</v>
          </cell>
          <cell r="C8" t="str">
            <v>AQOPG6776H</v>
          </cell>
          <cell r="D8" t="str">
            <v>HR/GGN/33236/3</v>
          </cell>
          <cell r="E8" t="str">
            <v>Permanent</v>
          </cell>
          <cell r="F8">
            <v>40350</v>
          </cell>
          <cell r="G8" t="str">
            <v>F</v>
          </cell>
          <cell r="H8">
            <v>200000</v>
          </cell>
          <cell r="I8">
            <v>24000</v>
          </cell>
          <cell r="J8">
            <v>9600</v>
          </cell>
          <cell r="K8">
            <v>93</v>
          </cell>
          <cell r="L8">
            <v>800</v>
          </cell>
          <cell r="M8">
            <v>200</v>
          </cell>
          <cell r="N8">
            <v>0</v>
          </cell>
          <cell r="O8">
            <v>0</v>
          </cell>
          <cell r="P8">
            <v>42000</v>
          </cell>
        </row>
        <row r="9">
          <cell r="A9">
            <v>1022</v>
          </cell>
          <cell r="B9" t="str">
            <v>Shahid Mohammad Rashid</v>
          </cell>
          <cell r="C9" t="str">
            <v>ALTPR6590G</v>
          </cell>
          <cell r="D9" t="str">
            <v>HR/GGN/33236/4</v>
          </cell>
          <cell r="E9" t="str">
            <v>Permanent</v>
          </cell>
          <cell r="F9">
            <v>40749</v>
          </cell>
          <cell r="G9" t="str">
            <v>M</v>
          </cell>
          <cell r="H9">
            <v>200000</v>
          </cell>
          <cell r="I9">
            <v>41667</v>
          </cell>
          <cell r="J9">
            <v>20833</v>
          </cell>
          <cell r="K9">
            <v>18535</v>
          </cell>
          <cell r="L9">
            <v>800</v>
          </cell>
          <cell r="M9">
            <v>200</v>
          </cell>
          <cell r="N9">
            <v>0</v>
          </cell>
          <cell r="O9">
            <v>0</v>
          </cell>
          <cell r="P9">
            <v>100000</v>
          </cell>
        </row>
        <row r="10">
          <cell r="A10">
            <v>1023</v>
          </cell>
          <cell r="B10" t="str">
            <v>Nutan Mehta</v>
          </cell>
          <cell r="C10" t="str">
            <v>BMUPM3741D</v>
          </cell>
          <cell r="D10" t="str">
            <v>HR/GGN/33236/5</v>
          </cell>
          <cell r="E10" t="str">
            <v>Permanent</v>
          </cell>
          <cell r="F10">
            <v>40751</v>
          </cell>
          <cell r="G10" t="str">
            <v>F</v>
          </cell>
          <cell r="H10">
            <v>200000</v>
          </cell>
          <cell r="I10">
            <v>12121</v>
          </cell>
          <cell r="J10">
            <v>6061</v>
          </cell>
          <cell r="K10">
            <v>3973</v>
          </cell>
          <cell r="L10">
            <v>800</v>
          </cell>
          <cell r="M10">
            <v>200</v>
          </cell>
          <cell r="N10">
            <v>0</v>
          </cell>
          <cell r="O10">
            <v>0</v>
          </cell>
          <cell r="P10">
            <v>29091</v>
          </cell>
        </row>
        <row r="11">
          <cell r="A11">
            <v>1024</v>
          </cell>
          <cell r="B11" t="str">
            <v>Shashank Khare</v>
          </cell>
          <cell r="C11" t="str">
            <v>BSXPK8976P</v>
          </cell>
          <cell r="D11" t="str">
            <v>HR/GGN/33236/6</v>
          </cell>
          <cell r="E11" t="str">
            <v>Permanent</v>
          </cell>
          <cell r="F11">
            <v>40798</v>
          </cell>
          <cell r="G11" t="str">
            <v>M</v>
          </cell>
          <cell r="H11">
            <v>200000</v>
          </cell>
          <cell r="I11">
            <v>15152</v>
          </cell>
          <cell r="J11">
            <v>7576</v>
          </cell>
          <cell r="K11">
            <v>5488</v>
          </cell>
          <cell r="L11">
            <v>800</v>
          </cell>
          <cell r="M11">
            <v>200</v>
          </cell>
          <cell r="N11">
            <v>0</v>
          </cell>
          <cell r="O11">
            <v>0</v>
          </cell>
          <cell r="P11">
            <v>36364</v>
          </cell>
        </row>
        <row r="12">
          <cell r="A12">
            <v>1028</v>
          </cell>
          <cell r="B12" t="str">
            <v>Harsh Deep Chaudhary</v>
          </cell>
          <cell r="C12" t="str">
            <v>AOIPC3765Q</v>
          </cell>
          <cell r="D12" t="str">
            <v>HR/GGN/33236/7</v>
          </cell>
          <cell r="E12" t="str">
            <v>Permanent</v>
          </cell>
          <cell r="F12">
            <v>40896</v>
          </cell>
          <cell r="G12" t="str">
            <v>M</v>
          </cell>
          <cell r="H12">
            <v>200000</v>
          </cell>
          <cell r="I12">
            <v>13636</v>
          </cell>
          <cell r="J12">
            <v>6818</v>
          </cell>
          <cell r="K12">
            <v>4731</v>
          </cell>
          <cell r="L12">
            <v>800</v>
          </cell>
          <cell r="M12">
            <v>200</v>
          </cell>
          <cell r="N12">
            <v>0</v>
          </cell>
          <cell r="O12">
            <v>0</v>
          </cell>
          <cell r="P12">
            <v>32727</v>
          </cell>
        </row>
        <row r="13">
          <cell r="A13">
            <v>1029</v>
          </cell>
          <cell r="B13" t="str">
            <v>Vivek Kumar</v>
          </cell>
          <cell r="C13" t="str">
            <v>CHFPK1908P</v>
          </cell>
          <cell r="D13" t="str">
            <v>HR/GGN/33236/8</v>
          </cell>
          <cell r="E13" t="str">
            <v>Permanent</v>
          </cell>
          <cell r="F13">
            <v>40904</v>
          </cell>
          <cell r="G13" t="str">
            <v>M</v>
          </cell>
          <cell r="H13">
            <v>200000</v>
          </cell>
          <cell r="I13">
            <v>11364</v>
          </cell>
          <cell r="J13">
            <v>5682</v>
          </cell>
          <cell r="K13">
            <v>3594</v>
          </cell>
          <cell r="L13">
            <v>800</v>
          </cell>
          <cell r="M13">
            <v>200</v>
          </cell>
          <cell r="N13">
            <v>0</v>
          </cell>
          <cell r="O13">
            <v>0</v>
          </cell>
          <cell r="P13">
            <v>27273</v>
          </cell>
        </row>
        <row r="14">
          <cell r="A14">
            <v>1030</v>
          </cell>
          <cell r="B14" t="str">
            <v>Sumant Kumar</v>
          </cell>
          <cell r="C14" t="str">
            <v>CIJPK2432B</v>
          </cell>
          <cell r="D14" t="str">
            <v>HR/GGN/33236/9</v>
          </cell>
          <cell r="E14" t="str">
            <v>Permanent</v>
          </cell>
          <cell r="F14">
            <v>40924</v>
          </cell>
          <cell r="G14" t="str">
            <v>M</v>
          </cell>
          <cell r="H14">
            <v>200000</v>
          </cell>
          <cell r="I14">
            <v>12121</v>
          </cell>
          <cell r="J14">
            <v>6061</v>
          </cell>
          <cell r="K14">
            <v>3973</v>
          </cell>
          <cell r="L14">
            <v>800</v>
          </cell>
          <cell r="M14">
            <v>200</v>
          </cell>
          <cell r="N14">
            <v>0</v>
          </cell>
          <cell r="O14">
            <v>0</v>
          </cell>
          <cell r="P14">
            <v>29091</v>
          </cell>
        </row>
        <row r="15">
          <cell r="A15">
            <v>1032</v>
          </cell>
          <cell r="B15" t="str">
            <v>Arun Sundar Rajasekaran</v>
          </cell>
          <cell r="C15" t="str">
            <v>ALSPR5683B</v>
          </cell>
          <cell r="D15" t="str">
            <v>HR/GGN/33236/10</v>
          </cell>
          <cell r="E15" t="str">
            <v>Permanent</v>
          </cell>
          <cell r="F15">
            <v>40952</v>
          </cell>
          <cell r="G15" t="str">
            <v>M</v>
          </cell>
          <cell r="H15">
            <v>200000</v>
          </cell>
          <cell r="I15">
            <v>37879</v>
          </cell>
          <cell r="J15">
            <v>18939</v>
          </cell>
          <cell r="K15">
            <v>16641</v>
          </cell>
          <cell r="L15">
            <v>800</v>
          </cell>
          <cell r="M15">
            <v>200</v>
          </cell>
          <cell r="N15">
            <v>0</v>
          </cell>
          <cell r="P15">
            <v>90909</v>
          </cell>
        </row>
        <row r="16">
          <cell r="A16">
            <v>1035</v>
          </cell>
          <cell r="B16" t="str">
            <v>Sreenivasulu Pinarouthu</v>
          </cell>
          <cell r="C16" t="str">
            <v>APNPP5777M</v>
          </cell>
          <cell r="D16" t="str">
            <v>HR/GGN/33236/21</v>
          </cell>
          <cell r="E16" t="str">
            <v>Permanent</v>
          </cell>
          <cell r="F16">
            <v>41079</v>
          </cell>
          <cell r="G16" t="str">
            <v>M</v>
          </cell>
          <cell r="H16">
            <v>200000</v>
          </cell>
          <cell r="I16">
            <v>27273</v>
          </cell>
          <cell r="J16">
            <v>13636</v>
          </cell>
          <cell r="K16">
            <v>11079</v>
          </cell>
          <cell r="L16">
            <v>800</v>
          </cell>
          <cell r="M16">
            <v>200</v>
          </cell>
          <cell r="N16">
            <v>0</v>
          </cell>
          <cell r="O16">
            <v>1250</v>
          </cell>
          <cell r="P16">
            <v>65455</v>
          </cell>
        </row>
        <row r="17">
          <cell r="A17">
            <v>1037</v>
          </cell>
          <cell r="B17" t="str">
            <v>Swati Soni</v>
          </cell>
          <cell r="C17" t="str">
            <v>AXXPS9502R</v>
          </cell>
          <cell r="D17" t="str">
            <v>HR/GGN/33236/11</v>
          </cell>
          <cell r="E17" t="str">
            <v>Permanent</v>
          </cell>
          <cell r="F17">
            <v>41162</v>
          </cell>
          <cell r="G17" t="str">
            <v>F</v>
          </cell>
          <cell r="H17">
            <v>200000</v>
          </cell>
          <cell r="I17">
            <v>20833</v>
          </cell>
          <cell r="J17">
            <v>10417</v>
          </cell>
          <cell r="K17">
            <v>12803</v>
          </cell>
          <cell r="L17">
            <v>800</v>
          </cell>
          <cell r="M17">
            <v>200</v>
          </cell>
          <cell r="N17">
            <v>0</v>
          </cell>
          <cell r="O17">
            <v>0</v>
          </cell>
          <cell r="P17">
            <v>0</v>
          </cell>
        </row>
        <row r="18">
          <cell r="A18">
            <v>1039</v>
          </cell>
          <cell r="B18" t="str">
            <v>Vishal Jain</v>
          </cell>
          <cell r="C18" t="str">
            <v>AKMPJ5195R</v>
          </cell>
          <cell r="D18" t="str">
            <v>HR/GGN/33236/12</v>
          </cell>
          <cell r="E18" t="str">
            <v>Permanent</v>
          </cell>
          <cell r="F18">
            <v>41232</v>
          </cell>
          <cell r="G18" t="str">
            <v>M</v>
          </cell>
          <cell r="H18">
            <v>200000</v>
          </cell>
          <cell r="I18">
            <v>9470</v>
          </cell>
          <cell r="J18">
            <v>4735</v>
          </cell>
          <cell r="K18">
            <v>2647</v>
          </cell>
          <cell r="L18">
            <v>800</v>
          </cell>
          <cell r="M18">
            <v>200</v>
          </cell>
          <cell r="N18">
            <v>0</v>
          </cell>
          <cell r="O18">
            <v>0</v>
          </cell>
          <cell r="P18">
            <v>22727</v>
          </cell>
        </row>
        <row r="19">
          <cell r="A19">
            <v>1040</v>
          </cell>
          <cell r="B19" t="str">
            <v>Pavan Agrawal</v>
          </cell>
          <cell r="C19" t="str">
            <v>AZMPA4373R</v>
          </cell>
          <cell r="D19" t="str">
            <v>HR/GGN/33236/13</v>
          </cell>
          <cell r="E19" t="str">
            <v>Permanent</v>
          </cell>
          <cell r="F19">
            <v>41214</v>
          </cell>
          <cell r="G19" t="str">
            <v>M</v>
          </cell>
          <cell r="H19">
            <v>200000</v>
          </cell>
          <cell r="I19">
            <v>5000</v>
          </cell>
          <cell r="J19">
            <v>0</v>
          </cell>
          <cell r="K19">
            <v>0</v>
          </cell>
          <cell r="L19">
            <v>0</v>
          </cell>
          <cell r="M19">
            <v>0</v>
          </cell>
          <cell r="N19">
            <v>0</v>
          </cell>
          <cell r="O19">
            <v>0</v>
          </cell>
          <cell r="P19">
            <v>0</v>
          </cell>
        </row>
        <row r="20">
          <cell r="A20">
            <v>1041</v>
          </cell>
          <cell r="B20" t="str">
            <v>Sumit Vasudev</v>
          </cell>
          <cell r="C20" t="str">
            <v>AIYPV4930G</v>
          </cell>
          <cell r="D20" t="str">
            <v>HR/GGN/33236/14</v>
          </cell>
          <cell r="E20" t="str">
            <v>Permanent</v>
          </cell>
          <cell r="F20">
            <v>41232</v>
          </cell>
          <cell r="G20" t="str">
            <v>M</v>
          </cell>
          <cell r="H20">
            <v>200000</v>
          </cell>
          <cell r="I20">
            <v>9470</v>
          </cell>
          <cell r="J20">
            <v>4735</v>
          </cell>
          <cell r="K20">
            <v>2647</v>
          </cell>
          <cell r="L20">
            <v>800</v>
          </cell>
          <cell r="M20">
            <v>200</v>
          </cell>
          <cell r="N20">
            <v>0</v>
          </cell>
          <cell r="O20">
            <v>0</v>
          </cell>
          <cell r="P20">
            <v>22727</v>
          </cell>
        </row>
        <row r="21">
          <cell r="A21">
            <v>1042</v>
          </cell>
          <cell r="B21" t="str">
            <v>Diwakar Singh</v>
          </cell>
          <cell r="C21" t="str">
            <v>CNXPS9338H</v>
          </cell>
          <cell r="D21" t="str">
            <v>HR/GGN/33236/15</v>
          </cell>
          <cell r="E21" t="str">
            <v>Permanent</v>
          </cell>
          <cell r="F21">
            <v>41232</v>
          </cell>
          <cell r="G21" t="str">
            <v>M</v>
          </cell>
          <cell r="H21">
            <v>200000</v>
          </cell>
          <cell r="I21">
            <v>9470</v>
          </cell>
          <cell r="J21">
            <v>4735</v>
          </cell>
          <cell r="K21">
            <v>2647</v>
          </cell>
          <cell r="L21">
            <v>800</v>
          </cell>
          <cell r="M21">
            <v>200</v>
          </cell>
          <cell r="N21">
            <v>0</v>
          </cell>
          <cell r="O21">
            <v>0</v>
          </cell>
          <cell r="P21">
            <v>22727</v>
          </cell>
        </row>
        <row r="22">
          <cell r="A22">
            <v>1048</v>
          </cell>
          <cell r="B22" t="str">
            <v>Shailaja Vadada</v>
          </cell>
          <cell r="C22" t="str">
            <v>AGAPV0943P</v>
          </cell>
          <cell r="D22" t="str">
            <v>HR/GGN/33236/16</v>
          </cell>
          <cell r="E22" t="str">
            <v>Permanent</v>
          </cell>
          <cell r="F22">
            <v>41240</v>
          </cell>
          <cell r="G22" t="str">
            <v>F</v>
          </cell>
          <cell r="H22">
            <v>200000</v>
          </cell>
          <cell r="I22">
            <v>13636</v>
          </cell>
          <cell r="J22">
            <v>6818</v>
          </cell>
          <cell r="K22">
            <v>4731</v>
          </cell>
          <cell r="L22">
            <v>800</v>
          </cell>
          <cell r="M22">
            <v>200</v>
          </cell>
          <cell r="N22">
            <v>0</v>
          </cell>
          <cell r="O22">
            <v>0</v>
          </cell>
          <cell r="P22">
            <v>32727</v>
          </cell>
        </row>
        <row r="23">
          <cell r="A23">
            <v>1049</v>
          </cell>
          <cell r="B23" t="str">
            <v>Upendra Venkata Vadaga</v>
          </cell>
          <cell r="C23" t="str">
            <v>AHIPV1114D</v>
          </cell>
          <cell r="D23" t="str">
            <v>HR/GGN/33236/17</v>
          </cell>
          <cell r="E23" t="str">
            <v>Permanent</v>
          </cell>
          <cell r="F23">
            <v>41289</v>
          </cell>
          <cell r="G23" t="str">
            <v>M</v>
          </cell>
          <cell r="H23">
            <v>200000</v>
          </cell>
          <cell r="I23">
            <v>28384</v>
          </cell>
          <cell r="J23">
            <v>14192</v>
          </cell>
          <cell r="K23">
            <v>3337</v>
          </cell>
          <cell r="L23">
            <v>800</v>
          </cell>
          <cell r="M23">
            <v>200</v>
          </cell>
          <cell r="N23">
            <v>0</v>
          </cell>
          <cell r="O23">
            <v>0</v>
          </cell>
          <cell r="P23">
            <v>144000</v>
          </cell>
        </row>
        <row r="24">
          <cell r="A24">
            <v>1050</v>
          </cell>
          <cell r="B24" t="str">
            <v>Satish Ram Gangadharan</v>
          </cell>
          <cell r="C24" t="str">
            <v>DDOPS9462L</v>
          </cell>
          <cell r="D24" t="str">
            <v>HR/GGN/33236/18</v>
          </cell>
          <cell r="E24" t="str">
            <v>Permanent</v>
          </cell>
          <cell r="F24">
            <v>41365</v>
          </cell>
          <cell r="G24" t="str">
            <v>M</v>
          </cell>
          <cell r="H24">
            <v>200000</v>
          </cell>
          <cell r="I24">
            <v>13636</v>
          </cell>
          <cell r="J24">
            <v>6818</v>
          </cell>
          <cell r="K24">
            <v>4731</v>
          </cell>
          <cell r="L24">
            <v>800</v>
          </cell>
          <cell r="M24">
            <v>200</v>
          </cell>
          <cell r="N24">
            <v>0</v>
          </cell>
          <cell r="P24">
            <v>32727</v>
          </cell>
        </row>
        <row r="25">
          <cell r="A25">
            <v>1051</v>
          </cell>
          <cell r="B25" t="str">
            <v>Neha Gupta</v>
          </cell>
          <cell r="C25" t="str">
            <v>ALNPG6673R</v>
          </cell>
          <cell r="D25" t="str">
            <v>HR/GGN/33236/19</v>
          </cell>
          <cell r="E25" t="str">
            <v>Permanent</v>
          </cell>
          <cell r="F25">
            <v>41373</v>
          </cell>
          <cell r="G25" t="str">
            <v>F</v>
          </cell>
          <cell r="H25">
            <v>200000</v>
          </cell>
          <cell r="I25">
            <v>21970</v>
          </cell>
          <cell r="J25">
            <v>10985</v>
          </cell>
          <cell r="K25">
            <v>8897</v>
          </cell>
          <cell r="L25">
            <v>800</v>
          </cell>
          <cell r="M25">
            <v>200</v>
          </cell>
          <cell r="N25">
            <v>0</v>
          </cell>
          <cell r="O25">
            <v>0</v>
          </cell>
          <cell r="P25">
            <v>52727</v>
          </cell>
        </row>
        <row r="26">
          <cell r="A26">
            <v>1052</v>
          </cell>
          <cell r="B26" t="str">
            <v>Suryakant Kadu</v>
          </cell>
          <cell r="C26" t="str">
            <v>ASSPK0014E</v>
          </cell>
          <cell r="D26" t="str">
            <v>HR/GGN/33236/20</v>
          </cell>
          <cell r="E26" t="str">
            <v>Permanent</v>
          </cell>
          <cell r="F26">
            <v>41374</v>
          </cell>
          <cell r="G26" t="str">
            <v>M</v>
          </cell>
          <cell r="H26">
            <v>200000</v>
          </cell>
          <cell r="I26">
            <v>9091</v>
          </cell>
          <cell r="J26">
            <v>4546</v>
          </cell>
          <cell r="K26">
            <v>4276</v>
          </cell>
          <cell r="L26">
            <v>800</v>
          </cell>
          <cell r="M26">
            <v>200</v>
          </cell>
          <cell r="N26">
            <v>0</v>
          </cell>
          <cell r="O26">
            <v>0</v>
          </cell>
          <cell r="P26">
            <v>0</v>
          </cell>
        </row>
        <row r="27">
          <cell r="A27">
            <v>1053</v>
          </cell>
          <cell r="B27" t="str">
            <v>Vinay Shukla</v>
          </cell>
          <cell r="C27" t="str">
            <v>CJJPS9031H</v>
          </cell>
          <cell r="D27" t="str">
            <v>HR/GGN/33236/22</v>
          </cell>
          <cell r="E27" t="str">
            <v>Permanent</v>
          </cell>
          <cell r="F27">
            <v>41386</v>
          </cell>
          <cell r="G27" t="str">
            <v>M</v>
          </cell>
          <cell r="H27">
            <v>200000</v>
          </cell>
          <cell r="I27">
            <v>17046</v>
          </cell>
          <cell r="J27">
            <v>8523</v>
          </cell>
          <cell r="K27">
            <v>6435</v>
          </cell>
          <cell r="L27">
            <v>800</v>
          </cell>
          <cell r="M27">
            <v>200</v>
          </cell>
          <cell r="N27">
            <v>0</v>
          </cell>
          <cell r="P27">
            <v>40909</v>
          </cell>
        </row>
        <row r="28">
          <cell r="A28">
            <v>1054</v>
          </cell>
          <cell r="B28" t="str">
            <v>Abdul Ameer Shaik</v>
          </cell>
          <cell r="C28" t="str">
            <v>AYRPS8315H</v>
          </cell>
          <cell r="D28" t="str">
            <v>HR/GGN/33236/24</v>
          </cell>
          <cell r="E28" t="str">
            <v>Permanent</v>
          </cell>
          <cell r="F28">
            <v>41407</v>
          </cell>
          <cell r="G28" t="str">
            <v>M</v>
          </cell>
          <cell r="H28">
            <v>200000</v>
          </cell>
          <cell r="I28">
            <v>34091</v>
          </cell>
          <cell r="J28">
            <v>17046</v>
          </cell>
          <cell r="K28">
            <v>14958</v>
          </cell>
          <cell r="L28">
            <v>800</v>
          </cell>
          <cell r="M28">
            <v>200</v>
          </cell>
          <cell r="P28">
            <v>81818</v>
          </cell>
        </row>
        <row r="34">
          <cell r="A34">
            <v>1060</v>
          </cell>
          <cell r="B34" t="str">
            <v>Akhil Gupta</v>
          </cell>
          <cell r="C34" t="str">
            <v>AZWPG0610M</v>
          </cell>
          <cell r="E34" t="str">
            <v>Permanent</v>
          </cell>
          <cell r="F34">
            <v>41365</v>
          </cell>
          <cell r="G34" t="str">
            <v>M</v>
          </cell>
          <cell r="H34">
            <v>200000</v>
          </cell>
          <cell r="I34">
            <v>9090</v>
          </cell>
          <cell r="J34">
            <v>4546</v>
          </cell>
          <cell r="K34">
            <v>5364</v>
          </cell>
          <cell r="L34">
            <v>800</v>
          </cell>
          <cell r="M34">
            <v>200</v>
          </cell>
        </row>
        <row r="35">
          <cell r="A35" t="str">
            <v>IZ001</v>
          </cell>
          <cell r="B35" t="str">
            <v>Arun Kumar</v>
          </cell>
          <cell r="C35" t="str">
            <v>DBZPK8362L</v>
          </cell>
          <cell r="E35" t="str">
            <v>Permanent</v>
          </cell>
          <cell r="F35">
            <v>41395</v>
          </cell>
          <cell r="G35" t="str">
            <v>M</v>
          </cell>
          <cell r="H35">
            <v>200000</v>
          </cell>
          <cell r="I35">
            <v>3000</v>
          </cell>
          <cell r="J35">
            <v>0</v>
          </cell>
          <cell r="K35">
            <v>2000</v>
          </cell>
          <cell r="L35">
            <v>1000</v>
          </cell>
        </row>
      </sheetData>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mailto:Cess@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1"/>
  <sheetViews>
    <sheetView workbookViewId="0"/>
  </sheetViews>
  <sheetFormatPr defaultColWidth="9.140625" defaultRowHeight="15" x14ac:dyDescent="0.25"/>
  <cols>
    <col min="1" max="1" width="12.140625" style="12" bestFit="1" customWidth="1"/>
    <col min="2" max="2" width="23.5703125" style="12" customWidth="1"/>
    <col min="3" max="3" width="33.85546875" style="12" customWidth="1"/>
    <col min="4" max="4" width="24.85546875" style="12" bestFit="1" customWidth="1"/>
    <col min="5" max="5" width="14.28515625" style="20" bestFit="1" customWidth="1"/>
    <col min="6" max="6" width="10.5703125" style="20" customWidth="1"/>
    <col min="7" max="7" width="26.28515625" style="12" customWidth="1"/>
    <col min="8" max="8" width="11" style="12" bestFit="1" customWidth="1"/>
    <col min="9" max="9" width="32.28515625" style="12" customWidth="1"/>
    <col min="10" max="10" width="20.5703125" style="33" customWidth="1"/>
    <col min="11" max="11" width="12.7109375" style="86" bestFit="1" customWidth="1"/>
    <col min="12" max="12" width="12.7109375" style="12" customWidth="1"/>
    <col min="13" max="13" width="11.85546875" style="12" customWidth="1"/>
    <col min="14" max="14" width="10.5703125" style="12" bestFit="1" customWidth="1"/>
    <col min="15" max="16" width="9.140625" style="12"/>
    <col min="17" max="17" width="13.140625" style="12" customWidth="1"/>
    <col min="18" max="16384" width="9.140625" style="12"/>
  </cols>
  <sheetData>
    <row r="1" spans="1:14" ht="15.75" x14ac:dyDescent="0.25">
      <c r="A1" s="19" t="s">
        <v>151</v>
      </c>
      <c r="B1" s="108" t="s">
        <v>138</v>
      </c>
      <c r="C1" s="108" t="s">
        <v>139</v>
      </c>
      <c r="D1" s="108" t="s">
        <v>140</v>
      </c>
      <c r="E1" s="108" t="s">
        <v>141</v>
      </c>
      <c r="F1" s="108" t="s">
        <v>142</v>
      </c>
      <c r="G1" s="108" t="s">
        <v>143</v>
      </c>
      <c r="H1" s="108" t="s">
        <v>144</v>
      </c>
      <c r="I1" s="108" t="s">
        <v>145</v>
      </c>
      <c r="J1" s="108" t="s">
        <v>146</v>
      </c>
      <c r="K1" s="108" t="s">
        <v>147</v>
      </c>
      <c r="L1" s="108" t="s">
        <v>148</v>
      </c>
      <c r="M1" s="108" t="s">
        <v>149</v>
      </c>
      <c r="N1" s="108" t="s">
        <v>150</v>
      </c>
    </row>
    <row r="2" spans="1:14" hidden="1" x14ac:dyDescent="0.25">
      <c r="A2" s="18">
        <v>1011</v>
      </c>
      <c r="B2" s="18" t="s">
        <v>136</v>
      </c>
      <c r="C2" s="18" t="s">
        <v>5</v>
      </c>
      <c r="D2" s="83" t="s">
        <v>79</v>
      </c>
      <c r="E2" s="4">
        <v>40349</v>
      </c>
      <c r="F2" s="4"/>
      <c r="G2" s="18" t="s">
        <v>136</v>
      </c>
      <c r="H2" s="18"/>
      <c r="I2" s="18"/>
      <c r="J2" s="82" t="s">
        <v>20</v>
      </c>
      <c r="K2" s="24"/>
      <c r="L2" s="18">
        <v>0</v>
      </c>
      <c r="M2" s="18"/>
      <c r="N2" s="18"/>
    </row>
    <row r="3" spans="1:14" hidden="1" x14ac:dyDescent="0.25">
      <c r="A3" s="18">
        <v>1012</v>
      </c>
      <c r="B3" s="18" t="s">
        <v>1</v>
      </c>
      <c r="C3" s="18" t="s">
        <v>5</v>
      </c>
      <c r="D3" s="83" t="s">
        <v>75</v>
      </c>
      <c r="E3" s="4"/>
      <c r="F3" s="4"/>
      <c r="G3" s="18"/>
      <c r="H3" s="18"/>
      <c r="I3" s="18"/>
      <c r="J3" s="82"/>
      <c r="K3" s="24"/>
      <c r="L3" s="18"/>
      <c r="M3" s="18"/>
      <c r="N3" s="18"/>
    </row>
    <row r="4" spans="1:14" hidden="1" x14ac:dyDescent="0.25">
      <c r="A4" s="18">
        <v>1013</v>
      </c>
      <c r="B4" s="18" t="s">
        <v>2</v>
      </c>
      <c r="C4" s="18" t="s">
        <v>5</v>
      </c>
      <c r="D4" s="83" t="s">
        <v>76</v>
      </c>
      <c r="E4" s="4">
        <v>40344</v>
      </c>
      <c r="F4" s="4"/>
      <c r="G4" s="18"/>
      <c r="H4" s="18"/>
      <c r="I4" s="18"/>
      <c r="J4" s="82"/>
      <c r="K4" s="24"/>
      <c r="L4" s="18"/>
      <c r="M4" s="18"/>
      <c r="N4" s="18"/>
    </row>
    <row r="5" spans="1:14" hidden="1" x14ac:dyDescent="0.25">
      <c r="A5" s="18">
        <v>1014</v>
      </c>
      <c r="B5" s="18" t="s">
        <v>3</v>
      </c>
      <c r="C5" s="18" t="s">
        <v>5</v>
      </c>
      <c r="D5" s="83" t="s">
        <v>77</v>
      </c>
      <c r="E5" s="4">
        <v>40344</v>
      </c>
      <c r="F5" s="4"/>
      <c r="G5" s="18"/>
      <c r="H5" s="18"/>
      <c r="I5" s="18"/>
      <c r="J5" s="82"/>
      <c r="K5" s="24"/>
      <c r="L5" s="18"/>
      <c r="M5" s="18"/>
      <c r="N5" s="18"/>
    </row>
    <row r="6" spans="1:14" hidden="1" x14ac:dyDescent="0.25">
      <c r="A6" s="18">
        <v>1016</v>
      </c>
      <c r="B6" s="18" t="s">
        <v>4</v>
      </c>
      <c r="C6" s="18" t="s">
        <v>6</v>
      </c>
      <c r="D6" s="83" t="s">
        <v>78</v>
      </c>
      <c r="E6" s="4"/>
      <c r="F6" s="4"/>
      <c r="G6" s="18"/>
      <c r="H6" s="18"/>
      <c r="I6" s="18"/>
      <c r="J6" s="82"/>
      <c r="K6" s="24"/>
      <c r="L6" s="18"/>
      <c r="M6" s="18"/>
      <c r="N6" s="18" t="s">
        <v>7</v>
      </c>
    </row>
    <row r="7" spans="1:14" x14ac:dyDescent="0.25">
      <c r="A7" s="23">
        <v>1011</v>
      </c>
      <c r="B7" s="18" t="s">
        <v>136</v>
      </c>
      <c r="C7" s="18" t="s">
        <v>137</v>
      </c>
      <c r="D7" s="83" t="s">
        <v>79</v>
      </c>
      <c r="E7" s="4">
        <v>40634</v>
      </c>
      <c r="F7" s="4">
        <v>29545</v>
      </c>
      <c r="G7" s="18" t="s">
        <v>136</v>
      </c>
      <c r="H7" s="18" t="s">
        <v>69</v>
      </c>
      <c r="I7" s="18" t="s">
        <v>81</v>
      </c>
      <c r="J7" s="44" t="s">
        <v>83</v>
      </c>
      <c r="K7" s="24" t="s">
        <v>82</v>
      </c>
      <c r="L7" s="18"/>
      <c r="M7" s="18"/>
      <c r="N7" s="18"/>
    </row>
    <row r="9" spans="1:14" ht="15.75" x14ac:dyDescent="0.25">
      <c r="B9" s="108" t="s">
        <v>138</v>
      </c>
    </row>
    <row r="10" spans="1:14" ht="15.75" x14ac:dyDescent="0.25">
      <c r="B10" s="108" t="s">
        <v>139</v>
      </c>
    </row>
    <row r="11" spans="1:14" ht="15.75" x14ac:dyDescent="0.25">
      <c r="B11" s="108" t="s">
        <v>140</v>
      </c>
    </row>
    <row r="12" spans="1:14" ht="15.75" x14ac:dyDescent="0.25">
      <c r="B12" s="108" t="s">
        <v>141</v>
      </c>
    </row>
    <row r="13" spans="1:14" ht="15.75" x14ac:dyDescent="0.25">
      <c r="B13" s="108" t="s">
        <v>142</v>
      </c>
    </row>
    <row r="14" spans="1:14" ht="15.75" x14ac:dyDescent="0.25">
      <c r="B14" s="108" t="s">
        <v>143</v>
      </c>
    </row>
    <row r="15" spans="1:14" ht="15.75" x14ac:dyDescent="0.25">
      <c r="B15" s="108" t="s">
        <v>144</v>
      </c>
    </row>
    <row r="16" spans="1:14" ht="15.75" x14ac:dyDescent="0.25">
      <c r="B16" s="108" t="s">
        <v>145</v>
      </c>
    </row>
    <row r="17" spans="2:2" ht="15.75" x14ac:dyDescent="0.25">
      <c r="B17" s="108" t="s">
        <v>146</v>
      </c>
    </row>
    <row r="18" spans="2:2" ht="15.75" x14ac:dyDescent="0.25">
      <c r="B18" s="108" t="s">
        <v>147</v>
      </c>
    </row>
    <row r="19" spans="2:2" ht="15.75" x14ac:dyDescent="0.25">
      <c r="B19" s="108" t="s">
        <v>148</v>
      </c>
    </row>
    <row r="20" spans="2:2" ht="15.75" x14ac:dyDescent="0.25">
      <c r="B20" s="108" t="s">
        <v>149</v>
      </c>
    </row>
    <row r="21" spans="2:2" ht="15.75" x14ac:dyDescent="0.25">
      <c r="B21" s="108" t="s">
        <v>150</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25"/>
  <sheetViews>
    <sheetView topLeftCell="A7" workbookViewId="0">
      <selection activeCell="C29" sqref="C29"/>
    </sheetView>
  </sheetViews>
  <sheetFormatPr defaultRowHeight="15" x14ac:dyDescent="0.25"/>
  <sheetData>
    <row r="1" spans="1:18" x14ac:dyDescent="0.25">
      <c r="A1" s="111"/>
      <c r="B1" s="111"/>
      <c r="C1" s="111"/>
      <c r="D1" s="111"/>
      <c r="E1" s="111"/>
      <c r="F1" s="111"/>
      <c r="G1" s="111"/>
      <c r="H1" s="111"/>
      <c r="I1" s="111"/>
      <c r="J1" s="111"/>
      <c r="K1" s="111"/>
      <c r="L1" s="111"/>
      <c r="M1" s="111"/>
      <c r="N1" s="111"/>
      <c r="O1" s="111"/>
      <c r="P1" s="111"/>
      <c r="Q1" s="111"/>
      <c r="R1" s="111"/>
    </row>
    <row r="2" spans="1:18" x14ac:dyDescent="0.25">
      <c r="A2" s="112" t="s">
        <v>109</v>
      </c>
      <c r="B2" s="112"/>
      <c r="C2" s="112"/>
      <c r="D2" s="112"/>
      <c r="E2" s="112"/>
      <c r="F2" s="112"/>
      <c r="G2" s="112"/>
      <c r="H2" s="112"/>
      <c r="I2" s="112"/>
      <c r="J2" s="112"/>
      <c r="K2" s="112"/>
      <c r="L2" s="112"/>
      <c r="M2" s="112"/>
      <c r="N2" s="112"/>
      <c r="O2" s="112"/>
      <c r="P2" s="112"/>
      <c r="Q2" s="112"/>
      <c r="R2" s="112"/>
    </row>
    <row r="3" spans="1:18" x14ac:dyDescent="0.25">
      <c r="A3" s="113"/>
      <c r="B3" s="114"/>
      <c r="C3" s="114"/>
      <c r="D3" s="114"/>
      <c r="E3" s="114"/>
      <c r="F3" s="114"/>
      <c r="G3" s="114"/>
      <c r="H3" s="114"/>
      <c r="I3" s="114"/>
      <c r="J3" s="114"/>
      <c r="K3" s="114"/>
      <c r="L3" s="114"/>
      <c r="M3" s="114"/>
      <c r="N3" s="114"/>
      <c r="O3" s="114"/>
      <c r="P3" s="114"/>
      <c r="Q3" s="114"/>
      <c r="R3" s="115"/>
    </row>
    <row r="4" spans="1:18" x14ac:dyDescent="0.25">
      <c r="A4" s="25" t="s">
        <v>84</v>
      </c>
      <c r="B4" s="116" t="s">
        <v>86</v>
      </c>
      <c r="C4" s="116"/>
      <c r="D4" s="116"/>
      <c r="E4" s="116"/>
      <c r="F4" s="116"/>
      <c r="G4" s="116"/>
      <c r="H4" s="116"/>
      <c r="I4" s="116"/>
      <c r="J4" s="116"/>
      <c r="K4" s="116"/>
      <c r="L4" s="116"/>
      <c r="M4" s="116"/>
      <c r="N4" s="116"/>
      <c r="O4" s="116"/>
      <c r="P4" s="116"/>
      <c r="Q4" s="116"/>
      <c r="R4" s="116"/>
    </row>
    <row r="5" spans="1:18" x14ac:dyDescent="0.25">
      <c r="A5" s="109" t="s">
        <v>85</v>
      </c>
      <c r="B5" s="117" t="s">
        <v>88</v>
      </c>
      <c r="C5" s="117"/>
      <c r="D5" s="117"/>
      <c r="E5" s="117"/>
      <c r="F5" s="117"/>
      <c r="G5" s="117"/>
      <c r="H5" s="117"/>
      <c r="I5" s="117"/>
      <c r="J5" s="117"/>
      <c r="K5" s="117"/>
      <c r="L5" s="117"/>
      <c r="M5" s="117"/>
      <c r="N5" s="117"/>
      <c r="O5" s="117"/>
      <c r="P5" s="117"/>
      <c r="Q5" s="117"/>
      <c r="R5" s="117"/>
    </row>
    <row r="6" spans="1:18" x14ac:dyDescent="0.25">
      <c r="A6" s="109"/>
      <c r="B6" s="117"/>
      <c r="C6" s="117"/>
      <c r="D6" s="117"/>
      <c r="E6" s="117"/>
      <c r="F6" s="117"/>
      <c r="G6" s="117"/>
      <c r="H6" s="117"/>
      <c r="I6" s="117"/>
      <c r="J6" s="117"/>
      <c r="K6" s="117"/>
      <c r="L6" s="117"/>
      <c r="M6" s="117"/>
      <c r="N6" s="117"/>
      <c r="O6" s="117"/>
      <c r="P6" s="117"/>
      <c r="Q6" s="117"/>
      <c r="R6" s="117"/>
    </row>
    <row r="7" spans="1:18" x14ac:dyDescent="0.25">
      <c r="A7" s="25" t="s">
        <v>87</v>
      </c>
      <c r="B7" s="116" t="s">
        <v>92</v>
      </c>
      <c r="C7" s="116"/>
      <c r="D7" s="116"/>
      <c r="E7" s="116"/>
      <c r="F7" s="116"/>
      <c r="G7" s="116"/>
      <c r="H7" s="116"/>
      <c r="I7" s="116"/>
      <c r="J7" s="116"/>
      <c r="K7" s="116"/>
      <c r="L7" s="116"/>
      <c r="M7" s="116"/>
      <c r="N7" s="116"/>
      <c r="O7" s="116"/>
      <c r="P7" s="116"/>
      <c r="Q7" s="116"/>
      <c r="R7" s="116"/>
    </row>
    <row r="8" spans="1:18" x14ac:dyDescent="0.25">
      <c r="A8" s="25" t="s">
        <v>89</v>
      </c>
      <c r="B8" s="118" t="s">
        <v>93</v>
      </c>
      <c r="C8" s="118"/>
      <c r="D8" s="118"/>
      <c r="E8" s="118"/>
      <c r="F8" s="118"/>
      <c r="G8" s="118"/>
      <c r="H8" s="118"/>
      <c r="I8" s="118"/>
      <c r="J8" s="118"/>
      <c r="K8" s="118"/>
      <c r="L8" s="118"/>
      <c r="M8" s="118"/>
      <c r="N8" s="118"/>
      <c r="O8" s="118"/>
      <c r="P8" s="118"/>
      <c r="Q8" s="118"/>
      <c r="R8" s="118"/>
    </row>
    <row r="9" spans="1:18" x14ac:dyDescent="0.25">
      <c r="A9" s="25" t="s">
        <v>89</v>
      </c>
      <c r="B9" s="118" t="s">
        <v>90</v>
      </c>
      <c r="C9" s="118"/>
      <c r="D9" s="118"/>
      <c r="E9" s="118"/>
      <c r="F9" s="118"/>
      <c r="G9" s="118"/>
      <c r="H9" s="118"/>
      <c r="I9" s="118"/>
      <c r="J9" s="118"/>
      <c r="K9" s="118"/>
      <c r="L9" s="118"/>
      <c r="M9" s="118"/>
      <c r="N9" s="118"/>
      <c r="O9" s="118"/>
      <c r="P9" s="118"/>
      <c r="Q9" s="118"/>
      <c r="R9" s="118"/>
    </row>
    <row r="10" spans="1:18" x14ac:dyDescent="0.25">
      <c r="A10" s="109" t="s">
        <v>91</v>
      </c>
      <c r="B10" s="110" t="s">
        <v>101</v>
      </c>
      <c r="C10" s="110"/>
      <c r="D10" s="110"/>
      <c r="E10" s="110"/>
      <c r="F10" s="110"/>
      <c r="G10" s="110"/>
      <c r="H10" s="110"/>
      <c r="I10" s="110"/>
      <c r="J10" s="110"/>
      <c r="K10" s="110"/>
      <c r="L10" s="110"/>
      <c r="M10" s="110"/>
      <c r="N10" s="110"/>
      <c r="O10" s="110"/>
      <c r="P10" s="110"/>
      <c r="Q10" s="110"/>
      <c r="R10" s="110"/>
    </row>
    <row r="11" spans="1:18" x14ac:dyDescent="0.25">
      <c r="A11" s="109"/>
      <c r="B11" s="110"/>
      <c r="C11" s="110"/>
      <c r="D11" s="110"/>
      <c r="E11" s="110"/>
      <c r="F11" s="110"/>
      <c r="G11" s="110"/>
      <c r="H11" s="110"/>
      <c r="I11" s="110"/>
      <c r="J11" s="110"/>
      <c r="K11" s="110"/>
      <c r="L11" s="110"/>
      <c r="M11" s="110"/>
      <c r="N11" s="110"/>
      <c r="O11" s="110"/>
      <c r="P11" s="110"/>
      <c r="Q11" s="110"/>
      <c r="R11" s="110"/>
    </row>
    <row r="12" spans="1:18" x14ac:dyDescent="0.25">
      <c r="A12" s="109"/>
      <c r="B12" s="110"/>
      <c r="C12" s="110"/>
      <c r="D12" s="110"/>
      <c r="E12" s="110"/>
      <c r="F12" s="110"/>
      <c r="G12" s="110"/>
      <c r="H12" s="110"/>
      <c r="I12" s="110"/>
      <c r="J12" s="110"/>
      <c r="K12" s="110"/>
      <c r="L12" s="110"/>
      <c r="M12" s="110"/>
      <c r="N12" s="110"/>
      <c r="O12" s="110"/>
      <c r="P12" s="110"/>
      <c r="Q12" s="110"/>
      <c r="R12" s="110"/>
    </row>
    <row r="13" spans="1:18" x14ac:dyDescent="0.25">
      <c r="A13" s="26" t="s">
        <v>94</v>
      </c>
      <c r="B13" s="110" t="s">
        <v>96</v>
      </c>
      <c r="C13" s="110"/>
      <c r="D13" s="110"/>
      <c r="E13" s="110"/>
      <c r="F13" s="110"/>
      <c r="G13" s="110"/>
      <c r="H13" s="110"/>
      <c r="I13" s="110"/>
      <c r="J13" s="110"/>
      <c r="K13" s="110"/>
      <c r="L13" s="110"/>
      <c r="M13" s="110"/>
      <c r="N13" s="110"/>
      <c r="O13" s="110"/>
      <c r="P13" s="110"/>
      <c r="Q13" s="110"/>
      <c r="R13" s="110"/>
    </row>
    <row r="14" spans="1:18" x14ac:dyDescent="0.25">
      <c r="A14" s="27" t="s">
        <v>95</v>
      </c>
      <c r="B14" s="110" t="s">
        <v>98</v>
      </c>
      <c r="C14" s="110"/>
      <c r="D14" s="110"/>
      <c r="E14" s="110"/>
      <c r="F14" s="110"/>
      <c r="G14" s="110"/>
      <c r="H14" s="110"/>
      <c r="I14" s="110"/>
      <c r="J14" s="110"/>
      <c r="K14" s="110"/>
      <c r="L14" s="110"/>
      <c r="M14" s="110"/>
      <c r="N14" s="110"/>
      <c r="O14" s="110"/>
      <c r="P14" s="110"/>
      <c r="Q14" s="110"/>
      <c r="R14" s="110"/>
    </row>
    <row r="15" spans="1:18" x14ac:dyDescent="0.25">
      <c r="A15" s="109" t="s">
        <v>97</v>
      </c>
      <c r="B15" s="110" t="s">
        <v>99</v>
      </c>
      <c r="C15" s="110"/>
      <c r="D15" s="110"/>
      <c r="E15" s="110"/>
      <c r="F15" s="110"/>
      <c r="G15" s="110"/>
      <c r="H15" s="110"/>
      <c r="I15" s="110"/>
      <c r="J15" s="110"/>
      <c r="K15" s="110"/>
      <c r="L15" s="110"/>
      <c r="M15" s="110"/>
      <c r="N15" s="110"/>
      <c r="O15" s="110"/>
      <c r="P15" s="110"/>
      <c r="Q15" s="110"/>
      <c r="R15" s="110"/>
    </row>
    <row r="16" spans="1:18" x14ac:dyDescent="0.25">
      <c r="A16" s="109"/>
      <c r="B16" s="110"/>
      <c r="C16" s="110"/>
      <c r="D16" s="110"/>
      <c r="E16" s="110"/>
      <c r="F16" s="110"/>
      <c r="G16" s="110"/>
      <c r="H16" s="110"/>
      <c r="I16" s="110"/>
      <c r="J16" s="110"/>
      <c r="K16" s="110"/>
      <c r="L16" s="110"/>
      <c r="M16" s="110"/>
      <c r="N16" s="110"/>
      <c r="O16" s="110"/>
      <c r="P16" s="110"/>
      <c r="Q16" s="110"/>
      <c r="R16" s="110"/>
    </row>
    <row r="17" spans="1:18" x14ac:dyDescent="0.25">
      <c r="A17" s="25" t="s">
        <v>100</v>
      </c>
      <c r="B17" s="118" t="s">
        <v>108</v>
      </c>
      <c r="C17" s="118"/>
      <c r="D17" s="118"/>
      <c r="E17" s="118"/>
      <c r="F17" s="118"/>
      <c r="G17" s="118"/>
      <c r="H17" s="118"/>
      <c r="I17" s="118"/>
      <c r="J17" s="118"/>
      <c r="K17" s="118"/>
      <c r="L17" s="118"/>
      <c r="M17" s="118"/>
      <c r="N17" s="118"/>
      <c r="O17" s="118"/>
      <c r="P17" s="118"/>
      <c r="Q17" s="118"/>
      <c r="R17" s="118"/>
    </row>
    <row r="18" spans="1:18" x14ac:dyDescent="0.25">
      <c r="A18" s="119"/>
      <c r="B18" s="120"/>
      <c r="C18" s="120"/>
      <c r="D18" s="120"/>
      <c r="E18" s="120"/>
      <c r="F18" s="120"/>
      <c r="G18" s="120"/>
      <c r="H18" s="120"/>
      <c r="I18" s="120"/>
      <c r="J18" s="120"/>
      <c r="K18" s="120"/>
      <c r="L18" s="120"/>
      <c r="M18" s="120"/>
      <c r="N18" s="120"/>
      <c r="O18" s="120"/>
      <c r="P18" s="120"/>
      <c r="Q18" s="120"/>
      <c r="R18" s="121"/>
    </row>
    <row r="19" spans="1:18" x14ac:dyDescent="0.25">
      <c r="A19" s="122"/>
      <c r="B19" s="123"/>
      <c r="C19" s="123"/>
      <c r="D19" s="123"/>
      <c r="E19" s="123"/>
      <c r="F19" s="123"/>
      <c r="G19" s="123"/>
      <c r="H19" s="123"/>
      <c r="I19" s="123"/>
      <c r="J19" s="123"/>
      <c r="K19" s="123"/>
      <c r="L19" s="123"/>
      <c r="M19" s="123"/>
      <c r="N19" s="123"/>
      <c r="O19" s="123"/>
      <c r="P19" s="123"/>
      <c r="Q19" s="123"/>
      <c r="R19" s="124"/>
    </row>
    <row r="20" spans="1:18" x14ac:dyDescent="0.25">
      <c r="A20" s="125" t="s">
        <v>110</v>
      </c>
      <c r="B20" s="125"/>
      <c r="C20" s="125"/>
      <c r="D20" s="125"/>
      <c r="E20" s="125"/>
      <c r="F20" s="125"/>
      <c r="G20" s="125"/>
      <c r="H20" s="125"/>
      <c r="I20" s="125"/>
      <c r="J20" s="125"/>
      <c r="K20" s="125"/>
      <c r="L20" s="125"/>
      <c r="M20" s="125"/>
      <c r="N20" s="125"/>
      <c r="O20" s="125"/>
      <c r="P20" s="125"/>
      <c r="Q20" s="125"/>
      <c r="R20" s="125"/>
    </row>
    <row r="21" spans="1:18" x14ac:dyDescent="0.25">
      <c r="A21" s="126"/>
      <c r="B21" s="126"/>
      <c r="C21" s="126"/>
      <c r="D21" s="126"/>
      <c r="E21" s="126"/>
      <c r="F21" s="126"/>
      <c r="G21" s="126"/>
      <c r="H21" s="126"/>
      <c r="I21" s="126"/>
      <c r="J21" s="126"/>
      <c r="K21" s="126"/>
      <c r="L21" s="126"/>
      <c r="M21" s="126"/>
      <c r="N21" s="126"/>
      <c r="O21" s="126"/>
      <c r="P21" s="126"/>
      <c r="Q21" s="126"/>
      <c r="R21" s="127"/>
    </row>
    <row r="22" spans="1:18" x14ac:dyDescent="0.25">
      <c r="A22" s="25" t="s">
        <v>103</v>
      </c>
      <c r="B22" s="118" t="s">
        <v>102</v>
      </c>
      <c r="C22" s="118"/>
      <c r="D22" s="118"/>
      <c r="E22" s="118"/>
      <c r="F22" s="118"/>
      <c r="G22" s="118"/>
      <c r="H22" s="118"/>
      <c r="I22" s="118"/>
      <c r="J22" s="118"/>
      <c r="K22" s="118"/>
      <c r="L22" s="118"/>
      <c r="M22" s="118"/>
      <c r="N22" s="118"/>
      <c r="O22" s="118"/>
      <c r="P22" s="118"/>
      <c r="Q22" s="118"/>
      <c r="R22" s="118"/>
    </row>
    <row r="23" spans="1:18" x14ac:dyDescent="0.25">
      <c r="A23" s="25" t="s">
        <v>104</v>
      </c>
      <c r="B23" s="118" t="s">
        <v>105</v>
      </c>
      <c r="C23" s="118"/>
      <c r="D23" s="118"/>
      <c r="E23" s="118"/>
      <c r="F23" s="118"/>
      <c r="G23" s="118"/>
      <c r="H23" s="118"/>
      <c r="I23" s="118"/>
      <c r="J23" s="118"/>
      <c r="K23" s="118"/>
      <c r="L23" s="118"/>
      <c r="M23" s="118"/>
      <c r="N23" s="118"/>
      <c r="O23" s="118"/>
      <c r="P23" s="118"/>
      <c r="Q23" s="118"/>
      <c r="R23" s="118"/>
    </row>
    <row r="24" spans="1:18" x14ac:dyDescent="0.25">
      <c r="A24" s="109" t="s">
        <v>106</v>
      </c>
      <c r="B24" s="110" t="s">
        <v>107</v>
      </c>
      <c r="C24" s="110"/>
      <c r="D24" s="110"/>
      <c r="E24" s="110"/>
      <c r="F24" s="110"/>
      <c r="G24" s="110"/>
      <c r="H24" s="110"/>
      <c r="I24" s="110"/>
      <c r="J24" s="110"/>
      <c r="K24" s="110"/>
      <c r="L24" s="110"/>
      <c r="M24" s="110"/>
      <c r="N24" s="110"/>
      <c r="O24" s="110"/>
      <c r="P24" s="110"/>
      <c r="Q24" s="110"/>
      <c r="R24" s="110"/>
    </row>
    <row r="25" spans="1:18" x14ac:dyDescent="0.25">
      <c r="A25" s="109"/>
      <c r="B25" s="110"/>
      <c r="C25" s="110"/>
      <c r="D25" s="110"/>
      <c r="E25" s="110"/>
      <c r="F25" s="110"/>
      <c r="G25" s="110"/>
      <c r="H25" s="110"/>
      <c r="I25" s="110"/>
      <c r="J25" s="110"/>
      <c r="K25" s="110"/>
      <c r="L25" s="110"/>
      <c r="M25" s="110"/>
      <c r="N25" s="110"/>
      <c r="O25" s="110"/>
      <c r="P25" s="110"/>
      <c r="Q25" s="110"/>
      <c r="R25" s="110"/>
    </row>
  </sheetData>
  <mergeCells count="24">
    <mergeCell ref="B23:R23"/>
    <mergeCell ref="A24:A25"/>
    <mergeCell ref="B24:R25"/>
    <mergeCell ref="B17:R17"/>
    <mergeCell ref="A18:R18"/>
    <mergeCell ref="A19:R19"/>
    <mergeCell ref="A20:R20"/>
    <mergeCell ref="A21:R21"/>
    <mergeCell ref="B22:R22"/>
    <mergeCell ref="A15:A16"/>
    <mergeCell ref="B15:R16"/>
    <mergeCell ref="A1:R1"/>
    <mergeCell ref="A2:R2"/>
    <mergeCell ref="A3:R3"/>
    <mergeCell ref="B4:R4"/>
    <mergeCell ref="A5:A6"/>
    <mergeCell ref="B5:R6"/>
    <mergeCell ref="B13:R13"/>
    <mergeCell ref="B14:R14"/>
    <mergeCell ref="B7:R7"/>
    <mergeCell ref="B8:R8"/>
    <mergeCell ref="B9:R9"/>
    <mergeCell ref="A10:A12"/>
    <mergeCell ref="B10:R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4:R6"/>
  <sheetViews>
    <sheetView workbookViewId="0">
      <pane xSplit="2" topLeftCell="C1" activePane="topRight" state="frozen"/>
      <selection pane="topRight" activeCell="I6" sqref="I6"/>
    </sheetView>
  </sheetViews>
  <sheetFormatPr defaultColWidth="9.140625" defaultRowHeight="15" x14ac:dyDescent="0.25"/>
  <cols>
    <col min="1" max="1" width="5" style="80" bestFit="1" customWidth="1"/>
    <col min="2" max="2" width="24.7109375" style="80" bestFit="1" customWidth="1"/>
    <col min="3" max="3" width="13.42578125" style="80" bestFit="1" customWidth="1"/>
    <col min="4" max="4" width="18.85546875" style="80" customWidth="1"/>
    <col min="5" max="5" width="10.85546875" style="80" bestFit="1" customWidth="1"/>
    <col min="6" max="6" width="10.140625" style="28" bestFit="1" customWidth="1"/>
    <col min="7" max="7" width="3.7109375" style="80" bestFit="1" customWidth="1"/>
    <col min="8" max="8" width="7" style="80" bestFit="1" customWidth="1"/>
    <col min="9" max="11" width="6" style="80" bestFit="1" customWidth="1"/>
    <col min="12" max="12" width="5" style="80" bestFit="1" customWidth="1"/>
    <col min="13" max="14" width="4" style="80" bestFit="1" customWidth="1"/>
    <col min="15" max="15" width="6" style="80" bestFit="1" customWidth="1"/>
    <col min="16" max="16" width="7.28515625" style="80" customWidth="1"/>
    <col min="17" max="17" width="7" style="80" bestFit="1" customWidth="1"/>
    <col min="19" max="16384" width="9.140625" style="80"/>
  </cols>
  <sheetData>
    <row r="4" spans="1:17" s="34" customFormat="1" ht="17.45" customHeight="1" x14ac:dyDescent="0.25">
      <c r="A4" s="96">
        <v>1</v>
      </c>
      <c r="B4" s="96">
        <v>2</v>
      </c>
      <c r="C4" s="96">
        <v>3</v>
      </c>
      <c r="D4" s="96">
        <v>4</v>
      </c>
      <c r="E4" s="96">
        <v>5</v>
      </c>
      <c r="F4" s="96">
        <v>6</v>
      </c>
      <c r="G4" s="96">
        <v>7</v>
      </c>
      <c r="H4" s="96">
        <v>8</v>
      </c>
      <c r="I4" s="96">
        <v>9</v>
      </c>
      <c r="J4" s="96">
        <v>10</v>
      </c>
      <c r="K4" s="96">
        <v>11</v>
      </c>
      <c r="L4" s="96">
        <v>12</v>
      </c>
      <c r="M4" s="96">
        <v>13</v>
      </c>
      <c r="N4" s="96">
        <v>14</v>
      </c>
      <c r="O4" s="96">
        <v>15</v>
      </c>
      <c r="P4" s="96">
        <v>16</v>
      </c>
      <c r="Q4" s="96">
        <v>17</v>
      </c>
    </row>
    <row r="5" spans="1:17" ht="124.5" customHeight="1" x14ac:dyDescent="0.25">
      <c r="A5" s="52" t="s">
        <v>0</v>
      </c>
      <c r="B5" s="88" t="s">
        <v>19</v>
      </c>
      <c r="C5" s="88" t="s">
        <v>74</v>
      </c>
      <c r="D5" s="88" t="s">
        <v>127</v>
      </c>
      <c r="E5" s="88" t="s">
        <v>55</v>
      </c>
      <c r="F5" s="88" t="s">
        <v>61</v>
      </c>
      <c r="G5" s="52" t="s">
        <v>45</v>
      </c>
      <c r="H5" s="52" t="s">
        <v>48</v>
      </c>
      <c r="I5" s="52" t="s">
        <v>8</v>
      </c>
      <c r="J5" s="52" t="s">
        <v>9</v>
      </c>
      <c r="K5" s="52" t="s">
        <v>10</v>
      </c>
      <c r="L5" s="52" t="s">
        <v>11</v>
      </c>
      <c r="M5" s="52" t="s">
        <v>12</v>
      </c>
      <c r="N5" s="52" t="s">
        <v>18</v>
      </c>
      <c r="O5" s="52" t="s">
        <v>118</v>
      </c>
      <c r="P5" s="52" t="s">
        <v>119</v>
      </c>
      <c r="Q5" s="52" t="s">
        <v>14</v>
      </c>
    </row>
    <row r="6" spans="1:17" x14ac:dyDescent="0.25">
      <c r="A6" s="83">
        <v>1011</v>
      </c>
      <c r="B6" s="83" t="s">
        <v>136</v>
      </c>
      <c r="C6" s="83" t="s">
        <v>79</v>
      </c>
      <c r="D6" s="83" t="s">
        <v>128</v>
      </c>
      <c r="E6" s="83" t="s">
        <v>56</v>
      </c>
      <c r="F6" s="29">
        <v>40634</v>
      </c>
      <c r="G6" s="83" t="s">
        <v>46</v>
      </c>
      <c r="H6" s="83">
        <v>200000</v>
      </c>
      <c r="I6" s="17">
        <v>42000</v>
      </c>
      <c r="J6" s="17">
        <v>16800</v>
      </c>
      <c r="K6" s="89">
        <v>33129</v>
      </c>
      <c r="L6" s="17">
        <v>800</v>
      </c>
      <c r="M6" s="17">
        <v>200</v>
      </c>
      <c r="N6" s="90">
        <v>0</v>
      </c>
      <c r="O6" s="17">
        <v>0</v>
      </c>
      <c r="P6" s="81">
        <v>0</v>
      </c>
      <c r="Q6" s="83">
        <f>SUM(I6:N6)</f>
        <v>92929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0"/>
  <sheetViews>
    <sheetView tabSelected="1" topLeftCell="D1" workbookViewId="0">
      <pane ySplit="5" topLeftCell="A6" activePane="bottomLeft" state="frozen"/>
      <selection activeCell="A7" sqref="A7:XFD42"/>
      <selection pane="bottomLeft" activeCell="D6" sqref="D6"/>
    </sheetView>
  </sheetViews>
  <sheetFormatPr defaultColWidth="9.140625" defaultRowHeight="15" x14ac:dyDescent="0.25"/>
  <cols>
    <col min="1" max="1" width="5.5703125" style="47" customWidth="1"/>
    <col min="2" max="2" width="24.42578125" style="80" customWidth="1"/>
    <col min="3" max="3" width="6" style="80" bestFit="1" customWidth="1"/>
    <col min="4" max="4" width="5.28515625" style="80" customWidth="1"/>
    <col min="5" max="5" width="6" style="80" bestFit="1" customWidth="1"/>
    <col min="6" max="6" width="7.42578125" style="80" customWidth="1"/>
    <col min="7" max="7" width="8.5703125" style="80" customWidth="1"/>
    <col min="8" max="8" width="6.42578125" style="80" customWidth="1"/>
    <col min="9" max="9" width="5" style="80" customWidth="1"/>
    <col min="10" max="10" width="5" style="80" bestFit="1" customWidth="1"/>
    <col min="11" max="12" width="6" style="80" bestFit="1" customWidth="1"/>
    <col min="13" max="13" width="7" style="80" bestFit="1" customWidth="1"/>
    <col min="14" max="14" width="5" style="80" bestFit="1" customWidth="1"/>
    <col min="15" max="15" width="7.5703125" style="80" bestFit="1" customWidth="1"/>
    <col min="16" max="16" width="3" style="80" bestFit="1" customWidth="1"/>
    <col min="17" max="17" width="8" style="80" bestFit="1" customWidth="1"/>
    <col min="18" max="18" width="7" style="80" bestFit="1" customWidth="1"/>
    <col min="19" max="19" width="5.85546875" style="80" customWidth="1"/>
    <col min="20" max="20" width="8.7109375" style="80" bestFit="1" customWidth="1"/>
    <col min="21" max="21" width="3.28515625" style="80" bestFit="1" customWidth="1"/>
    <col min="22" max="22" width="7" style="80" bestFit="1" customWidth="1"/>
    <col min="23" max="23" width="8.7109375" style="80" bestFit="1" customWidth="1"/>
    <col min="24" max="24" width="7" style="80" bestFit="1" customWidth="1"/>
    <col min="25" max="25" width="4" style="80" bestFit="1" customWidth="1"/>
    <col min="26" max="26" width="5.85546875" style="80" bestFit="1" customWidth="1"/>
    <col min="27" max="27" width="8.7109375" style="80" bestFit="1" customWidth="1"/>
    <col min="28" max="28" width="6.140625" style="80" customWidth="1"/>
    <col min="29" max="30" width="6.5703125" style="80" customWidth="1"/>
    <col min="31" max="31" width="7" style="80" bestFit="1" customWidth="1"/>
    <col min="32" max="32" width="7.5703125" style="80" bestFit="1" customWidth="1"/>
    <col min="33" max="33" width="4" style="80" bestFit="1" customWidth="1"/>
    <col min="34" max="34" width="4" style="30" bestFit="1" customWidth="1"/>
    <col min="35" max="35" width="8.7109375" style="80" bestFit="1" customWidth="1"/>
    <col min="36" max="36" width="7.5703125" style="80" bestFit="1" customWidth="1"/>
    <col min="37" max="38" width="6.140625" style="80" bestFit="1" customWidth="1"/>
    <col min="39" max="39" width="7.5703125" style="80" bestFit="1" customWidth="1"/>
    <col min="40" max="40" width="5.7109375" style="80" bestFit="1" customWidth="1"/>
    <col min="41" max="41" width="6" style="80" bestFit="1" customWidth="1"/>
    <col min="42" max="42" width="8" style="80" bestFit="1" customWidth="1"/>
    <col min="43" max="43" width="7" style="80" bestFit="1" customWidth="1"/>
    <col min="44" max="44" width="5.7109375" style="80" bestFit="1" customWidth="1"/>
    <col min="45" max="45" width="5" style="80" bestFit="1" customWidth="1"/>
    <col min="46" max="46" width="4" style="80" bestFit="1" customWidth="1"/>
    <col min="47" max="16384" width="9.140625" style="80"/>
  </cols>
  <sheetData>
    <row r="1" spans="1:44" x14ac:dyDescent="0.25">
      <c r="A1" s="104" t="s">
        <v>125</v>
      </c>
      <c r="B1" s="104"/>
      <c r="C1" s="104"/>
      <c r="D1" s="104"/>
      <c r="E1" s="104"/>
      <c r="F1" s="104"/>
      <c r="G1" s="104"/>
      <c r="H1" s="104"/>
      <c r="I1" s="104"/>
      <c r="J1" s="104"/>
      <c r="K1" s="104"/>
      <c r="L1" s="104"/>
      <c r="M1" s="104"/>
      <c r="N1" s="87"/>
      <c r="O1" s="87"/>
      <c r="P1" s="87"/>
      <c r="Q1" s="87"/>
      <c r="R1" s="87"/>
      <c r="S1" s="87"/>
      <c r="Y1" s="13"/>
    </row>
    <row r="2" spans="1:44" ht="15.75" thickBot="1" x14ac:dyDescent="0.3">
      <c r="N2" s="13"/>
      <c r="O2" s="13"/>
      <c r="P2" s="13"/>
      <c r="Q2" s="13"/>
      <c r="R2" s="13"/>
      <c r="S2" s="13"/>
      <c r="Y2" s="13"/>
    </row>
    <row r="3" spans="1:44" ht="15.75" thickBot="1" x14ac:dyDescent="0.3">
      <c r="A3" s="48" t="s">
        <v>41</v>
      </c>
      <c r="B3" s="9">
        <v>41456</v>
      </c>
      <c r="C3" s="10">
        <v>8</v>
      </c>
      <c r="D3" s="80">
        <v>31</v>
      </c>
      <c r="F3" s="15" t="s">
        <v>70</v>
      </c>
      <c r="G3" s="16">
        <v>20043</v>
      </c>
      <c r="I3" s="5"/>
      <c r="Q3" s="15" t="s">
        <v>71</v>
      </c>
      <c r="R3" s="16">
        <v>843213</v>
      </c>
      <c r="W3" s="15" t="s">
        <v>29</v>
      </c>
      <c r="X3" s="16">
        <v>863256</v>
      </c>
      <c r="Y3" s="13"/>
      <c r="Z3" s="105" t="s">
        <v>130</v>
      </c>
      <c r="AA3" s="106"/>
      <c r="AB3" s="97">
        <v>19860</v>
      </c>
      <c r="AF3" s="105" t="s">
        <v>131</v>
      </c>
      <c r="AG3" s="107"/>
      <c r="AH3" s="106"/>
      <c r="AI3" s="98">
        <v>2400</v>
      </c>
      <c r="AL3" s="105" t="s">
        <v>134</v>
      </c>
      <c r="AM3" s="106"/>
      <c r="AN3" s="97">
        <v>105</v>
      </c>
    </row>
    <row r="4" spans="1:44" s="34" customFormat="1" x14ac:dyDescent="0.25">
      <c r="A4" s="49">
        <v>1</v>
      </c>
      <c r="B4" s="36">
        <v>2</v>
      </c>
      <c r="C4" s="36">
        <v>3</v>
      </c>
      <c r="D4" s="49">
        <v>4</v>
      </c>
      <c r="E4" s="36">
        <v>5</v>
      </c>
      <c r="F4" s="36">
        <v>6</v>
      </c>
      <c r="G4" s="49">
        <v>7</v>
      </c>
      <c r="H4" s="36">
        <v>8</v>
      </c>
      <c r="I4" s="36">
        <v>9</v>
      </c>
      <c r="J4" s="49">
        <v>10</v>
      </c>
      <c r="K4" s="36">
        <v>11</v>
      </c>
      <c r="L4" s="36">
        <v>12</v>
      </c>
      <c r="M4" s="49">
        <v>13</v>
      </c>
      <c r="N4" s="36">
        <v>14</v>
      </c>
      <c r="O4" s="36">
        <v>15</v>
      </c>
      <c r="P4" s="49">
        <v>16</v>
      </c>
      <c r="Q4" s="36">
        <v>17</v>
      </c>
      <c r="R4" s="36">
        <v>18</v>
      </c>
      <c r="S4" s="49">
        <v>19</v>
      </c>
      <c r="T4" s="36">
        <v>20</v>
      </c>
      <c r="U4" s="36">
        <v>21</v>
      </c>
      <c r="V4" s="49">
        <v>22</v>
      </c>
      <c r="W4" s="36">
        <v>23</v>
      </c>
      <c r="X4" s="36">
        <v>24</v>
      </c>
      <c r="Y4" s="49">
        <v>25</v>
      </c>
      <c r="Z4" s="36">
        <v>26</v>
      </c>
      <c r="AA4" s="36">
        <v>27</v>
      </c>
      <c r="AB4" s="49">
        <v>28</v>
      </c>
      <c r="AC4" s="36">
        <v>29</v>
      </c>
      <c r="AD4" s="36"/>
      <c r="AE4" s="36">
        <v>30</v>
      </c>
      <c r="AF4" s="49">
        <v>31</v>
      </c>
      <c r="AG4" s="36">
        <v>32</v>
      </c>
      <c r="AH4" s="36">
        <v>33</v>
      </c>
      <c r="AI4" s="49">
        <v>34</v>
      </c>
      <c r="AJ4" s="36">
        <v>35</v>
      </c>
      <c r="AK4" s="36">
        <v>36</v>
      </c>
      <c r="AL4" s="49">
        <v>37</v>
      </c>
      <c r="AM4" s="36">
        <v>38</v>
      </c>
      <c r="AN4" s="36">
        <v>39</v>
      </c>
      <c r="AO4" s="49">
        <v>40</v>
      </c>
      <c r="AP4" s="36">
        <v>41</v>
      </c>
      <c r="AQ4" s="36">
        <v>42</v>
      </c>
      <c r="AR4" s="49">
        <v>43</v>
      </c>
    </row>
    <row r="5" spans="1:44" ht="103.5" x14ac:dyDescent="0.25">
      <c r="A5" s="50" t="s">
        <v>0</v>
      </c>
      <c r="B5" s="35" t="s">
        <v>19</v>
      </c>
      <c r="C5" s="6" t="s">
        <v>16</v>
      </c>
      <c r="D5" s="6" t="s">
        <v>44</v>
      </c>
      <c r="E5" s="6" t="s">
        <v>8</v>
      </c>
      <c r="F5" s="6" t="s">
        <v>9</v>
      </c>
      <c r="G5" s="6" t="s">
        <v>10</v>
      </c>
      <c r="H5" s="6" t="s">
        <v>11</v>
      </c>
      <c r="I5" s="6" t="s">
        <v>12</v>
      </c>
      <c r="J5" s="6" t="s">
        <v>124</v>
      </c>
      <c r="K5" s="6" t="s">
        <v>118</v>
      </c>
      <c r="L5" s="6" t="s">
        <v>119</v>
      </c>
      <c r="M5" s="6" t="s">
        <v>129</v>
      </c>
      <c r="N5" s="6" t="s">
        <v>73</v>
      </c>
      <c r="O5" s="6" t="s">
        <v>14</v>
      </c>
      <c r="P5" s="21"/>
      <c r="Q5" s="6" t="s">
        <v>54</v>
      </c>
      <c r="R5" s="6" t="s">
        <v>13</v>
      </c>
      <c r="S5" s="6" t="s">
        <v>40</v>
      </c>
      <c r="T5" s="6" t="s">
        <v>59</v>
      </c>
      <c r="U5" s="6" t="s">
        <v>68</v>
      </c>
      <c r="V5" s="6" t="s">
        <v>118</v>
      </c>
      <c r="W5" s="6" t="s">
        <v>47</v>
      </c>
      <c r="X5" s="6" t="s">
        <v>43</v>
      </c>
      <c r="Y5" s="21"/>
      <c r="Z5" s="38" t="s">
        <v>32</v>
      </c>
      <c r="AA5" s="6" t="s">
        <v>53</v>
      </c>
      <c r="AB5" s="6" t="s">
        <v>126</v>
      </c>
      <c r="AC5" s="6" t="s">
        <v>133</v>
      </c>
      <c r="AD5" s="6" t="s">
        <v>132</v>
      </c>
      <c r="AE5" s="6" t="s">
        <v>58</v>
      </c>
      <c r="AF5" s="6" t="s">
        <v>15</v>
      </c>
      <c r="AG5" s="22"/>
      <c r="AH5" s="35" t="s">
        <v>45</v>
      </c>
      <c r="AI5" s="6" t="s">
        <v>52</v>
      </c>
      <c r="AJ5" s="6" t="s">
        <v>51</v>
      </c>
      <c r="AK5" s="6" t="s">
        <v>117</v>
      </c>
      <c r="AL5" s="6" t="s">
        <v>116</v>
      </c>
      <c r="AM5" s="6" t="s">
        <v>17</v>
      </c>
      <c r="AN5" s="6" t="s">
        <v>66</v>
      </c>
      <c r="AO5" s="6" t="s">
        <v>62</v>
      </c>
      <c r="AP5" s="6" t="s">
        <v>42</v>
      </c>
      <c r="AQ5" s="6" t="s">
        <v>63</v>
      </c>
      <c r="AR5" s="6" t="s">
        <v>64</v>
      </c>
    </row>
    <row r="6" spans="1:44" x14ac:dyDescent="0.25">
      <c r="A6" s="51">
        <v>1011</v>
      </c>
      <c r="B6" s="81" t="s">
        <v>136</v>
      </c>
      <c r="C6" s="11">
        <v>31</v>
      </c>
      <c r="D6" s="11"/>
      <c r="E6" s="7">
        <v>42000</v>
      </c>
      <c r="F6" s="7">
        <v>16800</v>
      </c>
      <c r="G6" s="7">
        <v>33129</v>
      </c>
      <c r="H6" s="7">
        <v>800</v>
      </c>
      <c r="I6" s="7">
        <v>200</v>
      </c>
      <c r="J6" s="7"/>
      <c r="K6" s="7">
        <v>0</v>
      </c>
      <c r="L6" s="45">
        <v>0</v>
      </c>
      <c r="M6" s="83">
        <v>0</v>
      </c>
      <c r="N6" s="81">
        <v>0</v>
      </c>
      <c r="O6" s="7">
        <v>92929</v>
      </c>
      <c r="P6" s="22"/>
      <c r="Q6" s="8">
        <v>1123668</v>
      </c>
      <c r="R6" s="83">
        <v>201600</v>
      </c>
      <c r="S6" s="7">
        <v>9600</v>
      </c>
      <c r="T6" s="7">
        <v>100000</v>
      </c>
      <c r="U6" s="7">
        <v>0</v>
      </c>
      <c r="V6" s="7">
        <v>0</v>
      </c>
      <c r="W6" s="7">
        <v>812468</v>
      </c>
      <c r="X6" s="7">
        <v>95269</v>
      </c>
      <c r="Y6" s="22"/>
      <c r="Z6" s="7">
        <v>780</v>
      </c>
      <c r="AA6" s="7">
        <v>7968</v>
      </c>
      <c r="AB6" s="81">
        <v>0</v>
      </c>
      <c r="AC6" s="81"/>
      <c r="AD6" s="81"/>
      <c r="AE6" s="7">
        <v>8748</v>
      </c>
      <c r="AF6" s="7">
        <v>84181</v>
      </c>
      <c r="AG6" s="7"/>
      <c r="AH6" s="79" t="s">
        <v>46</v>
      </c>
      <c r="AI6" s="7">
        <v>200000</v>
      </c>
      <c r="AJ6" s="7">
        <v>92494</v>
      </c>
      <c r="AK6" s="7">
        <v>0</v>
      </c>
      <c r="AL6" s="7">
        <v>2775</v>
      </c>
      <c r="AM6" s="7">
        <v>95269</v>
      </c>
      <c r="AN6" s="83"/>
      <c r="AO6" s="14">
        <v>23554</v>
      </c>
      <c r="AP6" s="14">
        <v>287307</v>
      </c>
      <c r="AQ6" s="14">
        <v>50400</v>
      </c>
      <c r="AR6" s="14">
        <v>2400</v>
      </c>
    </row>
    <row r="8" spans="1:44" x14ac:dyDescent="0.25">
      <c r="X8" s="80">
        <v>95269</v>
      </c>
    </row>
    <row r="9" spans="1:44" x14ac:dyDescent="0.25">
      <c r="X9" s="80">
        <v>-23554</v>
      </c>
    </row>
    <row r="10" spans="1:44" x14ac:dyDescent="0.25">
      <c r="X10" s="80">
        <f>SUM(X8:X9)</f>
        <v>71715</v>
      </c>
    </row>
    <row r="11" spans="1:44" x14ac:dyDescent="0.25">
      <c r="X11" s="80">
        <f>X10/9</f>
        <v>7968.333333333333</v>
      </c>
    </row>
    <row r="29" spans="32:32" x14ac:dyDescent="0.25">
      <c r="AF29" s="80">
        <v>43571.06</v>
      </c>
    </row>
    <row r="30" spans="32:32" x14ac:dyDescent="0.25">
      <c r="AF30" s="80">
        <v>43571.06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1"/>
  <sheetViews>
    <sheetView topLeftCell="A22" zoomScale="85" zoomScaleNormal="85" workbookViewId="0">
      <selection activeCell="T41" sqref="T41"/>
    </sheetView>
  </sheetViews>
  <sheetFormatPr defaultColWidth="9.140625" defaultRowHeight="15" x14ac:dyDescent="0.25"/>
  <cols>
    <col min="1" max="1" width="9.140625" style="80"/>
    <col min="2" max="2" width="3.28515625" style="80" customWidth="1"/>
    <col min="3" max="3" width="24.7109375" style="80" customWidth="1"/>
    <col min="4" max="4" width="19.85546875" style="80" customWidth="1"/>
    <col min="5" max="5" width="9.42578125" style="80" customWidth="1"/>
    <col min="6" max="6" width="22.42578125" style="80" customWidth="1"/>
    <col min="7" max="7" width="14" style="80" customWidth="1"/>
    <col min="8" max="8" width="3.7109375" style="80" customWidth="1"/>
    <col min="9" max="9" width="9.140625" style="80"/>
    <col min="10" max="10" width="18.140625" style="80" bestFit="1" customWidth="1"/>
    <col min="11" max="16384" width="9.140625" style="80"/>
  </cols>
  <sheetData>
    <row r="1" spans="2:9" x14ac:dyDescent="0.25">
      <c r="C1" s="12"/>
    </row>
    <row r="2" spans="2:9" x14ac:dyDescent="0.25">
      <c r="B2" s="54"/>
      <c r="C2" s="55"/>
      <c r="D2" s="55"/>
      <c r="E2" s="55"/>
      <c r="F2" s="55"/>
      <c r="G2" s="55"/>
      <c r="H2" s="56"/>
    </row>
    <row r="3" spans="2:9" x14ac:dyDescent="0.25">
      <c r="B3" s="57"/>
      <c r="C3" s="58"/>
      <c r="D3" s="58"/>
      <c r="E3" s="58"/>
      <c r="F3" s="58"/>
      <c r="G3" s="58"/>
      <c r="H3" s="59"/>
    </row>
    <row r="4" spans="2:9" x14ac:dyDescent="0.25">
      <c r="B4" s="57"/>
      <c r="C4" s="58"/>
      <c r="D4" s="58"/>
      <c r="E4" s="58"/>
      <c r="F4" s="58"/>
      <c r="G4" s="58"/>
      <c r="H4" s="59"/>
    </row>
    <row r="5" spans="2:9" x14ac:dyDescent="0.25">
      <c r="B5" s="57"/>
      <c r="C5" s="132" t="s">
        <v>34</v>
      </c>
      <c r="D5" s="132"/>
      <c r="E5" s="58"/>
      <c r="F5" s="58" t="str">
        <f>"Salary slip for the month of  "&amp;G7</f>
        <v>Salary slip for the month of  Aug2013</v>
      </c>
      <c r="G5" s="58"/>
      <c r="H5" s="59"/>
    </row>
    <row r="6" spans="2:9" x14ac:dyDescent="0.25">
      <c r="B6" s="57"/>
      <c r="C6" s="58"/>
      <c r="D6" s="58"/>
      <c r="E6" s="58"/>
      <c r="F6" s="60"/>
      <c r="G6" s="58"/>
      <c r="H6" s="59"/>
    </row>
    <row r="7" spans="2:9" x14ac:dyDescent="0.25">
      <c r="B7" s="57"/>
      <c r="C7" s="41" t="s">
        <v>0</v>
      </c>
      <c r="D7" s="100">
        <v>1065</v>
      </c>
      <c r="E7" s="58"/>
      <c r="F7" s="43" t="s">
        <v>41</v>
      </c>
      <c r="G7" s="42" t="s">
        <v>135</v>
      </c>
      <c r="H7" s="59"/>
    </row>
    <row r="8" spans="2:9" x14ac:dyDescent="0.25">
      <c r="B8" s="57"/>
      <c r="C8" s="58"/>
      <c r="D8" s="58"/>
      <c r="E8" s="58"/>
      <c r="F8" s="60"/>
      <c r="G8" s="58"/>
      <c r="H8" s="59"/>
    </row>
    <row r="9" spans="2:9" x14ac:dyDescent="0.25">
      <c r="B9" s="57"/>
      <c r="C9" s="41" t="s">
        <v>19</v>
      </c>
      <c r="D9" s="101" t="e">
        <f ca="1">IF(ISNA(VLOOKUP($D$7,INDIRECT($G$7&amp;"2012"&amp;"!$a$6:$AC$100"),2,FALSE)),"",VLOOKUP($D$7,INDIRECT(TEXT($G$7,"mmmyyyy")&amp;"!$a$6:$AC$100"),2,FALSE))</f>
        <v>#REF!</v>
      </c>
      <c r="E9" s="58"/>
      <c r="F9" s="62" t="s">
        <v>16</v>
      </c>
      <c r="G9" s="46">
        <v>31</v>
      </c>
      <c r="H9" s="59"/>
    </row>
    <row r="10" spans="2:9" x14ac:dyDescent="0.25">
      <c r="B10" s="57"/>
      <c r="C10" s="41" t="s">
        <v>25</v>
      </c>
      <c r="D10" s="101" t="str">
        <f>IF(ISNA(VLOOKUP($D$7,Master!$A$6:$N$64,5,FALSE)),"",VLOOKUP($D$7,Master!$A$6:$N$64,5,FALSE))</f>
        <v/>
      </c>
      <c r="E10" s="58"/>
      <c r="F10" s="62" t="s">
        <v>24</v>
      </c>
      <c r="G10" s="46" t="e">
        <f ca="1">IF(ISNA(VLOOKUP($D$7,INDIRECT($G$7&amp;"2012""!$a$6:$AC$100"),3,FALSE)),"",VLOOKUP($D$7,INDIRECT($G$7&amp;"!$a$6:$AC$100"),3,FALSE))</f>
        <v>#REF!</v>
      </c>
      <c r="H10" s="59"/>
    </row>
    <row r="11" spans="2:9" x14ac:dyDescent="0.25">
      <c r="B11" s="57"/>
      <c r="C11" s="41" t="s">
        <v>26</v>
      </c>
      <c r="D11" s="102" t="str">
        <f>IF(ISNA(VLOOKUP($D$7,Master!$A$6:$N$64,6,FALSE)),"",VLOOKUP($D$7,Master!$A$6:$N$64,6,FALSE))</f>
        <v/>
      </c>
      <c r="E11" s="58"/>
      <c r="F11" s="63"/>
      <c r="G11" s="59"/>
      <c r="H11" s="64"/>
    </row>
    <row r="12" spans="2:9" x14ac:dyDescent="0.25">
      <c r="B12" s="57"/>
      <c r="C12" s="41" t="s">
        <v>33</v>
      </c>
      <c r="D12" s="103" t="str">
        <f>IF(ISNA(VLOOKUP($D$7,Master!$A$6:$N$16,4,FALSE)),"",VLOOKUP($D$7,Master!$A$6:$N$16,4,FALSE))</f>
        <v/>
      </c>
      <c r="E12" s="58"/>
      <c r="F12" s="65" t="s">
        <v>123</v>
      </c>
      <c r="G12" s="41">
        <v>91</v>
      </c>
      <c r="H12" s="59"/>
    </row>
    <row r="13" spans="2:9" x14ac:dyDescent="0.25">
      <c r="B13" s="57"/>
      <c r="C13" s="41" t="s">
        <v>80</v>
      </c>
      <c r="D13" s="61" t="str">
        <f>IF(ISNA(VLOOKUP($D$7,Master!$A$6:$N$64,3,FALSE)),"",VLOOKUP($D$7,Master!$A$6:$N$64,3,FALSE))</f>
        <v/>
      </c>
      <c r="E13" s="58"/>
      <c r="F13" s="62" t="s">
        <v>24</v>
      </c>
      <c r="G13" s="46" t="e">
        <f ca="1">IF(ISNA(VLOOKUP($D$7,INDIRECT($G$7&amp;"2012""!$a$6:$AC$100"),4,FALSE)),"",VLOOKUP($D$7,INDIRECT($G$7&amp;"!$a$6:$AC$100"),4,FALSE))</f>
        <v>#REF!</v>
      </c>
      <c r="H13" s="59"/>
    </row>
    <row r="14" spans="2:9" ht="15.75" thickBot="1" x14ac:dyDescent="0.3">
      <c r="B14" s="57"/>
      <c r="C14" s="58"/>
      <c r="D14" s="58"/>
      <c r="E14" s="58"/>
      <c r="F14" s="58"/>
      <c r="G14" s="58"/>
      <c r="H14" s="59"/>
      <c r="I14" s="1"/>
    </row>
    <row r="15" spans="2:9" ht="15.75" thickBot="1" x14ac:dyDescent="0.3">
      <c r="B15" s="57"/>
      <c r="C15" s="130" t="s">
        <v>27</v>
      </c>
      <c r="D15" s="133"/>
      <c r="E15" s="131"/>
      <c r="F15" s="130" t="s">
        <v>28</v>
      </c>
      <c r="G15" s="131"/>
      <c r="H15" s="59"/>
    </row>
    <row r="16" spans="2:9" ht="15.75" thickBot="1" x14ac:dyDescent="0.3">
      <c r="B16" s="57"/>
      <c r="C16" s="2" t="s">
        <v>21</v>
      </c>
      <c r="D16" s="39" t="s">
        <v>22</v>
      </c>
      <c r="E16" s="40" t="s">
        <v>23</v>
      </c>
      <c r="F16" s="37" t="s">
        <v>30</v>
      </c>
      <c r="G16" s="3"/>
      <c r="H16" s="59"/>
    </row>
    <row r="17" spans="2:8" x14ac:dyDescent="0.25">
      <c r="B17" s="57"/>
      <c r="C17" s="66" t="s">
        <v>8</v>
      </c>
      <c r="D17" s="67" t="str">
        <f>IF(ISNA(VLOOKUP($D$7,Master!$A$6:$P$66,9,FALSE)),"",VLOOKUP($D$7,Master!$A$6:$P$66,9,FALSE))</f>
        <v/>
      </c>
      <c r="E17" s="67" t="e">
        <f ca="1">IF(ISNA(VLOOKUP($E$7,INDIRECT($G$7&amp;"2012""!$a$6:$AC$100"),5,FALSE)),"",VLOOKUP($D$7,INDIRECT($G$7&amp;"!$a$6:$AC$100"),5,FALSE))</f>
        <v>#REF!</v>
      </c>
      <c r="F17" s="68" t="s">
        <v>31</v>
      </c>
      <c r="G17" s="67" t="e">
        <f ca="1">IF(ISNA(VLOOKUP($D$7,INDIRECT($G$7&amp;"2012""!$a$6:$AC$100"),27,FALSE)),"",VLOOKUP($D$7,INDIRECT($G$7&amp;"!$a$6:$AC$100"),27,FALSE))</f>
        <v>#REF!</v>
      </c>
      <c r="H17" s="59"/>
    </row>
    <row r="18" spans="2:8" x14ac:dyDescent="0.25">
      <c r="B18" s="57"/>
      <c r="C18" s="41" t="s">
        <v>9</v>
      </c>
      <c r="D18" s="67" t="str">
        <f>IF(ISNA(VLOOKUP($D$7,Master!$A$6:$P$66,10,FALSE)),"",VLOOKUP($D$7,Master!$A$6:$P$66,10,FALSE))</f>
        <v/>
      </c>
      <c r="E18" s="46" t="e">
        <f ca="1">IF(ISNA(VLOOKUP($D$7,INDIRECT($G$7&amp;"2012""!$a$6:$AC$100"),6,FALSE)),"",VLOOKUP($D$7,INDIRECT($G$7&amp;"!$a$6:$AC$100"),6,FALSE))</f>
        <v>#REF!</v>
      </c>
      <c r="F18" s="69" t="s">
        <v>32</v>
      </c>
      <c r="G18" s="46" t="e">
        <f ca="1">IF(ISNA(VLOOKUP($D$7,INDIRECT($G$7&amp;"2012""!$a$6:$AC$100"),26,FALSE)),"",VLOOKUP($D$7,INDIRECT($G$7&amp;"!$a$6:$AC$100"),26,FALSE))</f>
        <v>#REF!</v>
      </c>
      <c r="H18" s="59"/>
    </row>
    <row r="19" spans="2:8" x14ac:dyDescent="0.25">
      <c r="B19" s="57"/>
      <c r="C19" s="41" t="s">
        <v>10</v>
      </c>
      <c r="D19" s="67" t="str">
        <f>IF(ISNA(VLOOKUP($D$7,Master!$A$6:$P$66,11,FALSE)),"",VLOOKUP($D$7,Master!$A$6:$P$66,11,FALSE))</f>
        <v/>
      </c>
      <c r="E19" s="46" t="e">
        <f ca="1">IF(ISNA(VLOOKUP($D$7,INDIRECT($G$7&amp;"2012""!$a$6:$AC$100"),7,FALSE)),"",VLOOKUP($D$7,INDIRECT($G$7&amp;"!$a$6:$AC$100"),7,FALSE))</f>
        <v>#REF!</v>
      </c>
      <c r="F19" s="91" t="s">
        <v>132</v>
      </c>
      <c r="G19" s="46" t="e">
        <f ca="1">IF(ISNA(VLOOKUP($D$7,INDIRECT($G$7&amp;"2012""!$a$6:$AM$100"),30,FALSE)),"",VLOOKUP($D$7,INDIRECT($G$7&amp;"!$a$6:$AM$100"),30,FALSE))</f>
        <v>#REF!</v>
      </c>
      <c r="H19" s="59"/>
    </row>
    <row r="20" spans="2:8" x14ac:dyDescent="0.25">
      <c r="B20" s="57"/>
      <c r="C20" s="41" t="s">
        <v>11</v>
      </c>
      <c r="D20" s="67" t="str">
        <f>IF(ISNA(VLOOKUP($D$7,Master!$A$6:$P$66,12,FALSE)),"",VLOOKUP($D$7,Master!$A$6:$P$66,12,FALSE))</f>
        <v/>
      </c>
      <c r="E20" s="46" t="e">
        <f ca="1">IF(ISNA(VLOOKUP($D$7,INDIRECT($G$7&amp;"2012""!$a$6:$AC$100"),8,FALSE)),"",VLOOKUP($D$7,INDIRECT($G$7&amp;"!$a$6:$AC$100"),8,FALSE))</f>
        <v>#REF!</v>
      </c>
      <c r="F20" s="91" t="s">
        <v>126</v>
      </c>
      <c r="G20" s="46" t="e">
        <f ca="1">IF(ISNA(VLOOKUP($D$7,INDIRECT($G$7&amp;"!$a$6:$AZ$100"),28,FALSE)),"",VLOOKUP($D$7,INDIRECT($G$7&amp;"!$a$6:$AZ$100"),28,FALSE))</f>
        <v>#REF!</v>
      </c>
      <c r="H20" s="72"/>
    </row>
    <row r="21" spans="2:8" x14ac:dyDescent="0.25">
      <c r="B21" s="57"/>
      <c r="C21" s="41" t="s">
        <v>12</v>
      </c>
      <c r="D21" s="67" t="str">
        <f>IF(ISNA(VLOOKUP($D$7,Master!$A$6:$P$66,13,FALSE)),"",VLOOKUP($D$7,Master!$A$6:$P$66,13,FALSE))</f>
        <v/>
      </c>
      <c r="E21" s="46" t="e">
        <f ca="1">IF(ISNA(VLOOKUP($D$7,INDIRECT($G$7&amp;"2012""!$a$6:$AC$100"),9,FALSE)),"",VLOOKUP($D$7,INDIRECT($G$7&amp;"!$a$6:$AC$100"),9,FALSE))</f>
        <v>#REF!</v>
      </c>
      <c r="F21" s="70" t="s">
        <v>65</v>
      </c>
      <c r="G21" s="46" t="e">
        <f ca="1">IF(ISNA(VLOOKUP($D$7,INDIRECT($G$7&amp;"!$a$6:$AZ$100"),29,FALSE)),"",VLOOKUP($D$7,INDIRECT($G$7&amp;"!$a$6:$AZ$100"),29,FALSE))</f>
        <v>#REF!</v>
      </c>
      <c r="H21" s="72"/>
    </row>
    <row r="22" spans="2:8" x14ac:dyDescent="0.25">
      <c r="B22" s="57"/>
      <c r="C22" s="41" t="s">
        <v>118</v>
      </c>
      <c r="D22" s="46" t="str">
        <f>IF(ISNA(VLOOKUP($D$7,[1]Master!$A$6:$P$102,14,FALSE)),"",VLOOKUP($D$7,[1]Master!$A$6:$P$102,14,FALSE))</f>
        <v/>
      </c>
      <c r="E22" s="46" t="e">
        <f ca="1">IF(ISNA(VLOOKUP($D$7,INDIRECT($G$7&amp;"2012""!$a$6:$AC$100"),11,FALSE)),"",VLOOKUP($D$7,INDIRECT($G$7&amp;"!$a$6:$AC$100"),11,FALSE))</f>
        <v>#REF!</v>
      </c>
      <c r="F22" s="70" t="s">
        <v>66</v>
      </c>
      <c r="G22" s="71" t="e">
        <f ca="1">IF(ISNA(VLOOKUP($D$7,INDIRECT($G$7&amp;"2011""!$a$6:$AW$100"),40,FALSE)),"",VLOOKUP($D$7,INDIRECT($G$7&amp;"!$a$6:$AW$100"),40,FALSE))</f>
        <v>#REF!</v>
      </c>
      <c r="H22" s="72"/>
    </row>
    <row r="23" spans="2:8" x14ac:dyDescent="0.25">
      <c r="B23" s="57"/>
      <c r="C23" s="41" t="s">
        <v>122</v>
      </c>
      <c r="D23" s="46"/>
      <c r="E23" s="46" t="e">
        <f ca="1">IF(ISNA(VLOOKUP($D$7,INDIRECT($G$7&amp;"2012""!$a$6:$AC$100"),12,FALSE)),"",VLOOKUP($D$7,INDIRECT($G$7&amp;"!$a$6:$AC$100"),12,FALSE))</f>
        <v>#REF!</v>
      </c>
      <c r="F23" s="58"/>
      <c r="G23" s="59"/>
      <c r="H23" s="72"/>
    </row>
    <row r="24" spans="2:8" x14ac:dyDescent="0.25">
      <c r="B24" s="57"/>
      <c r="C24" s="53" t="s">
        <v>72</v>
      </c>
      <c r="D24" s="46"/>
      <c r="E24" s="46" t="e">
        <f ca="1">IF(ISNA(VLOOKUP($D$7,INDIRECT($G$7&amp;"2012""!$a$6:$AC$100"),14,FALSE)),"",VLOOKUP($D$7,INDIRECT($G$7&amp;"!$a$6:$AC$100"),14,FALSE))</f>
        <v>#REF!</v>
      </c>
      <c r="F24" s="58"/>
      <c r="G24" s="59"/>
      <c r="H24" s="59"/>
    </row>
    <row r="25" spans="2:8" x14ac:dyDescent="0.25">
      <c r="B25" s="57"/>
      <c r="C25" s="92" t="s">
        <v>129</v>
      </c>
      <c r="E25" s="46" t="e">
        <f ca="1">IF(ISNA(VLOOKUP($D$7,INDIRECT($G$7&amp;"2012""!$a$6:$AC$100"),13,FALSE)),"",VLOOKUP($D$7,INDIRECT($G$7&amp;"!$a$6:$AC$100"),13,FALSE))</f>
        <v>#REF!</v>
      </c>
      <c r="F25" s="58"/>
      <c r="G25" s="59"/>
      <c r="H25" s="59"/>
    </row>
    <row r="26" spans="2:8" x14ac:dyDescent="0.25">
      <c r="B26" s="57"/>
      <c r="C26" s="84" t="s">
        <v>124</v>
      </c>
      <c r="D26" s="46"/>
      <c r="E26" s="46" t="e">
        <f ca="1">IF(ISNA(VLOOKUP($D$7,INDIRECT($G$7&amp;"2012""!$a$6:$AC$100"),10,FALSE)),"",VLOOKUP($D$7,INDIRECT($G$7&amp;"!$a$6:$AC$100"),10,FALSE))</f>
        <v>#REF!</v>
      </c>
      <c r="F26" s="58"/>
      <c r="G26" s="59"/>
      <c r="H26" s="59"/>
    </row>
    <row r="27" spans="2:8" ht="15.75" thickBot="1" x14ac:dyDescent="0.3">
      <c r="B27" s="57"/>
      <c r="C27" s="134" t="s">
        <v>29</v>
      </c>
      <c r="D27" s="134"/>
      <c r="E27" s="74" t="e">
        <f ca="1">IF(ISNA(VLOOKUP($D$7,INDIRECT($G$7&amp;"2011""!$a$6:$AC$100"),15,FALSE)),"",VLOOKUP($D$7,INDIRECT($G$7&amp;"!$a$6:$AC$100"),15,FALSE))</f>
        <v>#REF!</v>
      </c>
      <c r="F27" s="99" t="s">
        <v>29</v>
      </c>
      <c r="G27" s="75" t="e">
        <f ca="1">IF(ISNA(VLOOKUP($D$7,INDIRECT($G$7&amp;"2012""!$a$6:$Aj$100"),31,FALSE)),"",VLOOKUP($D$7,INDIRECT($G$7&amp;"!$a$6:$Aj$100"),31,FALSE))</f>
        <v>#REF!</v>
      </c>
      <c r="H27" s="59"/>
    </row>
    <row r="28" spans="2:8" ht="15.75" thickBot="1" x14ac:dyDescent="0.3">
      <c r="B28" s="57"/>
      <c r="C28" s="93" t="s">
        <v>120</v>
      </c>
      <c r="D28" s="94"/>
      <c r="E28" s="94"/>
      <c r="F28" s="95"/>
      <c r="G28" s="95" t="e">
        <f ca="1">IF(ISNA(VLOOKUP($D$7,INDIRECT($G$7&amp;"2012""!$a$6:$AW$100"),32,FALSE)),"",VLOOKUP($D$7,INDIRECT($G$7&amp;"!$a$6:$AW$100"),32,FALSE))</f>
        <v>#REF!</v>
      </c>
      <c r="H28" s="59"/>
    </row>
    <row r="29" spans="2:8" ht="15.75" thickBot="1" x14ac:dyDescent="0.3">
      <c r="B29" s="57"/>
      <c r="C29" s="58"/>
      <c r="D29" s="58"/>
      <c r="E29" s="58"/>
      <c r="F29" s="58"/>
      <c r="G29" s="58"/>
      <c r="H29" s="59"/>
    </row>
    <row r="30" spans="2:8" ht="15.75" thickBot="1" x14ac:dyDescent="0.3">
      <c r="B30" s="57"/>
      <c r="C30" s="128" t="s">
        <v>35</v>
      </c>
      <c r="D30" s="129"/>
      <c r="E30" s="58"/>
      <c r="F30" s="130" t="s">
        <v>38</v>
      </c>
      <c r="G30" s="131"/>
      <c r="H30" s="59"/>
    </row>
    <row r="31" spans="2:8" x14ac:dyDescent="0.25">
      <c r="B31" s="57"/>
      <c r="C31" s="66" t="s">
        <v>36</v>
      </c>
      <c r="D31" s="46" t="e">
        <f ca="1">IF(ISNA(VLOOKUP($D$7,INDIRECT($G$7&amp;"2011""!$a$6:$AC$100"),17,FALSE)),"",VLOOKUP($D$7,INDIRECT($G$7&amp;"!$a$6:$AC$100"),17,FALSE))</f>
        <v>#REF!</v>
      </c>
      <c r="E31" s="58"/>
      <c r="F31" s="66" t="s">
        <v>13</v>
      </c>
      <c r="G31" s="46" t="e">
        <f ca="1">IF(ISNA(VLOOKUP($D$7,INDIRECT($G$7&amp;"2012""!$a$6:$AC$100"),18,FALSE)),"",VLOOKUP($D$7,INDIRECT($G$7&amp;"!$a$6:$AC$100"),18,FALSE))</f>
        <v>#REF!</v>
      </c>
      <c r="H31" s="59"/>
    </row>
    <row r="32" spans="2:8" x14ac:dyDescent="0.25">
      <c r="B32" s="57"/>
      <c r="C32" s="53"/>
      <c r="D32" s="46"/>
      <c r="E32" s="58"/>
      <c r="F32" s="53" t="s">
        <v>11</v>
      </c>
      <c r="G32" s="53" t="e">
        <f ca="1">IF(ISNA(VLOOKUP($D$7,INDIRECT($G$7&amp;"2012""!$a$6:$AC$100"),19,FALSE)),"",VLOOKUP($D$7,INDIRECT($G$7&amp;"!$a$6:$AC$100"),19,FALSE))</f>
        <v>#REF!</v>
      </c>
      <c r="H32" s="59"/>
    </row>
    <row r="33" spans="1:9" x14ac:dyDescent="0.25">
      <c r="B33" s="57"/>
      <c r="C33" s="41" t="s">
        <v>37</v>
      </c>
      <c r="D33" s="46" t="e">
        <f ca="1">IF(ISNA(VLOOKUP($D$7,INDIRECT($G$7&amp;"2012""!$a$6:$AC$100"),23,FALSE)),"",VLOOKUP($D$7,INDIRECT($G$7&amp;"!$a$6:$AC$100"),23,FALSE))</f>
        <v>#REF!</v>
      </c>
      <c r="E33" s="58"/>
      <c r="F33" s="53" t="s">
        <v>57</v>
      </c>
      <c r="G33" s="46" t="e">
        <f ca="1">IF(ISNA(VLOOKUP($D$7,INDIRECT($G$7&amp;"2011""!$a$6:$AC$100"),20,FALSE)),"",VLOOKUP($D$7,INDIRECT($G$7&amp;"!$a$6:$AC$100"),20,FALSE))</f>
        <v>#REF!</v>
      </c>
      <c r="H33" s="59"/>
    </row>
    <row r="34" spans="1:9" x14ac:dyDescent="0.25">
      <c r="B34" s="57"/>
      <c r="C34" s="41" t="s">
        <v>121</v>
      </c>
      <c r="D34" s="46" t="e">
        <f ca="1">IF(ISNA(VLOOKUP($D$7,INDIRECT($G$7&amp;"2011""!$a$6:$AW$100"),36,FALSE)),"",VLOOKUP($D$7,INDIRECT($G$7&amp;"!$a$6:$AW$100"),36,FALSE))</f>
        <v>#REF!</v>
      </c>
      <c r="E34" s="58"/>
      <c r="F34" s="41" t="s">
        <v>67</v>
      </c>
      <c r="G34" s="46" t="e">
        <f ca="1">IF(ISNA(VLOOKUP($D$7,INDIRECT($G$7&amp;"2011""!$a$6:$AC$100"),21,FALSE)),"",VLOOKUP($D$7,INDIRECT($G$7&amp;"!$a$6:$AC$100"),21,FALSE))</f>
        <v>#REF!</v>
      </c>
      <c r="H34" s="59"/>
    </row>
    <row r="35" spans="1:9" x14ac:dyDescent="0.25">
      <c r="B35" s="57"/>
      <c r="C35" s="53" t="s">
        <v>49</v>
      </c>
      <c r="D35" s="46" t="e">
        <f ca="1">IF(ISNA(VLOOKUP($D$7,INDIRECT($G$7&amp;"2012""!$a$6:$AM$100"),37,FALSE)),"",VLOOKUP($D$7,INDIRECT($G$7&amp;"!$a$6:$AM$100"),37,FALSE))</f>
        <v>#REF!</v>
      </c>
      <c r="E35" s="58"/>
      <c r="F35" s="41" t="s">
        <v>118</v>
      </c>
      <c r="G35" s="46" t="e">
        <f ca="1">IF(ISNA(VLOOKUP($D$7,INDIRECT($G$7&amp;"2011""!$a$6:$AC$100"),22,FALSE)),"",VLOOKUP($D$7,INDIRECT($G$7&amp;"!$a$6:$AC$100"),22,FALSE))</f>
        <v>#REF!</v>
      </c>
      <c r="H35" s="59"/>
    </row>
    <row r="36" spans="1:9" x14ac:dyDescent="0.25">
      <c r="B36" s="57"/>
      <c r="C36" s="53" t="s">
        <v>50</v>
      </c>
      <c r="D36" s="46" t="e">
        <f ca="1">IF(ISNA(VLOOKUP($D$7,INDIRECT($G$7&amp;"2011""!$a$6:$AW$100"),38,FALSE)),"",VLOOKUP($D$7,INDIRECT($G$7&amp;"!$a$6:$AW$100"),38,FALSE))</f>
        <v>#REF!</v>
      </c>
      <c r="E36" s="58"/>
      <c r="F36" s="58"/>
      <c r="G36" s="76"/>
      <c r="H36" s="59"/>
    </row>
    <row r="37" spans="1:9" x14ac:dyDescent="0.25">
      <c r="B37" s="57"/>
      <c r="C37" s="41" t="s">
        <v>60</v>
      </c>
      <c r="D37" s="46" t="e">
        <f ca="1">IF(ISNA(VLOOKUP($D$7,INDIRECT($G$7&amp;"2011""!$a$6:$AW$100"),39,FALSE)),"",VLOOKUP($D$7,INDIRECT($G$7&amp;"!$a$6:$AW$100"),39,FALSE))</f>
        <v>#REF!</v>
      </c>
      <c r="E37" s="58"/>
      <c r="F37" s="58"/>
      <c r="G37" s="58"/>
      <c r="H37" s="59"/>
    </row>
    <row r="38" spans="1:9" x14ac:dyDescent="0.25">
      <c r="B38" s="57"/>
      <c r="C38" s="41" t="s">
        <v>39</v>
      </c>
      <c r="D38" s="46" t="e">
        <f ca="1">IF(ISNA(VLOOKUP($D$7,INDIRECT($G$7&amp;"2011""!$a$6:$AH$100"),27,FALSE)),"",VLOOKUP($D$7,INDIRECT($G$7&amp;"!$a$6:$AH$100"),27,FALSE))</f>
        <v>#REF!</v>
      </c>
      <c r="E38" s="58"/>
      <c r="F38" s="58"/>
      <c r="G38" s="58"/>
      <c r="H38" s="59"/>
    </row>
    <row r="39" spans="1:9" x14ac:dyDescent="0.25">
      <c r="B39" s="77"/>
      <c r="C39" s="78"/>
      <c r="D39" s="78"/>
      <c r="E39" s="78"/>
      <c r="F39" s="78"/>
      <c r="G39" s="78"/>
      <c r="H39" s="73"/>
    </row>
    <row r="40" spans="1:9" x14ac:dyDescent="0.25">
      <c r="A40" s="1"/>
      <c r="B40" s="1"/>
      <c r="C40" s="1"/>
      <c r="D40" s="1"/>
      <c r="E40" s="1"/>
      <c r="F40" s="1"/>
      <c r="G40" s="1"/>
      <c r="H40" s="1"/>
      <c r="I40" s="1"/>
    </row>
    <row r="41" spans="1:9" x14ac:dyDescent="0.25">
      <c r="A41" s="1"/>
      <c r="I41" s="1"/>
    </row>
  </sheetData>
  <mergeCells count="6">
    <mergeCell ref="C30:D30"/>
    <mergeCell ref="F30:G30"/>
    <mergeCell ref="C5:D5"/>
    <mergeCell ref="F15:G15"/>
    <mergeCell ref="C15:E15"/>
    <mergeCell ref="C27:D27"/>
  </mergeCells>
  <hyperlinks>
    <hyperlink ref="C36" r:id="rId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E4:M12"/>
  <sheetViews>
    <sheetView topLeftCell="C1" workbookViewId="0">
      <selection activeCell="H20" sqref="H20"/>
    </sheetView>
  </sheetViews>
  <sheetFormatPr defaultRowHeight="15" x14ac:dyDescent="0.25"/>
  <cols>
    <col min="5" max="5" width="21.7109375" customWidth="1"/>
    <col min="8" max="8" width="19" customWidth="1"/>
  </cols>
  <sheetData>
    <row r="4" spans="5:13" x14ac:dyDescent="0.25">
      <c r="E4" s="31" t="s">
        <v>47</v>
      </c>
      <c r="F4" s="31" t="s">
        <v>115</v>
      </c>
      <c r="H4">
        <v>256778</v>
      </c>
      <c r="I4">
        <f>H4-200000</f>
        <v>56778</v>
      </c>
      <c r="K4">
        <v>650000</v>
      </c>
      <c r="L4">
        <v>200000</v>
      </c>
      <c r="M4" s="85">
        <v>0</v>
      </c>
    </row>
    <row r="5" spans="5:13" ht="15" customHeight="1" x14ac:dyDescent="0.25">
      <c r="E5" s="31" t="s">
        <v>111</v>
      </c>
      <c r="F5" s="31">
        <v>0</v>
      </c>
      <c r="G5" s="30"/>
      <c r="H5" s="30"/>
      <c r="I5">
        <f>I4*0.1</f>
        <v>5677.8</v>
      </c>
      <c r="L5">
        <v>300000</v>
      </c>
      <c r="M5" s="85">
        <v>0.1</v>
      </c>
    </row>
    <row r="6" spans="5:13" x14ac:dyDescent="0.25">
      <c r="E6" s="31" t="s">
        <v>112</v>
      </c>
      <c r="F6" s="32">
        <f>10%</f>
        <v>0.1</v>
      </c>
      <c r="H6" s="30"/>
      <c r="I6">
        <f>I5*0.03</f>
        <v>170.334</v>
      </c>
      <c r="L6">
        <v>150000</v>
      </c>
      <c r="M6" s="85">
        <v>0.2</v>
      </c>
    </row>
    <row r="7" spans="5:13" x14ac:dyDescent="0.25">
      <c r="E7" s="31" t="s">
        <v>113</v>
      </c>
      <c r="F7" s="32">
        <v>0.2</v>
      </c>
      <c r="H7" s="30"/>
      <c r="I7">
        <f>SUM(I5:I6)</f>
        <v>5848.134</v>
      </c>
    </row>
    <row r="8" spans="5:13" x14ac:dyDescent="0.25">
      <c r="E8" s="31" t="s">
        <v>114</v>
      </c>
      <c r="F8" s="32">
        <v>0.3</v>
      </c>
      <c r="H8" s="30"/>
      <c r="I8">
        <f>ROUND(I7,0)</f>
        <v>5848</v>
      </c>
    </row>
    <row r="9" spans="5:13" x14ac:dyDescent="0.25">
      <c r="E9" s="31"/>
      <c r="F9" s="31"/>
      <c r="H9" s="30"/>
    </row>
    <row r="10" spans="5:13" x14ac:dyDescent="0.25">
      <c r="H10" s="30"/>
    </row>
    <row r="11" spans="5:13" x14ac:dyDescent="0.25">
      <c r="H11" s="30"/>
    </row>
    <row r="12" spans="5:13" x14ac:dyDescent="0.25">
      <c r="H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Instructions</vt:lpstr>
      <vt:lpstr>Master</vt:lpstr>
      <vt:lpstr>Jul2013</vt:lpstr>
      <vt:lpstr>SalarySlip</vt:lpstr>
      <vt:lpstr>Tax Slab_2012</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sushant</dc:creator>
  <cp:lastModifiedBy>IRNA GUPTA</cp:lastModifiedBy>
  <cp:lastPrinted>2013-06-03T12:07:28Z</cp:lastPrinted>
  <dcterms:created xsi:type="dcterms:W3CDTF">2011-06-17T13:19:29Z</dcterms:created>
  <dcterms:modified xsi:type="dcterms:W3CDTF">2014-04-17T13:19:06Z</dcterms:modified>
</cp:coreProperties>
</file>