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Q1 Beta n Rm Calc" sheetId="2" r:id="rId1"/>
    <sheet name="Q1 WACC" sheetId="3" r:id="rId2"/>
    <sheet name="Q1 FCF" sheetId="1" r:id="rId3"/>
    <sheet name="Q2 Ratios" sheetId="5" r:id="rId4"/>
    <sheet name="Q2 industry avg" sheetId="6" r:id="rId5"/>
    <sheet name="Q5 Agency Cost" sheetId="4" r:id="rId6"/>
  </sheets>
  <calcPr calcId="145621"/>
</workbook>
</file>

<file path=xl/calcChain.xml><?xml version="1.0" encoding="utf-8"?>
<calcChain xmlns="http://schemas.openxmlformats.org/spreadsheetml/2006/main">
  <c r="C6" i="3" l="1"/>
  <c r="J35" i="5" l="1"/>
  <c r="I35" i="5"/>
  <c r="H35" i="5"/>
  <c r="Z15" i="6" l="1"/>
  <c r="Y15" i="6"/>
  <c r="X15" i="6"/>
  <c r="Z14" i="6"/>
  <c r="Y14" i="6"/>
  <c r="X14" i="6"/>
  <c r="Z13" i="6"/>
  <c r="Y13" i="6"/>
  <c r="X13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Z12" i="6" s="1"/>
  <c r="F12" i="6"/>
  <c r="Y12" i="6" s="1"/>
  <c r="E12" i="6"/>
  <c r="X12" i="6" s="1"/>
  <c r="Z11" i="6"/>
  <c r="Y11" i="6"/>
  <c r="X11" i="6"/>
  <c r="Z10" i="6"/>
  <c r="Y10" i="6"/>
  <c r="X10" i="6"/>
  <c r="Z9" i="6"/>
  <c r="Y9" i="6"/>
  <c r="X9" i="6"/>
  <c r="Z8" i="6"/>
  <c r="Y8" i="6"/>
  <c r="X8" i="6"/>
  <c r="Z7" i="6"/>
  <c r="Y7" i="6"/>
  <c r="X7" i="6"/>
  <c r="Z6" i="6"/>
  <c r="Y6" i="6"/>
  <c r="X6" i="6"/>
  <c r="Z5" i="6"/>
  <c r="Y5" i="6"/>
  <c r="X5" i="6"/>
  <c r="J32" i="5"/>
  <c r="I32" i="5"/>
  <c r="H32" i="5"/>
  <c r="E30" i="5"/>
  <c r="D30" i="5"/>
  <c r="I29" i="5" s="1"/>
  <c r="C30" i="5"/>
  <c r="J29" i="5"/>
  <c r="H29" i="5"/>
  <c r="J27" i="5"/>
  <c r="I27" i="5"/>
  <c r="H27" i="5"/>
  <c r="E25" i="5"/>
  <c r="J24" i="5" s="1"/>
  <c r="D25" i="5"/>
  <c r="C25" i="5"/>
  <c r="H24" i="5" s="1"/>
  <c r="I24" i="5"/>
  <c r="J21" i="5"/>
  <c r="H21" i="5"/>
  <c r="E21" i="5"/>
  <c r="D21" i="5"/>
  <c r="I21" i="5" s="1"/>
  <c r="C21" i="5"/>
  <c r="J18" i="5"/>
  <c r="I18" i="5"/>
  <c r="H18" i="5"/>
  <c r="J15" i="5"/>
  <c r="I15" i="5"/>
  <c r="H15" i="5"/>
  <c r="J12" i="5"/>
  <c r="I12" i="5"/>
  <c r="H12" i="5"/>
  <c r="J9" i="5"/>
  <c r="I9" i="5"/>
  <c r="H9" i="5"/>
  <c r="J6" i="5"/>
  <c r="I6" i="5"/>
  <c r="H6" i="5"/>
  <c r="J3" i="5"/>
  <c r="I3" i="5"/>
  <c r="H3" i="5"/>
  <c r="C14" i="3" l="1"/>
  <c r="C10" i="3"/>
  <c r="F6" i="3"/>
  <c r="C18" i="3" l="1"/>
  <c r="C21" i="3" s="1"/>
  <c r="F493" i="2"/>
  <c r="C493" i="2"/>
  <c r="F492" i="2"/>
  <c r="C492" i="2"/>
  <c r="F491" i="2"/>
  <c r="C491" i="2"/>
  <c r="F490" i="2"/>
  <c r="C490" i="2"/>
  <c r="F489" i="2"/>
  <c r="C489" i="2"/>
  <c r="F488" i="2"/>
  <c r="C488" i="2"/>
  <c r="F487" i="2"/>
  <c r="C487" i="2"/>
  <c r="F486" i="2"/>
  <c r="C486" i="2"/>
  <c r="F485" i="2"/>
  <c r="C485" i="2"/>
  <c r="F484" i="2"/>
  <c r="C484" i="2"/>
  <c r="F483" i="2"/>
  <c r="C483" i="2"/>
  <c r="F482" i="2"/>
  <c r="C482" i="2"/>
  <c r="F481" i="2"/>
  <c r="C481" i="2"/>
  <c r="F480" i="2"/>
  <c r="C480" i="2"/>
  <c r="F479" i="2"/>
  <c r="C479" i="2"/>
  <c r="F478" i="2"/>
  <c r="C478" i="2"/>
  <c r="F477" i="2"/>
  <c r="C477" i="2"/>
  <c r="F476" i="2"/>
  <c r="C476" i="2"/>
  <c r="F475" i="2"/>
  <c r="C475" i="2"/>
  <c r="F474" i="2"/>
  <c r="C474" i="2"/>
  <c r="F473" i="2"/>
  <c r="C473" i="2"/>
  <c r="F472" i="2"/>
  <c r="C472" i="2"/>
  <c r="F471" i="2"/>
  <c r="C471" i="2"/>
  <c r="F470" i="2"/>
  <c r="C470" i="2"/>
  <c r="F469" i="2"/>
  <c r="C469" i="2"/>
  <c r="F468" i="2"/>
  <c r="C468" i="2"/>
  <c r="F467" i="2"/>
  <c r="C467" i="2"/>
  <c r="F466" i="2"/>
  <c r="C466" i="2"/>
  <c r="F465" i="2"/>
  <c r="C465" i="2"/>
  <c r="F464" i="2"/>
  <c r="C464" i="2"/>
  <c r="F463" i="2"/>
  <c r="C463" i="2"/>
  <c r="F462" i="2"/>
  <c r="C462" i="2"/>
  <c r="F461" i="2"/>
  <c r="C461" i="2"/>
  <c r="F460" i="2"/>
  <c r="C460" i="2"/>
  <c r="F459" i="2"/>
  <c r="C459" i="2"/>
  <c r="F458" i="2"/>
  <c r="C458" i="2"/>
  <c r="F457" i="2"/>
  <c r="C457" i="2"/>
  <c r="F456" i="2"/>
  <c r="C456" i="2"/>
  <c r="F455" i="2"/>
  <c r="C455" i="2"/>
  <c r="F454" i="2"/>
  <c r="C454" i="2"/>
  <c r="F453" i="2"/>
  <c r="C453" i="2"/>
  <c r="F452" i="2"/>
  <c r="C452" i="2"/>
  <c r="F451" i="2"/>
  <c r="C451" i="2"/>
  <c r="F450" i="2"/>
  <c r="C450" i="2"/>
  <c r="F449" i="2"/>
  <c r="C449" i="2"/>
  <c r="F448" i="2"/>
  <c r="C448" i="2"/>
  <c r="F447" i="2"/>
  <c r="C447" i="2"/>
  <c r="F446" i="2"/>
  <c r="C446" i="2"/>
  <c r="F445" i="2"/>
  <c r="C445" i="2"/>
  <c r="F444" i="2"/>
  <c r="C444" i="2"/>
  <c r="F443" i="2"/>
  <c r="C443" i="2"/>
  <c r="F442" i="2"/>
  <c r="C442" i="2"/>
  <c r="F441" i="2"/>
  <c r="C441" i="2"/>
  <c r="F440" i="2"/>
  <c r="C440" i="2"/>
  <c r="F439" i="2"/>
  <c r="C439" i="2"/>
  <c r="F438" i="2"/>
  <c r="C438" i="2"/>
  <c r="F437" i="2"/>
  <c r="C437" i="2"/>
  <c r="F436" i="2"/>
  <c r="C436" i="2"/>
  <c r="F435" i="2"/>
  <c r="C435" i="2"/>
  <c r="F434" i="2"/>
  <c r="C434" i="2"/>
  <c r="F433" i="2"/>
  <c r="C433" i="2"/>
  <c r="F432" i="2"/>
  <c r="C432" i="2"/>
  <c r="F431" i="2"/>
  <c r="C431" i="2"/>
  <c r="F430" i="2"/>
  <c r="C430" i="2"/>
  <c r="F429" i="2"/>
  <c r="C429" i="2"/>
  <c r="F428" i="2"/>
  <c r="C428" i="2"/>
  <c r="F427" i="2"/>
  <c r="C427" i="2"/>
  <c r="F426" i="2"/>
  <c r="C426" i="2"/>
  <c r="F425" i="2"/>
  <c r="C425" i="2"/>
  <c r="F424" i="2"/>
  <c r="C424" i="2"/>
  <c r="F423" i="2"/>
  <c r="C423" i="2"/>
  <c r="F422" i="2"/>
  <c r="C422" i="2"/>
  <c r="F421" i="2"/>
  <c r="C421" i="2"/>
  <c r="F420" i="2"/>
  <c r="C420" i="2"/>
  <c r="F419" i="2"/>
  <c r="C419" i="2"/>
  <c r="F418" i="2"/>
  <c r="C418" i="2"/>
  <c r="F417" i="2"/>
  <c r="C417" i="2"/>
  <c r="F416" i="2"/>
  <c r="C416" i="2"/>
  <c r="F415" i="2"/>
  <c r="C415" i="2"/>
  <c r="F414" i="2"/>
  <c r="C414" i="2"/>
  <c r="F413" i="2"/>
  <c r="C413" i="2"/>
  <c r="F412" i="2"/>
  <c r="C412" i="2"/>
  <c r="F411" i="2"/>
  <c r="C411" i="2"/>
  <c r="F410" i="2"/>
  <c r="C410" i="2"/>
  <c r="F409" i="2"/>
  <c r="C409" i="2"/>
  <c r="F408" i="2"/>
  <c r="C408" i="2"/>
  <c r="F407" i="2"/>
  <c r="C407" i="2"/>
  <c r="F406" i="2"/>
  <c r="C406" i="2"/>
  <c r="F405" i="2"/>
  <c r="C405" i="2"/>
  <c r="F404" i="2"/>
  <c r="C404" i="2"/>
  <c r="F403" i="2"/>
  <c r="C403" i="2"/>
  <c r="F402" i="2"/>
  <c r="C402" i="2"/>
  <c r="F401" i="2"/>
  <c r="C401" i="2"/>
  <c r="F400" i="2"/>
  <c r="C400" i="2"/>
  <c r="F399" i="2"/>
  <c r="C399" i="2"/>
  <c r="F398" i="2"/>
  <c r="C398" i="2"/>
  <c r="F397" i="2"/>
  <c r="C397" i="2"/>
  <c r="F396" i="2"/>
  <c r="C396" i="2"/>
  <c r="F395" i="2"/>
  <c r="C395" i="2"/>
  <c r="F394" i="2"/>
  <c r="C394" i="2"/>
  <c r="F393" i="2"/>
  <c r="C393" i="2"/>
  <c r="F392" i="2"/>
  <c r="C392" i="2"/>
  <c r="F391" i="2"/>
  <c r="C391" i="2"/>
  <c r="F390" i="2"/>
  <c r="C390" i="2"/>
  <c r="F389" i="2"/>
  <c r="C389" i="2"/>
  <c r="F388" i="2"/>
  <c r="C388" i="2"/>
  <c r="F387" i="2"/>
  <c r="C387" i="2"/>
  <c r="F386" i="2"/>
  <c r="C386" i="2"/>
  <c r="F385" i="2"/>
  <c r="C385" i="2"/>
  <c r="F384" i="2"/>
  <c r="C384" i="2"/>
  <c r="F383" i="2"/>
  <c r="C383" i="2"/>
  <c r="F382" i="2"/>
  <c r="C382" i="2"/>
  <c r="F381" i="2"/>
  <c r="C381" i="2"/>
  <c r="F380" i="2"/>
  <c r="C380" i="2"/>
  <c r="F379" i="2"/>
  <c r="C379" i="2"/>
  <c r="F378" i="2"/>
  <c r="C378" i="2"/>
  <c r="F377" i="2"/>
  <c r="C377" i="2"/>
  <c r="F376" i="2"/>
  <c r="C376" i="2"/>
  <c r="F375" i="2"/>
  <c r="C375" i="2"/>
  <c r="F374" i="2"/>
  <c r="C374" i="2"/>
  <c r="F373" i="2"/>
  <c r="C373" i="2"/>
  <c r="F372" i="2"/>
  <c r="C372" i="2"/>
  <c r="F371" i="2"/>
  <c r="C371" i="2"/>
  <c r="F370" i="2"/>
  <c r="C370" i="2"/>
  <c r="F369" i="2"/>
  <c r="C369" i="2"/>
  <c r="F368" i="2"/>
  <c r="C368" i="2"/>
  <c r="F367" i="2"/>
  <c r="C367" i="2"/>
  <c r="F366" i="2"/>
  <c r="C366" i="2"/>
  <c r="F365" i="2"/>
  <c r="C365" i="2"/>
  <c r="F364" i="2"/>
  <c r="C364" i="2"/>
  <c r="F363" i="2"/>
  <c r="C363" i="2"/>
  <c r="F362" i="2"/>
  <c r="C362" i="2"/>
  <c r="F361" i="2"/>
  <c r="C361" i="2"/>
  <c r="F360" i="2"/>
  <c r="C360" i="2"/>
  <c r="F359" i="2"/>
  <c r="C359" i="2"/>
  <c r="F358" i="2"/>
  <c r="C358" i="2"/>
  <c r="F357" i="2"/>
  <c r="C357" i="2"/>
  <c r="F356" i="2"/>
  <c r="C356" i="2"/>
  <c r="F355" i="2"/>
  <c r="C355" i="2"/>
  <c r="F354" i="2"/>
  <c r="C354" i="2"/>
  <c r="F353" i="2"/>
  <c r="C353" i="2"/>
  <c r="F352" i="2"/>
  <c r="C352" i="2"/>
  <c r="F351" i="2"/>
  <c r="C351" i="2"/>
  <c r="F350" i="2"/>
  <c r="C350" i="2"/>
  <c r="F349" i="2"/>
  <c r="C349" i="2"/>
  <c r="F348" i="2"/>
  <c r="C348" i="2"/>
  <c r="F347" i="2"/>
  <c r="C347" i="2"/>
  <c r="F346" i="2"/>
  <c r="C346" i="2"/>
  <c r="F345" i="2"/>
  <c r="C345" i="2"/>
  <c r="F344" i="2"/>
  <c r="C344" i="2"/>
  <c r="F343" i="2"/>
  <c r="C343" i="2"/>
  <c r="F342" i="2"/>
  <c r="C342" i="2"/>
  <c r="F341" i="2"/>
  <c r="C341" i="2"/>
  <c r="F340" i="2"/>
  <c r="C340" i="2"/>
  <c r="F339" i="2"/>
  <c r="C339" i="2"/>
  <c r="F338" i="2"/>
  <c r="C338" i="2"/>
  <c r="F337" i="2"/>
  <c r="C337" i="2"/>
  <c r="F336" i="2"/>
  <c r="C336" i="2"/>
  <c r="F335" i="2"/>
  <c r="C335" i="2"/>
  <c r="F334" i="2"/>
  <c r="C334" i="2"/>
  <c r="F333" i="2"/>
  <c r="C333" i="2"/>
  <c r="F332" i="2"/>
  <c r="C332" i="2"/>
  <c r="F331" i="2"/>
  <c r="C331" i="2"/>
  <c r="F330" i="2"/>
  <c r="C330" i="2"/>
  <c r="F329" i="2"/>
  <c r="C329" i="2"/>
  <c r="F328" i="2"/>
  <c r="C328" i="2"/>
  <c r="F327" i="2"/>
  <c r="C327" i="2"/>
  <c r="F326" i="2"/>
  <c r="C326" i="2"/>
  <c r="F325" i="2"/>
  <c r="C325" i="2"/>
  <c r="F324" i="2"/>
  <c r="C324" i="2"/>
  <c r="F323" i="2"/>
  <c r="C323" i="2"/>
  <c r="F322" i="2"/>
  <c r="C322" i="2"/>
  <c r="F321" i="2"/>
  <c r="C321" i="2"/>
  <c r="F320" i="2"/>
  <c r="C320" i="2"/>
  <c r="F319" i="2"/>
  <c r="C319" i="2"/>
  <c r="F318" i="2"/>
  <c r="C318" i="2"/>
  <c r="F317" i="2"/>
  <c r="C317" i="2"/>
  <c r="F316" i="2"/>
  <c r="C316" i="2"/>
  <c r="F315" i="2"/>
  <c r="C315" i="2"/>
  <c r="F314" i="2"/>
  <c r="C314" i="2"/>
  <c r="F313" i="2"/>
  <c r="C313" i="2"/>
  <c r="F312" i="2"/>
  <c r="C312" i="2"/>
  <c r="F311" i="2"/>
  <c r="C311" i="2"/>
  <c r="F310" i="2"/>
  <c r="C310" i="2"/>
  <c r="F309" i="2"/>
  <c r="C309" i="2"/>
  <c r="F308" i="2"/>
  <c r="C308" i="2"/>
  <c r="F307" i="2"/>
  <c r="C307" i="2"/>
  <c r="F306" i="2"/>
  <c r="C306" i="2"/>
  <c r="F305" i="2"/>
  <c r="C305" i="2"/>
  <c r="F304" i="2"/>
  <c r="C304" i="2"/>
  <c r="F303" i="2"/>
  <c r="C303" i="2"/>
  <c r="F302" i="2"/>
  <c r="C302" i="2"/>
  <c r="F301" i="2"/>
  <c r="C301" i="2"/>
  <c r="F300" i="2"/>
  <c r="C300" i="2"/>
  <c r="F299" i="2"/>
  <c r="C299" i="2"/>
  <c r="F298" i="2"/>
  <c r="C298" i="2"/>
  <c r="F297" i="2"/>
  <c r="C297" i="2"/>
  <c r="F296" i="2"/>
  <c r="C296" i="2"/>
  <c r="F295" i="2"/>
  <c r="C295" i="2"/>
  <c r="F294" i="2"/>
  <c r="C294" i="2"/>
  <c r="F293" i="2"/>
  <c r="C293" i="2"/>
  <c r="F292" i="2"/>
  <c r="C292" i="2"/>
  <c r="F291" i="2"/>
  <c r="C291" i="2"/>
  <c r="F290" i="2"/>
  <c r="C290" i="2"/>
  <c r="F289" i="2"/>
  <c r="C289" i="2"/>
  <c r="F288" i="2"/>
  <c r="C288" i="2"/>
  <c r="F287" i="2"/>
  <c r="C287" i="2"/>
  <c r="F286" i="2"/>
  <c r="C286" i="2"/>
  <c r="F285" i="2"/>
  <c r="C285" i="2"/>
  <c r="F284" i="2"/>
  <c r="C284" i="2"/>
  <c r="F283" i="2"/>
  <c r="C283" i="2"/>
  <c r="F282" i="2"/>
  <c r="C282" i="2"/>
  <c r="F281" i="2"/>
  <c r="C281" i="2"/>
  <c r="F280" i="2"/>
  <c r="C280" i="2"/>
  <c r="F279" i="2"/>
  <c r="C279" i="2"/>
  <c r="F278" i="2"/>
  <c r="C278" i="2"/>
  <c r="F277" i="2"/>
  <c r="C277" i="2"/>
  <c r="F276" i="2"/>
  <c r="C276" i="2"/>
  <c r="F275" i="2"/>
  <c r="C275" i="2"/>
  <c r="F274" i="2"/>
  <c r="C274" i="2"/>
  <c r="F273" i="2"/>
  <c r="C273" i="2"/>
  <c r="F272" i="2"/>
  <c r="C272" i="2"/>
  <c r="F271" i="2"/>
  <c r="C271" i="2"/>
  <c r="F270" i="2"/>
  <c r="C270" i="2"/>
  <c r="F269" i="2"/>
  <c r="C269" i="2"/>
  <c r="F268" i="2"/>
  <c r="C268" i="2"/>
  <c r="F267" i="2"/>
  <c r="C267" i="2"/>
  <c r="F266" i="2"/>
  <c r="C266" i="2"/>
  <c r="F265" i="2"/>
  <c r="C265" i="2"/>
  <c r="F264" i="2"/>
  <c r="C264" i="2"/>
  <c r="F263" i="2"/>
  <c r="C263" i="2"/>
  <c r="F262" i="2"/>
  <c r="C262" i="2"/>
  <c r="F261" i="2"/>
  <c r="C261" i="2"/>
  <c r="F260" i="2"/>
  <c r="C260" i="2"/>
  <c r="F259" i="2"/>
  <c r="C259" i="2"/>
  <c r="F258" i="2"/>
  <c r="C258" i="2"/>
  <c r="F257" i="2"/>
  <c r="C257" i="2"/>
  <c r="F256" i="2"/>
  <c r="C256" i="2"/>
  <c r="F255" i="2"/>
  <c r="C255" i="2"/>
  <c r="F254" i="2"/>
  <c r="C254" i="2"/>
  <c r="F253" i="2"/>
  <c r="C253" i="2"/>
  <c r="F252" i="2"/>
  <c r="C252" i="2"/>
  <c r="F251" i="2"/>
  <c r="C251" i="2"/>
  <c r="F250" i="2"/>
  <c r="C250" i="2"/>
  <c r="F249" i="2"/>
  <c r="C249" i="2"/>
  <c r="F248" i="2"/>
  <c r="C248" i="2"/>
  <c r="F247" i="2"/>
  <c r="C247" i="2"/>
  <c r="F246" i="2"/>
  <c r="C246" i="2"/>
  <c r="F245" i="2"/>
  <c r="C245" i="2"/>
  <c r="F244" i="2"/>
  <c r="C244" i="2"/>
  <c r="F243" i="2"/>
  <c r="C243" i="2"/>
  <c r="F242" i="2"/>
  <c r="C242" i="2"/>
  <c r="F241" i="2"/>
  <c r="C241" i="2"/>
  <c r="F240" i="2"/>
  <c r="C240" i="2"/>
  <c r="F239" i="2"/>
  <c r="C239" i="2"/>
  <c r="F238" i="2"/>
  <c r="C238" i="2"/>
  <c r="F237" i="2"/>
  <c r="C237" i="2"/>
  <c r="F236" i="2"/>
  <c r="C236" i="2"/>
  <c r="F235" i="2"/>
  <c r="C235" i="2"/>
  <c r="F234" i="2"/>
  <c r="C234" i="2"/>
  <c r="F233" i="2"/>
  <c r="C233" i="2"/>
  <c r="F232" i="2"/>
  <c r="C232" i="2"/>
  <c r="F231" i="2"/>
  <c r="C231" i="2"/>
  <c r="F230" i="2"/>
  <c r="C230" i="2"/>
  <c r="F229" i="2"/>
  <c r="C229" i="2"/>
  <c r="F228" i="2"/>
  <c r="C228" i="2"/>
  <c r="F227" i="2"/>
  <c r="C227" i="2"/>
  <c r="F226" i="2"/>
  <c r="C226" i="2"/>
  <c r="F225" i="2"/>
  <c r="C225" i="2"/>
  <c r="F224" i="2"/>
  <c r="C224" i="2"/>
  <c r="F223" i="2"/>
  <c r="C223" i="2"/>
  <c r="F222" i="2"/>
  <c r="C222" i="2"/>
  <c r="F221" i="2"/>
  <c r="C221" i="2"/>
  <c r="F220" i="2"/>
  <c r="C220" i="2"/>
  <c r="F219" i="2"/>
  <c r="C219" i="2"/>
  <c r="F218" i="2"/>
  <c r="C218" i="2"/>
  <c r="F217" i="2"/>
  <c r="C217" i="2"/>
  <c r="F216" i="2"/>
  <c r="C216" i="2"/>
  <c r="F215" i="2"/>
  <c r="C215" i="2"/>
  <c r="F214" i="2"/>
  <c r="C214" i="2"/>
  <c r="F213" i="2"/>
  <c r="C213" i="2"/>
  <c r="F212" i="2"/>
  <c r="C212" i="2"/>
  <c r="F211" i="2"/>
  <c r="C211" i="2"/>
  <c r="F210" i="2"/>
  <c r="C210" i="2"/>
  <c r="F209" i="2"/>
  <c r="C209" i="2"/>
  <c r="F208" i="2"/>
  <c r="C208" i="2"/>
  <c r="F207" i="2"/>
  <c r="C207" i="2"/>
  <c r="F206" i="2"/>
  <c r="C206" i="2"/>
  <c r="F205" i="2"/>
  <c r="C205" i="2"/>
  <c r="F204" i="2"/>
  <c r="C204" i="2"/>
  <c r="F203" i="2"/>
  <c r="C203" i="2"/>
  <c r="F202" i="2"/>
  <c r="C202" i="2"/>
  <c r="F201" i="2"/>
  <c r="C201" i="2"/>
  <c r="F200" i="2"/>
  <c r="C200" i="2"/>
  <c r="F199" i="2"/>
  <c r="C199" i="2"/>
  <c r="F198" i="2"/>
  <c r="C198" i="2"/>
  <c r="F197" i="2"/>
  <c r="C197" i="2"/>
  <c r="F196" i="2"/>
  <c r="C196" i="2"/>
  <c r="F195" i="2"/>
  <c r="C195" i="2"/>
  <c r="F194" i="2"/>
  <c r="C194" i="2"/>
  <c r="F193" i="2"/>
  <c r="C193" i="2"/>
  <c r="F192" i="2"/>
  <c r="C192" i="2"/>
  <c r="F191" i="2"/>
  <c r="C191" i="2"/>
  <c r="F190" i="2"/>
  <c r="C190" i="2"/>
  <c r="F189" i="2"/>
  <c r="C189" i="2"/>
  <c r="F188" i="2"/>
  <c r="C188" i="2"/>
  <c r="F187" i="2"/>
  <c r="C187" i="2"/>
  <c r="F186" i="2"/>
  <c r="C186" i="2"/>
  <c r="F185" i="2"/>
  <c r="C185" i="2"/>
  <c r="F184" i="2"/>
  <c r="C184" i="2"/>
  <c r="F183" i="2"/>
  <c r="C183" i="2"/>
  <c r="F182" i="2"/>
  <c r="C182" i="2"/>
  <c r="F181" i="2"/>
  <c r="C181" i="2"/>
  <c r="F180" i="2"/>
  <c r="C180" i="2"/>
  <c r="F179" i="2"/>
  <c r="C179" i="2"/>
  <c r="F178" i="2"/>
  <c r="C178" i="2"/>
  <c r="F177" i="2"/>
  <c r="C177" i="2"/>
  <c r="F176" i="2"/>
  <c r="C176" i="2"/>
  <c r="F175" i="2"/>
  <c r="C175" i="2"/>
  <c r="F174" i="2"/>
  <c r="C174" i="2"/>
  <c r="F173" i="2"/>
  <c r="C173" i="2"/>
  <c r="F172" i="2"/>
  <c r="C172" i="2"/>
  <c r="F171" i="2"/>
  <c r="C171" i="2"/>
  <c r="F170" i="2"/>
  <c r="C170" i="2"/>
  <c r="F169" i="2"/>
  <c r="C169" i="2"/>
  <c r="F168" i="2"/>
  <c r="C168" i="2"/>
  <c r="F167" i="2"/>
  <c r="C167" i="2"/>
  <c r="F166" i="2"/>
  <c r="C166" i="2"/>
  <c r="F165" i="2"/>
  <c r="C165" i="2"/>
  <c r="F164" i="2"/>
  <c r="C164" i="2"/>
  <c r="F163" i="2"/>
  <c r="C163" i="2"/>
  <c r="F162" i="2"/>
  <c r="C162" i="2"/>
  <c r="F161" i="2"/>
  <c r="C161" i="2"/>
  <c r="F160" i="2"/>
  <c r="C160" i="2"/>
  <c r="F159" i="2"/>
  <c r="C159" i="2"/>
  <c r="F158" i="2"/>
  <c r="C158" i="2"/>
  <c r="F157" i="2"/>
  <c r="C157" i="2"/>
  <c r="F156" i="2"/>
  <c r="C156" i="2"/>
  <c r="F155" i="2"/>
  <c r="C155" i="2"/>
  <c r="F154" i="2"/>
  <c r="C154" i="2"/>
  <c r="F153" i="2"/>
  <c r="C153" i="2"/>
  <c r="F152" i="2"/>
  <c r="C152" i="2"/>
  <c r="F151" i="2"/>
  <c r="C151" i="2"/>
  <c r="F150" i="2"/>
  <c r="C150" i="2"/>
  <c r="F149" i="2"/>
  <c r="C149" i="2"/>
  <c r="F148" i="2"/>
  <c r="C148" i="2"/>
  <c r="F147" i="2"/>
  <c r="C147" i="2"/>
  <c r="F146" i="2"/>
  <c r="C146" i="2"/>
  <c r="F145" i="2"/>
  <c r="C145" i="2"/>
  <c r="F144" i="2"/>
  <c r="C144" i="2"/>
  <c r="F143" i="2"/>
  <c r="C143" i="2"/>
  <c r="F142" i="2"/>
  <c r="C142" i="2"/>
  <c r="F141" i="2"/>
  <c r="C141" i="2"/>
  <c r="F140" i="2"/>
  <c r="C140" i="2"/>
  <c r="F139" i="2"/>
  <c r="C139" i="2"/>
  <c r="F138" i="2"/>
  <c r="C138" i="2"/>
  <c r="F137" i="2"/>
  <c r="C137" i="2"/>
  <c r="F136" i="2"/>
  <c r="C136" i="2"/>
  <c r="F135" i="2"/>
  <c r="C135" i="2"/>
  <c r="F134" i="2"/>
  <c r="C134" i="2"/>
  <c r="F133" i="2"/>
  <c r="C133" i="2"/>
  <c r="F132" i="2"/>
  <c r="C132" i="2"/>
  <c r="F131" i="2"/>
  <c r="C131" i="2"/>
  <c r="F130" i="2"/>
  <c r="C130" i="2"/>
  <c r="F129" i="2"/>
  <c r="C129" i="2"/>
  <c r="F128" i="2"/>
  <c r="C128" i="2"/>
  <c r="F127" i="2"/>
  <c r="C127" i="2"/>
  <c r="F126" i="2"/>
  <c r="C126" i="2"/>
  <c r="F125" i="2"/>
  <c r="C125" i="2"/>
  <c r="F124" i="2"/>
  <c r="C124" i="2"/>
  <c r="F123" i="2"/>
  <c r="C123" i="2"/>
  <c r="F122" i="2"/>
  <c r="C122" i="2"/>
  <c r="F121" i="2"/>
  <c r="C121" i="2"/>
  <c r="F120" i="2"/>
  <c r="C120" i="2"/>
  <c r="F119" i="2"/>
  <c r="C119" i="2"/>
  <c r="F118" i="2"/>
  <c r="C118" i="2"/>
  <c r="F117" i="2"/>
  <c r="C117" i="2"/>
  <c r="F116" i="2"/>
  <c r="C116" i="2"/>
  <c r="F115" i="2"/>
  <c r="C115" i="2"/>
  <c r="F114" i="2"/>
  <c r="C114" i="2"/>
  <c r="F113" i="2"/>
  <c r="C113" i="2"/>
  <c r="F112" i="2"/>
  <c r="C112" i="2"/>
  <c r="F111" i="2"/>
  <c r="C111" i="2"/>
  <c r="F110" i="2"/>
  <c r="C110" i="2"/>
  <c r="F109" i="2"/>
  <c r="C109" i="2"/>
  <c r="F108" i="2"/>
  <c r="C108" i="2"/>
  <c r="F107" i="2"/>
  <c r="C107" i="2"/>
  <c r="F106" i="2"/>
  <c r="C106" i="2"/>
  <c r="F105" i="2"/>
  <c r="C105" i="2"/>
  <c r="F104" i="2"/>
  <c r="C104" i="2"/>
  <c r="F103" i="2"/>
  <c r="C103" i="2"/>
  <c r="F102" i="2"/>
  <c r="C102" i="2"/>
  <c r="F101" i="2"/>
  <c r="C101" i="2"/>
  <c r="F100" i="2"/>
  <c r="C100" i="2"/>
  <c r="F99" i="2"/>
  <c r="C99" i="2"/>
  <c r="F98" i="2"/>
  <c r="C98" i="2"/>
  <c r="F97" i="2"/>
  <c r="C97" i="2"/>
  <c r="F96" i="2"/>
  <c r="C96" i="2"/>
  <c r="F95" i="2"/>
  <c r="C95" i="2"/>
  <c r="F94" i="2"/>
  <c r="C94" i="2"/>
  <c r="F93" i="2"/>
  <c r="C93" i="2"/>
  <c r="F92" i="2"/>
  <c r="C92" i="2"/>
  <c r="F91" i="2"/>
  <c r="C91" i="2"/>
  <c r="F90" i="2"/>
  <c r="C90" i="2"/>
  <c r="F89" i="2"/>
  <c r="C89" i="2"/>
  <c r="F88" i="2"/>
  <c r="C88" i="2"/>
  <c r="F87" i="2"/>
  <c r="C87" i="2"/>
  <c r="F86" i="2"/>
  <c r="C86" i="2"/>
  <c r="F85" i="2"/>
  <c r="C85" i="2"/>
  <c r="F84" i="2"/>
  <c r="C84" i="2"/>
  <c r="F83" i="2"/>
  <c r="C83" i="2"/>
  <c r="F82" i="2"/>
  <c r="C82" i="2"/>
  <c r="F81" i="2"/>
  <c r="C81" i="2"/>
  <c r="F80" i="2"/>
  <c r="C80" i="2"/>
  <c r="F79" i="2"/>
  <c r="C79" i="2"/>
  <c r="F78" i="2"/>
  <c r="C78" i="2"/>
  <c r="F77" i="2"/>
  <c r="C77" i="2"/>
  <c r="F76" i="2"/>
  <c r="C76" i="2"/>
  <c r="F75" i="2"/>
  <c r="C75" i="2"/>
  <c r="F74" i="2"/>
  <c r="C74" i="2"/>
  <c r="F73" i="2"/>
  <c r="C73" i="2"/>
  <c r="F72" i="2"/>
  <c r="C72" i="2"/>
  <c r="F71" i="2"/>
  <c r="C71" i="2"/>
  <c r="F70" i="2"/>
  <c r="C70" i="2"/>
  <c r="F69" i="2"/>
  <c r="C69" i="2"/>
  <c r="F68" i="2"/>
  <c r="C68" i="2"/>
  <c r="F67" i="2"/>
  <c r="C67" i="2"/>
  <c r="F66" i="2"/>
  <c r="C66" i="2"/>
  <c r="F65" i="2"/>
  <c r="C65" i="2"/>
  <c r="F64" i="2"/>
  <c r="C64" i="2"/>
  <c r="F63" i="2"/>
  <c r="C63" i="2"/>
  <c r="F62" i="2"/>
  <c r="C62" i="2"/>
  <c r="F61" i="2"/>
  <c r="C61" i="2"/>
  <c r="F60" i="2"/>
  <c r="C60" i="2"/>
  <c r="F59" i="2"/>
  <c r="C59" i="2"/>
  <c r="F58" i="2"/>
  <c r="C58" i="2"/>
  <c r="F57" i="2"/>
  <c r="C57" i="2"/>
  <c r="F56" i="2"/>
  <c r="C56" i="2"/>
  <c r="F55" i="2"/>
  <c r="C55" i="2"/>
  <c r="F54" i="2"/>
  <c r="C54" i="2"/>
  <c r="F53" i="2"/>
  <c r="C53" i="2"/>
  <c r="F52" i="2"/>
  <c r="C52" i="2"/>
  <c r="F51" i="2"/>
  <c r="C51" i="2"/>
  <c r="F50" i="2"/>
  <c r="C50" i="2"/>
  <c r="F49" i="2"/>
  <c r="C49" i="2"/>
  <c r="F48" i="2"/>
  <c r="C48" i="2"/>
  <c r="F47" i="2"/>
  <c r="C47" i="2"/>
  <c r="F46" i="2"/>
  <c r="C46" i="2"/>
  <c r="F45" i="2"/>
  <c r="C45" i="2"/>
  <c r="F44" i="2"/>
  <c r="C44" i="2"/>
  <c r="F43" i="2"/>
  <c r="C43" i="2"/>
  <c r="F42" i="2"/>
  <c r="C42" i="2"/>
  <c r="F41" i="2"/>
  <c r="C41" i="2"/>
  <c r="F40" i="2"/>
  <c r="C40" i="2"/>
  <c r="F39" i="2"/>
  <c r="C39" i="2"/>
  <c r="F38" i="2"/>
  <c r="C38" i="2"/>
  <c r="F37" i="2"/>
  <c r="C37" i="2"/>
  <c r="F36" i="2"/>
  <c r="C36" i="2"/>
  <c r="F35" i="2"/>
  <c r="C35" i="2"/>
  <c r="F34" i="2"/>
  <c r="C34" i="2"/>
  <c r="F33" i="2"/>
  <c r="C33" i="2"/>
  <c r="F32" i="2"/>
  <c r="C32" i="2"/>
  <c r="F31" i="2"/>
  <c r="C31" i="2"/>
  <c r="F30" i="2"/>
  <c r="C30" i="2"/>
  <c r="F29" i="2"/>
  <c r="C29" i="2"/>
  <c r="F28" i="2"/>
  <c r="C28" i="2"/>
  <c r="F27" i="2"/>
  <c r="C27" i="2"/>
  <c r="F26" i="2"/>
  <c r="C26" i="2"/>
  <c r="F25" i="2"/>
  <c r="C25" i="2"/>
  <c r="F24" i="2"/>
  <c r="C24" i="2"/>
  <c r="F23" i="2"/>
  <c r="C23" i="2"/>
  <c r="F22" i="2"/>
  <c r="C22" i="2"/>
  <c r="F21" i="2"/>
  <c r="C21" i="2"/>
  <c r="F20" i="2"/>
  <c r="C20" i="2"/>
  <c r="F19" i="2"/>
  <c r="C19" i="2"/>
  <c r="F18" i="2"/>
  <c r="C18" i="2"/>
  <c r="F17" i="2"/>
  <c r="C17" i="2"/>
  <c r="F16" i="2"/>
  <c r="C16" i="2"/>
  <c r="F15" i="2"/>
  <c r="C15" i="2"/>
  <c r="F14" i="2"/>
  <c r="C14" i="2"/>
  <c r="F13" i="2"/>
  <c r="C13" i="2"/>
  <c r="F12" i="2"/>
  <c r="C12" i="2"/>
  <c r="F11" i="2"/>
  <c r="C11" i="2"/>
  <c r="F10" i="2"/>
  <c r="C10" i="2"/>
  <c r="F9" i="2"/>
  <c r="C9" i="2"/>
  <c r="I8" i="2"/>
  <c r="F8" i="2"/>
  <c r="C8" i="2"/>
  <c r="F7" i="2"/>
  <c r="C7" i="2"/>
  <c r="F6" i="2"/>
  <c r="C6" i="2"/>
  <c r="F5" i="2"/>
  <c r="C5" i="2"/>
  <c r="F4" i="2"/>
  <c r="C4" i="2"/>
  <c r="M3" i="2"/>
  <c r="F3" i="2"/>
  <c r="C3" i="2"/>
  <c r="O23" i="1"/>
  <c r="O24" i="1" s="1"/>
  <c r="P23" i="1"/>
  <c r="P24" i="1" s="1"/>
  <c r="Q23" i="1"/>
  <c r="Q24" i="1" s="1"/>
  <c r="R23" i="1"/>
  <c r="S23" i="1"/>
  <c r="S24" i="1" s="1"/>
  <c r="T23" i="1"/>
  <c r="T24" i="1" s="1"/>
  <c r="U23" i="1"/>
  <c r="U24" i="1" s="1"/>
  <c r="U5" i="1"/>
  <c r="T5" i="1"/>
  <c r="S5" i="1"/>
  <c r="R5" i="1"/>
  <c r="Q5" i="1"/>
  <c r="P5" i="1"/>
  <c r="N24" i="1"/>
  <c r="R24" i="1"/>
  <c r="C20" i="3" l="1"/>
  <c r="C24" i="3" s="1"/>
  <c r="O17" i="1"/>
  <c r="P17" i="1" s="1"/>
  <c r="Q17" i="1" s="1"/>
  <c r="J37" i="1"/>
  <c r="J38" i="1" s="1"/>
  <c r="R17" i="1" l="1"/>
  <c r="Q18" i="1"/>
  <c r="P18" i="1"/>
  <c r="O18" i="1"/>
  <c r="S17" i="1" l="1"/>
  <c r="R18" i="1"/>
  <c r="T17" i="1" l="1"/>
  <c r="S18" i="1"/>
  <c r="J23" i="1"/>
  <c r="E28" i="1"/>
  <c r="F28" i="1"/>
  <c r="G28" i="1"/>
  <c r="H28" i="1"/>
  <c r="I28" i="1"/>
  <c r="D28" i="1"/>
  <c r="E35" i="1"/>
  <c r="F35" i="1"/>
  <c r="G35" i="1"/>
  <c r="H35" i="1"/>
  <c r="I35" i="1"/>
  <c r="E8" i="1"/>
  <c r="F8" i="1"/>
  <c r="G8" i="1"/>
  <c r="H8" i="1"/>
  <c r="I8" i="1"/>
  <c r="D8" i="1"/>
  <c r="J28" i="1" l="1"/>
  <c r="F39" i="1"/>
  <c r="F42" i="1"/>
  <c r="D39" i="1"/>
  <c r="D42" i="1"/>
  <c r="N6" i="1"/>
  <c r="O6" i="1" s="1"/>
  <c r="O9" i="1" s="1"/>
  <c r="I39" i="1"/>
  <c r="I42" i="1"/>
  <c r="E39" i="1"/>
  <c r="E42" i="1"/>
  <c r="H39" i="1"/>
  <c r="H42" i="1"/>
  <c r="G39" i="1"/>
  <c r="G42" i="1"/>
  <c r="U17" i="1"/>
  <c r="U18" i="1" s="1"/>
  <c r="T18" i="1"/>
  <c r="J35" i="1"/>
  <c r="F38" i="1"/>
  <c r="G38" i="1"/>
  <c r="H38" i="1"/>
  <c r="I38" i="1"/>
  <c r="E38" i="1"/>
  <c r="J42" i="1" l="1"/>
  <c r="J41" i="1" s="1"/>
  <c r="N8" i="1"/>
  <c r="N10" i="1" s="1"/>
  <c r="N11" i="1" s="1"/>
  <c r="N15" i="1" s="1"/>
  <c r="N21" i="1" s="1"/>
  <c r="N25" i="1" s="1"/>
  <c r="P6" i="1"/>
  <c r="O19" i="1"/>
  <c r="O16" i="1" s="1"/>
  <c r="O8" i="1"/>
  <c r="O10" i="1" s="1"/>
  <c r="O11" i="1" s="1"/>
  <c r="O15" i="1" s="1"/>
  <c r="N9" i="1"/>
  <c r="E18" i="1"/>
  <c r="F18" i="1"/>
  <c r="G18" i="1"/>
  <c r="H18" i="1"/>
  <c r="I18" i="1"/>
  <c r="D18" i="1"/>
  <c r="O21" i="1" l="1"/>
  <c r="O25" i="1" s="1"/>
  <c r="P9" i="1"/>
  <c r="P19" i="1"/>
  <c r="P16" i="1" s="1"/>
  <c r="Q6" i="1"/>
  <c r="P8" i="1"/>
  <c r="I31" i="1"/>
  <c r="E31" i="1"/>
  <c r="H31" i="1"/>
  <c r="G31" i="1"/>
  <c r="D31" i="1"/>
  <c r="F31" i="1"/>
  <c r="E22" i="1"/>
  <c r="H20" i="1"/>
  <c r="I20" i="1"/>
  <c r="D22" i="1"/>
  <c r="G20" i="1"/>
  <c r="F20" i="1"/>
  <c r="H22" i="1"/>
  <c r="D20" i="1"/>
  <c r="G22" i="1"/>
  <c r="F22" i="1"/>
  <c r="E20" i="1"/>
  <c r="I22" i="1"/>
  <c r="P10" i="1" l="1"/>
  <c r="P11" i="1" s="1"/>
  <c r="P15" i="1" s="1"/>
  <c r="P21" i="1" s="1"/>
  <c r="P25" i="1" s="1"/>
  <c r="Q19" i="1"/>
  <c r="Q16" i="1" s="1"/>
  <c r="R6" i="1"/>
  <c r="Q9" i="1"/>
  <c r="Q8" i="1"/>
  <c r="I32" i="1"/>
  <c r="D32" i="1"/>
  <c r="E32" i="1"/>
  <c r="H32" i="1"/>
  <c r="F32" i="1"/>
  <c r="G32" i="1"/>
  <c r="Q10" i="1" l="1"/>
  <c r="Q11" i="1" s="1"/>
  <c r="Q15" i="1" s="1"/>
  <c r="Q21" i="1" s="1"/>
  <c r="Q25" i="1" s="1"/>
  <c r="R19" i="1"/>
  <c r="R16" i="1" s="1"/>
  <c r="S6" i="1"/>
  <c r="R9" i="1"/>
  <c r="R8" i="1"/>
  <c r="R10" i="1" l="1"/>
  <c r="R11" i="1" s="1"/>
  <c r="R15" i="1" s="1"/>
  <c r="R21" i="1" s="1"/>
  <c r="R25" i="1" s="1"/>
  <c r="S19" i="1"/>
  <c r="S16" i="1" s="1"/>
  <c r="T6" i="1"/>
  <c r="S8" i="1"/>
  <c r="S9" i="1"/>
  <c r="S10" i="1" l="1"/>
  <c r="S11" i="1" s="1"/>
  <c r="S15" i="1" s="1"/>
  <c r="S21" i="1" s="1"/>
  <c r="S25" i="1" s="1"/>
  <c r="T19" i="1"/>
  <c r="T16" i="1" s="1"/>
  <c r="T8" i="1"/>
  <c r="U6" i="1"/>
  <c r="T9" i="1"/>
  <c r="U19" i="1" l="1"/>
  <c r="U16" i="1" s="1"/>
  <c r="U9" i="1"/>
  <c r="U8" i="1"/>
  <c r="U10" i="1" s="1"/>
  <c r="U11" i="1" s="1"/>
  <c r="U15" i="1" s="1"/>
  <c r="T10" i="1"/>
  <c r="T11" i="1" s="1"/>
  <c r="T15" i="1" s="1"/>
  <c r="T21" i="1" s="1"/>
  <c r="T25" i="1" s="1"/>
  <c r="U21" i="1" l="1"/>
  <c r="N27" i="1" s="1"/>
  <c r="U25" i="1" l="1"/>
  <c r="N28" i="1"/>
  <c r="N26" i="1" l="1"/>
  <c r="N30" i="1" s="1"/>
  <c r="N32" i="1" s="1"/>
  <c r="N36" i="1" s="1"/>
</calcChain>
</file>

<file path=xl/sharedStrings.xml><?xml version="1.0" encoding="utf-8"?>
<sst xmlns="http://schemas.openxmlformats.org/spreadsheetml/2006/main" count="202" uniqueCount="158">
  <si>
    <t>Particular</t>
  </si>
  <si>
    <t>Other Oper Rev</t>
  </si>
  <si>
    <t>Total Rev</t>
  </si>
  <si>
    <t>VC</t>
  </si>
  <si>
    <t>Variable costs</t>
  </si>
  <si>
    <t>Raw material</t>
  </si>
  <si>
    <t>Finished good transport, distribution</t>
  </si>
  <si>
    <t>Power and fuel</t>
  </si>
  <si>
    <t>Store and spare</t>
  </si>
  <si>
    <t>Contract charges</t>
  </si>
  <si>
    <t>Repairing and Maintenance</t>
  </si>
  <si>
    <t>Travel</t>
  </si>
  <si>
    <t>Net Revenue from Sales</t>
  </si>
  <si>
    <t>Contribution</t>
  </si>
  <si>
    <t>Fixed costs</t>
  </si>
  <si>
    <t>Depreciation</t>
  </si>
  <si>
    <t>PBT</t>
  </si>
  <si>
    <t>PAT</t>
  </si>
  <si>
    <t>GROWTH rates</t>
  </si>
  <si>
    <t>Revenue</t>
  </si>
  <si>
    <t>FC</t>
  </si>
  <si>
    <t>TC</t>
  </si>
  <si>
    <t>Working Capital</t>
  </si>
  <si>
    <t>Change in WC</t>
  </si>
  <si>
    <t>CAPEX</t>
  </si>
  <si>
    <t>Growth rate of sales</t>
  </si>
  <si>
    <t>Sales</t>
  </si>
  <si>
    <t>other income</t>
  </si>
  <si>
    <t>tax rate</t>
  </si>
  <si>
    <t>Depre</t>
  </si>
  <si>
    <t>Capex</t>
  </si>
  <si>
    <t>FCF</t>
  </si>
  <si>
    <t>Change in Working Capital</t>
  </si>
  <si>
    <t>Forecast/Avg for 2019</t>
  </si>
  <si>
    <t>Working  Capital</t>
  </si>
  <si>
    <t># ALL values are in million Rs</t>
  </si>
  <si>
    <t># Check right most for the Notes</t>
  </si>
  <si>
    <t>WACC</t>
  </si>
  <si>
    <t>FCF (post disc)</t>
  </si>
  <si>
    <t>Sum of PV of FCF</t>
  </si>
  <si>
    <t>Terminal Value</t>
  </si>
  <si>
    <t>PV of Terminal Value</t>
  </si>
  <si>
    <t>Enterprise Value</t>
  </si>
  <si>
    <t>Debt</t>
  </si>
  <si>
    <t xml:space="preserve">Value to Equity </t>
  </si>
  <si>
    <t>No. of Shares</t>
  </si>
  <si>
    <t>Intrinsic Value of Share</t>
  </si>
  <si>
    <t>Disc factor</t>
  </si>
  <si>
    <t>Value in march 2019</t>
  </si>
  <si>
    <t>Total Cost</t>
  </si>
  <si>
    <t>Nestle India</t>
  </si>
  <si>
    <t>SENSEX</t>
  </si>
  <si>
    <t>Date</t>
  </si>
  <si>
    <t>Adj Close</t>
  </si>
  <si>
    <t>% return</t>
  </si>
  <si>
    <t>% returns</t>
  </si>
  <si>
    <t>Beta</t>
  </si>
  <si>
    <t>(covariance of Nestle, Sensex)/var of sensex</t>
  </si>
  <si>
    <t>Avg Market return</t>
  </si>
  <si>
    <t>2018(april)</t>
  </si>
  <si>
    <t>2009(april)</t>
  </si>
  <si>
    <t>avg return</t>
  </si>
  <si>
    <t>VC / Revenue</t>
  </si>
  <si>
    <t>FC / Revenue</t>
  </si>
  <si>
    <t>WC /Revenue</t>
  </si>
  <si>
    <t>CAPEX /Revenue</t>
  </si>
  <si>
    <t>Long term debt</t>
  </si>
  <si>
    <t>Beta calculated by taking returns of Nestle stock and Sensex from years 2014-2018</t>
  </si>
  <si>
    <t>Interest Paid</t>
  </si>
  <si>
    <t>Rf</t>
  </si>
  <si>
    <t>Taken from indian government 10 year bond rate</t>
  </si>
  <si>
    <t>Rm</t>
  </si>
  <si>
    <t>The average returns of sensex for the past 9 years from 2009-2018</t>
  </si>
  <si>
    <t>Ke</t>
  </si>
  <si>
    <t>Income before tax</t>
  </si>
  <si>
    <t>Note:</t>
  </si>
  <si>
    <t>Tax paid</t>
  </si>
  <si>
    <t>Tax rate has been assumed as the latest paid by the company in 2018.</t>
  </si>
  <si>
    <t>Tax rate</t>
  </si>
  <si>
    <t>All units are in thousands excpet share price</t>
  </si>
  <si>
    <t>No. of shares outstanding</t>
  </si>
  <si>
    <t>Current share price (2019 april)</t>
  </si>
  <si>
    <t>Market value of Equity</t>
  </si>
  <si>
    <t>Value of Debt</t>
  </si>
  <si>
    <t>Total</t>
  </si>
  <si>
    <t>% E</t>
  </si>
  <si>
    <t>% D</t>
  </si>
  <si>
    <t>kd</t>
  </si>
  <si>
    <t>in million Rs</t>
  </si>
  <si>
    <t>Particulars</t>
  </si>
  <si>
    <t>Remuneration to key management personnel</t>
  </si>
  <si>
    <t>Executive directors</t>
  </si>
  <si>
    <t>fall in 2015 due to maggi issue</t>
  </si>
  <si>
    <t>Short term employee benefits</t>
  </si>
  <si>
    <t>Post employment benefit</t>
  </si>
  <si>
    <t>Share based payments</t>
  </si>
  <si>
    <t>Non-Executive Directors</t>
  </si>
  <si>
    <t>Short term employpee benefits</t>
  </si>
  <si>
    <t>TOTAL</t>
  </si>
  <si>
    <t>EBIT</t>
  </si>
  <si>
    <t>remuneration/ebit (in %)</t>
  </si>
  <si>
    <t>remuneration/PAT (in %)</t>
  </si>
  <si>
    <t>NESTLE</t>
  </si>
  <si>
    <t>Industry Average</t>
  </si>
  <si>
    <t>Remuneration</t>
  </si>
  <si>
    <t>Remuneration as % of EBIT</t>
  </si>
  <si>
    <t>HUL</t>
  </si>
  <si>
    <t>Nestle</t>
  </si>
  <si>
    <t xml:space="preserve">BRITANNIA </t>
  </si>
  <si>
    <t>Britannia</t>
  </si>
  <si>
    <t>Dabur</t>
  </si>
  <si>
    <t>ITC</t>
  </si>
  <si>
    <t>Industry Avg</t>
  </si>
  <si>
    <t>DABUR</t>
  </si>
  <si>
    <t>Q</t>
  </si>
  <si>
    <t>(in thousand Rs)</t>
  </si>
  <si>
    <t>`</t>
  </si>
  <si>
    <t>Current Assets</t>
  </si>
  <si>
    <t>Current Ratio</t>
  </si>
  <si>
    <t>Current Liabilities</t>
  </si>
  <si>
    <t>Cash and cash equivalent</t>
  </si>
  <si>
    <t>Quick Ratio</t>
  </si>
  <si>
    <t>Total Asset</t>
  </si>
  <si>
    <t>Asset</t>
  </si>
  <si>
    <t>Turnover Ratio</t>
  </si>
  <si>
    <t>Net Income</t>
  </si>
  <si>
    <t>Return on</t>
  </si>
  <si>
    <t>Equity</t>
  </si>
  <si>
    <t>Total Debt</t>
  </si>
  <si>
    <t>Debt to Equity</t>
  </si>
  <si>
    <t>Total Equity</t>
  </si>
  <si>
    <t>Net Profit</t>
  </si>
  <si>
    <t>Margin</t>
  </si>
  <si>
    <t>Interest</t>
  </si>
  <si>
    <t>Interest Expense</t>
  </si>
  <si>
    <t>Coverage Ratio</t>
  </si>
  <si>
    <t>Inventory</t>
  </si>
  <si>
    <t>Average Inventory</t>
  </si>
  <si>
    <t>Inventory Turnover</t>
  </si>
  <si>
    <t>Inventory days</t>
  </si>
  <si>
    <t>Net working capital</t>
  </si>
  <si>
    <t>Net Porfit</t>
  </si>
  <si>
    <t>EPS</t>
  </si>
  <si>
    <t>No. of outstanding shares</t>
  </si>
  <si>
    <t>Varun Beverages</t>
  </si>
  <si>
    <t>KRBL</t>
  </si>
  <si>
    <t>Tasty Bite Eatables</t>
  </si>
  <si>
    <t>Heritage Foods</t>
  </si>
  <si>
    <t>Average</t>
  </si>
  <si>
    <t>Total Asset Turnover Ratio</t>
  </si>
  <si>
    <t>Return on Equity</t>
  </si>
  <si>
    <t>Net Profit Margin</t>
  </si>
  <si>
    <t>Interest Coverage Ratio</t>
  </si>
  <si>
    <t>Inventory Turnover Ratio</t>
  </si>
  <si>
    <t>Working Capital Turnover Ratio</t>
  </si>
  <si>
    <t>Total Assets</t>
  </si>
  <si>
    <t>Financial</t>
  </si>
  <si>
    <t>Leverage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</si>
</sst>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Inconsolata"/>
    </font>
    <font>
      <b/>
      <sz val="12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000000"/>
      <name val="Helvetica Neue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0" xfId="0" applyFont="1"/>
    <xf numFmtId="0" fontId="0" fillId="0" borderId="0" xfId="0" applyFont="1"/>
    <xf numFmtId="4" fontId="0" fillId="0" borderId="0" xfId="0" applyNumberFormat="1"/>
    <xf numFmtId="4" fontId="1" fillId="0" borderId="0" xfId="0" applyNumberFormat="1" applyFont="1"/>
    <xf numFmtId="4" fontId="0" fillId="0" borderId="0" xfId="0" applyNumberFormat="1" applyFont="1"/>
    <xf numFmtId="3" fontId="0" fillId="0" borderId="0" xfId="0" applyNumberFormat="1"/>
    <xf numFmtId="0" fontId="2" fillId="0" borderId="0" xfId="0" applyFont="1"/>
    <xf numFmtId="10" fontId="0" fillId="0" borderId="0" xfId="0" applyNumberForma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0" fillId="0" borderId="0" xfId="0" applyFont="1" applyAlignment="1"/>
    <xf numFmtId="164" fontId="5" fillId="0" borderId="0" xfId="0" applyNumberFormat="1" applyFont="1" applyAlignment="1"/>
    <xf numFmtId="10" fontId="5" fillId="0" borderId="0" xfId="0" applyNumberFormat="1" applyFont="1"/>
    <xf numFmtId="164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3" fillId="0" borderId="0" xfId="0" applyFont="1"/>
    <xf numFmtId="4" fontId="5" fillId="0" borderId="0" xfId="0" applyNumberFormat="1" applyFont="1" applyAlignment="1"/>
    <xf numFmtId="14" fontId="7" fillId="0" borderId="0" xfId="0" applyNumberFormat="1" applyFont="1"/>
    <xf numFmtId="0" fontId="8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horizontal="center" vertical="center"/>
    </xf>
    <xf numFmtId="0" fontId="7" fillId="0" borderId="0" xfId="0" applyNumberFormat="1" applyFont="1" applyAlignment="1">
      <alignment vertical="center"/>
    </xf>
    <xf numFmtId="0" fontId="7" fillId="0" borderId="0" xfId="0" applyNumberFormat="1" applyFont="1" applyAlignment="1">
      <alignment horizontal="center" vertical="center"/>
    </xf>
    <xf numFmtId="0" fontId="0" fillId="0" borderId="2" xfId="0" applyNumberFormat="1" applyFont="1" applyFill="1" applyBorder="1" applyAlignment="1">
      <alignment vertical="center"/>
    </xf>
    <xf numFmtId="0" fontId="0" fillId="0" borderId="3" xfId="0" applyNumberFormat="1" applyFont="1" applyFill="1" applyBorder="1" applyAlignment="1">
      <alignment vertical="center"/>
    </xf>
    <xf numFmtId="0" fontId="0" fillId="0" borderId="4" xfId="0" applyNumberFormat="1" applyFont="1" applyFill="1" applyBorder="1" applyAlignment="1">
      <alignment vertical="center"/>
    </xf>
    <xf numFmtId="0" fontId="0" fillId="0" borderId="5" xfId="0" applyNumberFormat="1" applyFont="1" applyFill="1" applyBorder="1" applyAlignment="1">
      <alignment vertical="center"/>
    </xf>
    <xf numFmtId="0" fontId="0" fillId="0" borderId="6" xfId="0" applyNumberFormat="1" applyFont="1" applyFill="1" applyBorder="1" applyAlignment="1">
      <alignment vertical="center"/>
    </xf>
    <xf numFmtId="0" fontId="0" fillId="0" borderId="7" xfId="0" applyNumberFormat="1" applyFont="1" applyFill="1" applyBorder="1" applyAlignment="1">
      <alignment vertical="center"/>
    </xf>
    <xf numFmtId="0" fontId="0" fillId="0" borderId="2" xfId="0" applyNumberFormat="1" applyFont="1" applyBorder="1" applyAlignment="1">
      <alignment vertical="center"/>
    </xf>
    <xf numFmtId="0" fontId="9" fillId="0" borderId="3" xfId="0" applyNumberFormat="1" applyFont="1" applyBorder="1" applyAlignment="1">
      <alignment vertical="center"/>
    </xf>
    <xf numFmtId="0" fontId="9" fillId="0" borderId="4" xfId="0" applyNumberFormat="1" applyFont="1" applyBorder="1" applyAlignment="1">
      <alignment vertical="center"/>
    </xf>
    <xf numFmtId="0" fontId="0" fillId="0" borderId="5" xfId="0" applyNumberFormat="1" applyFont="1" applyBorder="1" applyAlignment="1">
      <alignment vertical="center"/>
    </xf>
    <xf numFmtId="0" fontId="0" fillId="0" borderId="6" xfId="0" applyNumberFormat="1" applyFont="1" applyBorder="1" applyAlignment="1">
      <alignment vertical="center"/>
    </xf>
    <xf numFmtId="0" fontId="0" fillId="0" borderId="7" xfId="0" applyNumberFormat="1" applyFont="1" applyBorder="1" applyAlignment="1">
      <alignment vertical="center"/>
    </xf>
    <xf numFmtId="0" fontId="9" fillId="0" borderId="3" xfId="0" applyNumberFormat="1" applyFont="1" applyBorder="1"/>
    <xf numFmtId="0" fontId="9" fillId="0" borderId="4" xfId="0" applyNumberFormat="1" applyFont="1" applyBorder="1"/>
    <xf numFmtId="0" fontId="0" fillId="0" borderId="2" xfId="0" applyNumberFormat="1" applyFont="1" applyBorder="1" applyAlignment="1">
      <alignment horizontal="center" vertical="center"/>
    </xf>
    <xf numFmtId="0" fontId="9" fillId="0" borderId="6" xfId="0" applyNumberFormat="1" applyFont="1" applyBorder="1"/>
    <xf numFmtId="0" fontId="9" fillId="0" borderId="7" xfId="0" applyNumberFormat="1" applyFont="1" applyBorder="1"/>
    <xf numFmtId="0" fontId="0" fillId="0" borderId="5" xfId="0" applyNumberFormat="1" applyFont="1" applyBorder="1" applyAlignment="1">
      <alignment horizontal="center" vertical="center"/>
    </xf>
    <xf numFmtId="0" fontId="9" fillId="0" borderId="0" xfId="0" applyNumberFormat="1" applyFont="1"/>
    <xf numFmtId="0" fontId="0" fillId="0" borderId="3" xfId="0" applyNumberFormat="1" applyFont="1" applyBorder="1" applyAlignment="1">
      <alignment vertical="center"/>
    </xf>
    <xf numFmtId="0" fontId="0" fillId="0" borderId="4" xfId="0" applyNumberFormat="1" applyFont="1" applyBorder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0" fillId="0" borderId="8" xfId="0" applyNumberFormat="1" applyFont="1" applyBorder="1" applyAlignment="1">
      <alignment vertical="center"/>
    </xf>
    <xf numFmtId="0" fontId="0" fillId="0" borderId="9" xfId="0" applyNumberFormat="1" applyFont="1" applyBorder="1" applyAlignment="1">
      <alignment vertical="center"/>
    </xf>
    <xf numFmtId="0" fontId="0" fillId="0" borderId="10" xfId="0" applyNumberFormat="1" applyFont="1" applyBorder="1" applyAlignment="1">
      <alignment vertical="center"/>
    </xf>
    <xf numFmtId="0" fontId="0" fillId="0" borderId="8" xfId="0" applyNumberFormat="1" applyFont="1" applyBorder="1" applyAlignment="1">
      <alignment horizontal="center" vertical="center"/>
    </xf>
    <xf numFmtId="0" fontId="0" fillId="0" borderId="9" xfId="0" applyNumberFormat="1" applyFont="1" applyBorder="1" applyAlignment="1">
      <alignment horizontal="center" vertical="center"/>
    </xf>
    <xf numFmtId="0" fontId="0" fillId="0" borderId="10" xfId="0" applyNumberFormat="1" applyFont="1" applyBorder="1" applyAlignment="1">
      <alignment horizontal="center" vertical="center"/>
    </xf>
    <xf numFmtId="3" fontId="10" fillId="0" borderId="3" xfId="0" applyNumberFormat="1" applyFont="1" applyBorder="1"/>
    <xf numFmtId="3" fontId="10" fillId="0" borderId="4" xfId="0" applyNumberFormat="1" applyFont="1" applyBorder="1"/>
    <xf numFmtId="3" fontId="10" fillId="0" borderId="6" xfId="0" applyNumberFormat="1" applyFont="1" applyBorder="1"/>
    <xf numFmtId="3" fontId="10" fillId="0" borderId="7" xfId="0" applyNumberFormat="1" applyFont="1" applyBorder="1"/>
    <xf numFmtId="0" fontId="11" fillId="0" borderId="0" xfId="0" applyFont="1"/>
    <xf numFmtId="0" fontId="7" fillId="0" borderId="0" xfId="0" applyFont="1"/>
    <xf numFmtId="0" fontId="12" fillId="0" borderId="0" xfId="0" applyFont="1"/>
    <xf numFmtId="0" fontId="6" fillId="2" borderId="0" xfId="0" applyFont="1" applyFill="1" applyBorder="1"/>
    <xf numFmtId="0" fontId="13" fillId="0" borderId="0" xfId="0" applyFont="1"/>
    <xf numFmtId="4" fontId="13" fillId="0" borderId="0" xfId="0" applyNumberFormat="1" applyFont="1"/>
    <xf numFmtId="0" fontId="7" fillId="0" borderId="11" xfId="0" applyFont="1" applyBorder="1"/>
    <xf numFmtId="0" fontId="7" fillId="0" borderId="0" xfId="0" applyFont="1" applyBorder="1"/>
    <xf numFmtId="0" fontId="7" fillId="0" borderId="12" xfId="0" applyFont="1" applyBorder="1"/>
    <xf numFmtId="0" fontId="13" fillId="0" borderId="11" xfId="0" applyFont="1" applyBorder="1"/>
    <xf numFmtId="0" fontId="13" fillId="0" borderId="0" xfId="0" applyFont="1" applyBorder="1"/>
    <xf numFmtId="0" fontId="13" fillId="0" borderId="12" xfId="0" applyFont="1" applyBorder="1"/>
    <xf numFmtId="0" fontId="13" fillId="0" borderId="5" xfId="0" applyFont="1" applyBorder="1"/>
    <xf numFmtId="0" fontId="13" fillId="0" borderId="6" xfId="0" applyFont="1" applyBorder="1"/>
    <xf numFmtId="0" fontId="13" fillId="0" borderId="7" xfId="0" applyFont="1" applyBorder="1"/>
    <xf numFmtId="0" fontId="13" fillId="0" borderId="13" xfId="0" applyFont="1" applyBorder="1"/>
    <xf numFmtId="0" fontId="13" fillId="0" borderId="14" xfId="0" applyFont="1" applyBorder="1"/>
    <xf numFmtId="0" fontId="7" fillId="0" borderId="14" xfId="0" applyFont="1" applyBorder="1"/>
    <xf numFmtId="0" fontId="7" fillId="0" borderId="15" xfId="0" applyFont="1" applyBorder="1"/>
    <xf numFmtId="0" fontId="13" fillId="0" borderId="15" xfId="0" applyFont="1" applyBorder="1"/>
    <xf numFmtId="0" fontId="7" fillId="0" borderId="5" xfId="0" applyFont="1" applyBorder="1"/>
    <xf numFmtId="0" fontId="7" fillId="0" borderId="6" xfId="0" applyFont="1" applyBorder="1"/>
    <xf numFmtId="0" fontId="7" fillId="0" borderId="7" xfId="0" applyFont="1" applyBorder="1"/>
    <xf numFmtId="0" fontId="0" fillId="0" borderId="0" xfId="0" applyNumberFormat="1" applyFont="1" applyFill="1" applyAlignment="1">
      <alignment horizontal="center" vertical="center"/>
    </xf>
    <xf numFmtId="0" fontId="0" fillId="0" borderId="3" xfId="0" applyNumberFormat="1" applyFont="1" applyBorder="1" applyAlignment="1">
      <alignment horizontal="center" vertical="center"/>
    </xf>
    <xf numFmtId="0" fontId="0" fillId="0" borderId="6" xfId="0" applyNumberFormat="1" applyFont="1" applyBorder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  <xf numFmtId="0" fontId="0" fillId="0" borderId="7" xfId="0" applyNumberFormat="1" applyFont="1" applyBorder="1" applyAlignment="1">
      <alignment horizontal="center" vertical="center"/>
    </xf>
    <xf numFmtId="0" fontId="7" fillId="0" borderId="0" xfId="0" applyNumberFormat="1" applyFont="1" applyFill="1" applyAlignment="1">
      <alignment horizontal="center" vertical="center"/>
    </xf>
    <xf numFmtId="0" fontId="0" fillId="0" borderId="2" xfId="0" applyNumberFormat="1" applyFont="1" applyBorder="1" applyAlignment="1">
      <alignment horizontal="center" vertical="center"/>
    </xf>
    <xf numFmtId="0" fontId="0" fillId="0" borderId="5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" fillId="0" borderId="0" xfId="0" applyFont="1" applyAlignment="1"/>
    <xf numFmtId="1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381000</xdr:colOff>
      <xdr:row>2</xdr:row>
      <xdr:rowOff>190499</xdr:rowOff>
    </xdr:from>
    <xdr:to>
      <xdr:col>31</xdr:col>
      <xdr:colOff>333375</xdr:colOff>
      <xdr:row>25</xdr:row>
      <xdr:rowOff>47624</xdr:rowOff>
    </xdr:to>
    <xdr:sp macro="" textlink="">
      <xdr:nvSpPr>
        <xdr:cNvPr id="2" name="TextBox 1"/>
        <xdr:cNvSpPr txBox="1"/>
      </xdr:nvSpPr>
      <xdr:spPr>
        <a:xfrm>
          <a:off x="15954375" y="190499"/>
          <a:ext cx="4829175" cy="404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NOTES (Pre Covid)</a:t>
          </a:r>
        </a:p>
        <a:p>
          <a:r>
            <a:rPr lang="en-IN" sz="1100"/>
            <a:t>1- VC includes Raw material,travelling, transportation, distribution,power and fuel, store and spare ,contract charges</a:t>
          </a:r>
          <a:r>
            <a:rPr lang="en-IN" sz="1100" baseline="0"/>
            <a:t> and</a:t>
          </a:r>
          <a:r>
            <a:rPr lang="en-IN" sz="1100"/>
            <a:t> repair.</a:t>
          </a:r>
        </a:p>
        <a:p>
          <a:endParaRPr lang="en-IN" sz="1100"/>
        </a:p>
        <a:p>
          <a:r>
            <a:rPr lang="en-IN" sz="1100"/>
            <a:t>2-</a:t>
          </a:r>
          <a:r>
            <a:rPr lang="en-IN" sz="1100" baseline="0"/>
            <a:t> Ignore the decline in revenue in 2015 due to Maggi Issue </a:t>
          </a:r>
          <a:r>
            <a:rPr lang="en-IN" sz="1100"/>
            <a:t> , the </a:t>
          </a:r>
          <a:r>
            <a:rPr lang="en-IN" sz="1100" b="1"/>
            <a:t>average growth rate</a:t>
          </a:r>
          <a:r>
            <a:rPr lang="en-IN" sz="1100" b="1" baseline="0"/>
            <a:t> </a:t>
          </a:r>
          <a:r>
            <a:rPr lang="en-IN" sz="1100" b="0" baseline="0"/>
            <a:t>of revenue is </a:t>
          </a:r>
          <a:r>
            <a:rPr lang="en-IN" sz="1100" b="1" baseline="0"/>
            <a:t>10.57%. </a:t>
          </a:r>
          <a:r>
            <a:rPr lang="en-IN" sz="1100" b="0" baseline="0"/>
            <a:t> But due to the growing nature of the Industry and only few competitor(oligopoly) to take growth rate as </a:t>
          </a:r>
          <a:r>
            <a:rPr lang="en-IN" sz="1100" b="1" baseline="0"/>
            <a:t>10.6%.</a:t>
          </a:r>
        </a:p>
        <a:p>
          <a:endParaRPr lang="en-IN" sz="1100" b="0" baseline="0"/>
        </a:p>
        <a:p>
          <a:r>
            <a:rPr lang="en-IN" sz="1100" b="0" baseline="0"/>
            <a:t>3- It has been observed at the VC as % of sales and FC as % of sales has been almost constant for the year 2015-2018. Hence we take </a:t>
          </a:r>
          <a:r>
            <a:rPr lang="en-IN" sz="1100" b="1" baseline="0"/>
            <a:t>VC = 0.47 * Sales</a:t>
          </a:r>
          <a:r>
            <a:rPr lang="en-IN" sz="1100" b="0" baseline="0"/>
            <a:t> and </a:t>
          </a:r>
        </a:p>
        <a:p>
          <a:r>
            <a:rPr lang="en-IN" sz="1100" b="1" baseline="0"/>
            <a:t>FC = 0.31*Sales. (</a:t>
          </a:r>
          <a:r>
            <a:rPr lang="en-IN" sz="1100" b="0" baseline="0"/>
            <a:t>for pre covid situation)</a:t>
          </a:r>
        </a:p>
        <a:p>
          <a:endParaRPr lang="en-IN" sz="1100" b="0" baseline="0"/>
        </a:p>
        <a:p>
          <a:r>
            <a:rPr lang="en-IN" sz="1100" b="0" baseline="0"/>
            <a:t>4- Effective Tax rate for pre covid-19 scenario is </a:t>
          </a:r>
          <a:r>
            <a:rPr lang="en-IN" sz="1100" b="1" baseline="0"/>
            <a:t>33.8%. </a:t>
          </a:r>
          <a:r>
            <a:rPr lang="en-IN" sz="1100" b="0" baseline="0"/>
            <a:t>(avg tax rate of past 6 year)</a:t>
          </a:r>
          <a:endParaRPr lang="en-IN" sz="1100" b="1" baseline="0"/>
        </a:p>
        <a:p>
          <a:endParaRPr lang="en-IN" sz="1100" b="1" baseline="0"/>
        </a:p>
        <a:p>
          <a:r>
            <a:rPr lang="en-IN" sz="1100" b="0" baseline="0"/>
            <a:t>5- Geometric mean of depreciation was taken because of its more or less constant nature.</a:t>
          </a:r>
        </a:p>
        <a:p>
          <a:endParaRPr lang="en-IN" sz="1100" b="0" baseline="0"/>
        </a:p>
        <a:p>
          <a:r>
            <a:rPr lang="en-IN" sz="1100" b="0" baseline="0"/>
            <a:t>6- We took Working Capital as % of sales to be </a:t>
          </a:r>
          <a:r>
            <a:rPr lang="en-IN" sz="1100" b="1" baseline="0"/>
            <a:t>25%.</a:t>
          </a:r>
        </a:p>
        <a:p>
          <a:endParaRPr lang="en-IN" sz="1100" b="1"/>
        </a:p>
        <a:p>
          <a:r>
            <a:rPr lang="en-IN" sz="1100" b="0"/>
            <a:t>7-</a:t>
          </a:r>
          <a:r>
            <a:rPr lang="en-IN" sz="1100" b="0" baseline="0"/>
            <a:t> The Capex was been fluctuating for nestle india over the past few year  but Capex as % sales was less fluctuating , so we took avg of Capex as % sales for 4 years .</a:t>
          </a:r>
          <a:endParaRPr lang="en-IN" sz="1100" b="0"/>
        </a:p>
      </xdr:txBody>
    </xdr:sp>
    <xdr:clientData/>
  </xdr:twoCellAnchor>
  <xdr:twoCellAnchor>
    <xdr:from>
      <xdr:col>23</xdr:col>
      <xdr:colOff>438150</xdr:colOff>
      <xdr:row>26</xdr:row>
      <xdr:rowOff>161924</xdr:rowOff>
    </xdr:from>
    <xdr:to>
      <xdr:col>31</xdr:col>
      <xdr:colOff>523875</xdr:colOff>
      <xdr:row>48</xdr:row>
      <xdr:rowOff>161925</xdr:rowOff>
    </xdr:to>
    <xdr:sp macro="" textlink="">
      <xdr:nvSpPr>
        <xdr:cNvPr id="3" name="TextBox 2"/>
        <xdr:cNvSpPr txBox="1"/>
      </xdr:nvSpPr>
      <xdr:spPr>
        <a:xfrm>
          <a:off x="16544925" y="4733924"/>
          <a:ext cx="4962525" cy="41910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NOTES (Covid Impact)</a:t>
          </a:r>
        </a:p>
        <a:p>
          <a:endParaRPr lang="en-IN" sz="1100"/>
        </a:p>
        <a:p>
          <a:r>
            <a:rPr lang="en-IN" sz="1100"/>
            <a:t>1- As</a:t>
          </a:r>
          <a:r>
            <a:rPr lang="en-IN" sz="1100" baseline="0"/>
            <a:t> Nestle's product mainly includes Dairy , Cereals, and other Food items , the drop in Sales from Domestic Market will be less however  the Sales from Export will decrease by much larger extent. Hence we take </a:t>
          </a:r>
          <a:r>
            <a:rPr lang="en-IN" sz="1100" b="1" baseline="0"/>
            <a:t>revenue of 2020 as 60% of 2019</a:t>
          </a:r>
          <a:r>
            <a:rPr lang="en-IN" sz="1100" baseline="0"/>
            <a:t>(pre covid year) .</a:t>
          </a:r>
          <a:r>
            <a:rPr lang="en-IN" sz="1100"/>
            <a:t>	</a:t>
          </a:r>
        </a:p>
        <a:p>
          <a:endParaRPr lang="en-IN" sz="1100"/>
        </a:p>
        <a:p>
          <a:r>
            <a:rPr lang="en-IN" sz="1100"/>
            <a:t>2- Nestle suffered</a:t>
          </a:r>
          <a:r>
            <a:rPr lang="en-IN" sz="1100" baseline="0"/>
            <a:t> a loss in revenue in 2015 due to MAGGI Case, at that time FC as % of Sales increased but VC as % of sales was more or less the same. Hence we take </a:t>
          </a:r>
          <a:r>
            <a:rPr lang="en-IN" sz="1100" b="1" baseline="0"/>
            <a:t>VC as 0.47* sales </a:t>
          </a:r>
          <a:r>
            <a:rPr lang="en-IN" sz="1100" baseline="0"/>
            <a:t>but </a:t>
          </a:r>
          <a:r>
            <a:rPr lang="en-IN" sz="1100" b="1" baseline="0"/>
            <a:t>FC as 0.34*sales</a:t>
          </a:r>
          <a:r>
            <a:rPr lang="en-IN" sz="1100" baseline="0"/>
            <a:t>.</a:t>
          </a:r>
        </a:p>
        <a:p>
          <a:endParaRPr lang="en-IN" sz="1100" baseline="0"/>
        </a:p>
        <a:p>
          <a:r>
            <a:rPr lang="en-IN" sz="1100" baseline="0"/>
            <a:t>3- Due to fall in sales we expect policy measures to reduce taxes  to support industries and hence we take </a:t>
          </a:r>
          <a:r>
            <a:rPr lang="en-IN" sz="1100" b="1" baseline="0"/>
            <a:t>tax rate as 31.8% </a:t>
          </a:r>
          <a:r>
            <a:rPr lang="en-IN" sz="1100" baseline="0"/>
            <a:t>(2% less than pre covid).</a:t>
          </a:r>
        </a:p>
        <a:p>
          <a:endParaRPr lang="en-IN" sz="1100" baseline="0"/>
        </a:p>
        <a:p>
          <a:r>
            <a:rPr lang="en-IN" sz="1100"/>
            <a:t>4- Due to decline in profit we expect</a:t>
          </a:r>
          <a:r>
            <a:rPr lang="en-IN" sz="1100" baseline="0"/>
            <a:t> decline in Current assest as  hence decline in </a:t>
          </a:r>
          <a:r>
            <a:rPr lang="en-IN" sz="1100" b="1" baseline="0"/>
            <a:t>working capital to 80% of previous year</a:t>
          </a:r>
          <a:r>
            <a:rPr lang="en-IN" sz="1100" baseline="0"/>
            <a:t>.</a:t>
          </a:r>
        </a:p>
        <a:p>
          <a:endParaRPr lang="en-IN" sz="1100" baseline="0"/>
        </a:p>
        <a:p>
          <a:r>
            <a:rPr lang="en-IN" sz="1100" baseline="0"/>
            <a:t>5- Capex will decrease as expansion wont take place. However in FMCG sector majority of Capex is maintenance Capex hence the Capex as % of Sales  should increase . We take </a:t>
          </a:r>
          <a:r>
            <a:rPr lang="en-IN" sz="1100" b="1" baseline="0"/>
            <a:t>Capex as % of Sales as 1.7%. </a:t>
          </a:r>
        </a:p>
        <a:p>
          <a:r>
            <a:rPr lang="en-IN" sz="1100"/>
            <a:t>     </a:t>
          </a:r>
        </a:p>
        <a:p>
          <a:r>
            <a:rPr lang="en-IN" sz="1100"/>
            <a:t>6- we</a:t>
          </a:r>
          <a:r>
            <a:rPr lang="en-IN" sz="1100" baseline="0"/>
            <a:t> created a depriciation func  assuming depriciation depends on Capex</a:t>
          </a:r>
        </a:p>
        <a:p>
          <a:r>
            <a:rPr lang="en-IN" sz="1100"/>
            <a:t> 	Depre(t) = Depre(t-1) + 0.3(Capex(t)-</a:t>
          </a:r>
          <a:r>
            <a:rPr lang="en-IN" sz="1100" baseline="0"/>
            <a:t> Capex(t-1))</a:t>
          </a:r>
          <a:endParaRPr lang="en-IN" sz="1100"/>
        </a:p>
      </xdr:txBody>
    </xdr:sp>
    <xdr:clientData/>
  </xdr:twoCellAnchor>
  <xdr:twoCellAnchor>
    <xdr:from>
      <xdr:col>23</xdr:col>
      <xdr:colOff>361950</xdr:colOff>
      <xdr:row>50</xdr:row>
      <xdr:rowOff>85724</xdr:rowOff>
    </xdr:from>
    <xdr:to>
      <xdr:col>32</xdr:col>
      <xdr:colOff>28575</xdr:colOff>
      <xdr:row>66</xdr:row>
      <xdr:rowOff>38099</xdr:rowOff>
    </xdr:to>
    <xdr:sp macro="" textlink="">
      <xdr:nvSpPr>
        <xdr:cNvPr id="4" name="TextBox 3"/>
        <xdr:cNvSpPr txBox="1"/>
      </xdr:nvSpPr>
      <xdr:spPr>
        <a:xfrm>
          <a:off x="17011650" y="9610724"/>
          <a:ext cx="5153025" cy="3000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NOTES (Post Covid)</a:t>
          </a:r>
        </a:p>
        <a:p>
          <a:r>
            <a:rPr lang="en-IN" sz="1100"/>
            <a:t>1-</a:t>
          </a:r>
          <a:r>
            <a:rPr lang="en-IN" sz="1100" baseline="0"/>
            <a:t> Although  revenue would start increasing after the covid crisis but due to decline in the income of the consumers the growth rate wouldn't jump  directly to natural rate of 10.6% hence we assume that it would take 1 year for growth to attain natural rate. Therefore growth rate for </a:t>
          </a:r>
          <a:r>
            <a:rPr lang="en-IN" sz="1100" b="1" baseline="0"/>
            <a:t>2021 is assumed to be 5.3% and 10.6% for following years.</a:t>
          </a:r>
        </a:p>
        <a:p>
          <a:endParaRPr lang="en-IN" sz="1100" baseline="0"/>
        </a:p>
        <a:p>
          <a:r>
            <a:rPr lang="en-IN" sz="1100" baseline="0"/>
            <a:t>2- Following  the covid year we assume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VC = 0.47 * Sales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FC = 0.31*Sales 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back to pre covid year.</a:t>
          </a:r>
        </a:p>
        <a:p>
          <a:endParaRPr lang="en-IN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3- After initial tax cut , we assume that tax rate would be back to normal after 2 years  that is from 2022.</a:t>
          </a:r>
        </a:p>
        <a:p>
          <a:endParaRPr lang="en-IN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4- After the covid Working Capital would increase, we assume it would increase at the same rate as Sales.</a:t>
          </a:r>
        </a:p>
        <a:p>
          <a:endParaRPr lang="en-IN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5- We Assume that Capex as % of Sales back to the normal at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1.57%</a:t>
          </a:r>
        </a:p>
        <a:p>
          <a:endParaRPr lang="en-IN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1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5</xdr:row>
      <xdr:rowOff>0</xdr:rowOff>
    </xdr:from>
    <xdr:to>
      <xdr:col>7</xdr:col>
      <xdr:colOff>101600</xdr:colOff>
      <xdr:row>5</xdr:row>
      <xdr:rowOff>101600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C4BB4850-929D-7A4F-882B-3F1FE0BE3A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10287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101600</xdr:colOff>
      <xdr:row>4</xdr:row>
      <xdr:rowOff>101600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7090B0EF-DDD8-9641-95EA-FEB7DF5A8E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2250" y="828675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101600</xdr:colOff>
      <xdr:row>4</xdr:row>
      <xdr:rowOff>101600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7F563D33-3724-2644-8F64-752F695CE0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39625" y="828675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4</xdr:row>
      <xdr:rowOff>0</xdr:rowOff>
    </xdr:from>
    <xdr:to>
      <xdr:col>16</xdr:col>
      <xdr:colOff>101600</xdr:colOff>
      <xdr:row>4</xdr:row>
      <xdr:rowOff>101600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C6C46F29-CD8F-8E42-BB1B-863C0EE9CF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828675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</xdr:row>
      <xdr:rowOff>0</xdr:rowOff>
    </xdr:from>
    <xdr:to>
      <xdr:col>19</xdr:col>
      <xdr:colOff>101600</xdr:colOff>
      <xdr:row>4</xdr:row>
      <xdr:rowOff>101600</xdr:rowOff>
    </xdr:to>
    <xdr:pic>
      <xdr:nvPicPr>
        <xdr:cNvPr id="6" name="Picture 5">
          <a:extLst>
            <a:ext uri="{FF2B5EF4-FFF2-40B4-BE49-F238E27FC236}">
              <a16:creationId xmlns="" xmlns:a16="http://schemas.microsoft.com/office/drawing/2014/main" id="{A19C9B3E-08FB-104C-9F75-3AA0209F5C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06775" y="828675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</xdr:row>
      <xdr:rowOff>0</xdr:rowOff>
    </xdr:from>
    <xdr:to>
      <xdr:col>19</xdr:col>
      <xdr:colOff>101600</xdr:colOff>
      <xdr:row>4</xdr:row>
      <xdr:rowOff>101600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149F4EA6-D236-D546-93E9-0D397527CC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06775" y="828675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0"/>
  <sheetViews>
    <sheetView workbookViewId="0">
      <selection activeCell="J9" sqref="J9"/>
    </sheetView>
  </sheetViews>
  <sheetFormatPr defaultRowHeight="15"/>
  <cols>
    <col min="1" max="1" width="11" customWidth="1"/>
    <col min="4" max="4" width="12.5703125" customWidth="1"/>
    <col min="9" max="9" width="13.7109375" customWidth="1"/>
    <col min="10" max="10" width="11.140625" customWidth="1"/>
  </cols>
  <sheetData>
    <row r="1" spans="1:23">
      <c r="A1" s="9"/>
      <c r="B1" s="9" t="s">
        <v>50</v>
      </c>
      <c r="C1" s="9"/>
      <c r="D1" s="9"/>
      <c r="E1" s="9" t="s">
        <v>51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</row>
    <row r="2" spans="1:23">
      <c r="A2" s="11" t="s">
        <v>52</v>
      </c>
      <c r="B2" s="11" t="s">
        <v>53</v>
      </c>
      <c r="C2" s="11" t="s">
        <v>54</v>
      </c>
      <c r="D2" s="11" t="s">
        <v>52</v>
      </c>
      <c r="E2" s="11" t="s">
        <v>53</v>
      </c>
      <c r="F2" s="11" t="s">
        <v>55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1:23">
      <c r="A3" s="13">
        <v>43234</v>
      </c>
      <c r="B3" s="11">
        <v>9364.4589840000008</v>
      </c>
      <c r="C3" s="14">
        <f t="shared" ref="C3:C257" si="0">B3/B4-1</f>
        <v>1.6854135711240836E-2</v>
      </c>
      <c r="D3" s="15">
        <v>43234</v>
      </c>
      <c r="E3" s="16">
        <v>34848.300780999998</v>
      </c>
      <c r="F3" s="14">
        <f t="shared" ref="F3:F257" si="1">E3/E4-1</f>
        <v>-1.9346363205307693E-2</v>
      </c>
      <c r="G3" s="12"/>
      <c r="H3" s="12"/>
      <c r="I3" s="12"/>
      <c r="J3" s="12"/>
      <c r="K3" s="12"/>
      <c r="L3" s="9" t="s">
        <v>56</v>
      </c>
      <c r="M3" s="62">
        <f>_xlfn.COVARIANCE.P(C3:C210,F3:F210)/VARP(F3:F210)</f>
        <v>0.64667675336332797</v>
      </c>
      <c r="N3" s="9" t="s">
        <v>57</v>
      </c>
      <c r="O3" s="17"/>
      <c r="P3" s="12"/>
      <c r="Q3" s="12"/>
      <c r="R3" s="12"/>
      <c r="S3" s="12"/>
      <c r="T3" s="12"/>
      <c r="U3" s="12"/>
      <c r="V3" s="12"/>
      <c r="W3" s="12"/>
    </row>
    <row r="4" spans="1:23">
      <c r="A4" s="13">
        <v>43227</v>
      </c>
      <c r="B4" s="11">
        <v>9209.2451170000004</v>
      </c>
      <c r="C4" s="14">
        <f t="shared" si="0"/>
        <v>4.517372276472531E-2</v>
      </c>
      <c r="D4" s="15">
        <v>43227</v>
      </c>
      <c r="E4" s="16">
        <v>35535.789062999997</v>
      </c>
      <c r="F4" s="14">
        <f t="shared" si="1"/>
        <v>1.776896532242378E-2</v>
      </c>
      <c r="G4" s="12"/>
      <c r="H4" s="12"/>
      <c r="I4" s="12"/>
      <c r="J4" s="12"/>
      <c r="K4" s="12"/>
      <c r="L4" s="9" t="s">
        <v>58</v>
      </c>
      <c r="M4" s="9">
        <v>0.14360000000000001</v>
      </c>
      <c r="N4" s="17"/>
      <c r="O4" s="17"/>
      <c r="P4" s="12"/>
      <c r="Q4" s="12"/>
      <c r="R4" s="12"/>
      <c r="S4" s="12"/>
      <c r="T4" s="12"/>
      <c r="U4" s="12"/>
      <c r="V4" s="12"/>
      <c r="W4" s="12"/>
    </row>
    <row r="5" spans="1:23">
      <c r="A5" s="13">
        <v>43220</v>
      </c>
      <c r="B5" s="11">
        <v>8811.2099610000005</v>
      </c>
      <c r="C5" s="14">
        <f t="shared" si="0"/>
        <v>5.4847282409069553E-3</v>
      </c>
      <c r="D5" s="15">
        <v>43220</v>
      </c>
      <c r="E5" s="16">
        <v>34915.378905999998</v>
      </c>
      <c r="F5" s="14">
        <f t="shared" si="1"/>
        <v>-1.5533537380409967E-3</v>
      </c>
      <c r="G5" s="12"/>
      <c r="H5" s="11" t="s">
        <v>59</v>
      </c>
      <c r="I5" s="11">
        <v>33627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</row>
    <row r="6" spans="1:23">
      <c r="A6" s="13">
        <v>43213</v>
      </c>
      <c r="B6" s="11">
        <v>8763.1464840000008</v>
      </c>
      <c r="C6" s="14">
        <f t="shared" si="0"/>
        <v>-1.0947246223871221E-2</v>
      </c>
      <c r="D6" s="15">
        <v>43213</v>
      </c>
      <c r="E6" s="16">
        <v>34969.699219000002</v>
      </c>
      <c r="F6" s="14">
        <f t="shared" si="1"/>
        <v>1.6100880013910857E-2</v>
      </c>
      <c r="G6" s="12"/>
      <c r="H6" s="11" t="s">
        <v>60</v>
      </c>
      <c r="I6" s="11">
        <v>10048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</row>
    <row r="7" spans="1:23">
      <c r="A7" s="13">
        <v>43206</v>
      </c>
      <c r="B7" s="11">
        <v>8860.140625</v>
      </c>
      <c r="C7" s="14">
        <f t="shared" si="0"/>
        <v>5.4618765879525633E-2</v>
      </c>
      <c r="D7" s="15">
        <v>43206</v>
      </c>
      <c r="E7" s="16">
        <v>34415.578125</v>
      </c>
      <c r="F7" s="14">
        <f t="shared" si="1"/>
        <v>6.5198133863257901E-3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</row>
    <row r="8" spans="1:23">
      <c r="A8" s="13">
        <v>43199</v>
      </c>
      <c r="B8" s="11">
        <v>8401.2734380000002</v>
      </c>
      <c r="C8" s="14">
        <f t="shared" si="0"/>
        <v>4.0799417471496513E-2</v>
      </c>
      <c r="D8" s="15">
        <v>43199</v>
      </c>
      <c r="E8" s="16">
        <v>34192.648437999997</v>
      </c>
      <c r="F8" s="14">
        <f t="shared" si="1"/>
        <v>1.6822202804110731E-2</v>
      </c>
      <c r="G8" s="12"/>
      <c r="H8" s="11" t="s">
        <v>61</v>
      </c>
      <c r="I8" s="12">
        <f>(I5/I6)^(1/9) -1</f>
        <v>0.14364130666145147</v>
      </c>
      <c r="J8" s="12"/>
      <c r="K8" s="12"/>
      <c r="L8" s="12"/>
      <c r="M8" s="12"/>
      <c r="N8" s="12"/>
      <c r="O8" s="12" t="s">
        <v>114</v>
      </c>
      <c r="P8" s="12"/>
      <c r="Q8" s="12"/>
      <c r="R8" s="12"/>
      <c r="S8" s="12"/>
      <c r="T8" s="12"/>
      <c r="U8" s="12"/>
      <c r="V8" s="12"/>
      <c r="W8" s="12"/>
    </row>
    <row r="9" spans="1:23">
      <c r="A9" s="13">
        <v>43192</v>
      </c>
      <c r="B9" s="11">
        <v>8071.9428710000002</v>
      </c>
      <c r="C9" s="14">
        <f t="shared" si="0"/>
        <v>1.748003594084091E-2</v>
      </c>
      <c r="D9" s="15">
        <v>43192</v>
      </c>
      <c r="E9" s="16">
        <v>33626.96875</v>
      </c>
      <c r="F9" s="14">
        <f t="shared" si="1"/>
        <v>1.9967104179777317E-2</v>
      </c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</row>
    <row r="10" spans="1:23">
      <c r="A10" s="13">
        <v>43185</v>
      </c>
      <c r="B10" s="11">
        <v>7933.2690430000002</v>
      </c>
      <c r="C10" s="14">
        <f t="shared" si="0"/>
        <v>5.2573835589285967E-2</v>
      </c>
      <c r="D10" s="15">
        <v>43185</v>
      </c>
      <c r="E10" s="16">
        <v>32968.679687999997</v>
      </c>
      <c r="F10" s="14">
        <f t="shared" si="1"/>
        <v>1.1416568620391088E-2</v>
      </c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</row>
    <row r="11" spans="1:23">
      <c r="A11" s="13">
        <v>43178</v>
      </c>
      <c r="B11" s="11">
        <v>7537.0190430000002</v>
      </c>
      <c r="C11" s="14">
        <f t="shared" si="0"/>
        <v>1.2793461673483497E-2</v>
      </c>
      <c r="D11" s="15">
        <v>43178</v>
      </c>
      <c r="E11" s="16">
        <v>32596.539063</v>
      </c>
      <c r="F11" s="14">
        <f t="shared" si="1"/>
        <v>-1.7466268899204218E-2</v>
      </c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</row>
    <row r="12" spans="1:23">
      <c r="A12" s="13">
        <v>43171</v>
      </c>
      <c r="B12" s="11">
        <v>7441.8125</v>
      </c>
      <c r="C12" s="14">
        <f t="shared" si="0"/>
        <v>4.9624897678530733E-3</v>
      </c>
      <c r="D12" s="15">
        <v>43171</v>
      </c>
      <c r="E12" s="16">
        <v>33176</v>
      </c>
      <c r="F12" s="14">
        <f t="shared" si="1"/>
        <v>-3.9373126164293781E-3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</row>
    <row r="13" spans="1:23">
      <c r="A13" s="13">
        <v>43164</v>
      </c>
      <c r="B13" s="11">
        <v>7405.0649409999996</v>
      </c>
      <c r="C13" s="14">
        <f t="shared" si="0"/>
        <v>-2.4466723842058613E-2</v>
      </c>
      <c r="D13" s="15">
        <v>43164</v>
      </c>
      <c r="E13" s="16">
        <v>33307.140625</v>
      </c>
      <c r="F13" s="14">
        <f t="shared" si="1"/>
        <v>-2.17288470108985E-2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</row>
    <row r="14" spans="1:23">
      <c r="A14" s="13">
        <v>43157</v>
      </c>
      <c r="B14" s="11">
        <v>7590.7866210000002</v>
      </c>
      <c r="C14" s="14">
        <f t="shared" si="0"/>
        <v>3.5158454662109095E-2</v>
      </c>
      <c r="D14" s="15">
        <v>43157</v>
      </c>
      <c r="E14" s="16">
        <v>34046.941405999998</v>
      </c>
      <c r="F14" s="14">
        <f t="shared" si="1"/>
        <v>-2.788548359013987E-3</v>
      </c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</row>
    <row r="15" spans="1:23">
      <c r="A15" s="13">
        <v>43150</v>
      </c>
      <c r="B15" s="11">
        <v>7332.970703</v>
      </c>
      <c r="C15" s="14">
        <f t="shared" si="0"/>
        <v>-1.323595402230926E-3</v>
      </c>
      <c r="D15" s="15">
        <v>43150</v>
      </c>
      <c r="E15" s="16">
        <v>34142.148437999997</v>
      </c>
      <c r="F15" s="14">
        <f t="shared" si="1"/>
        <v>3.8630925142320027E-3</v>
      </c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</row>
    <row r="16" spans="1:23">
      <c r="A16" s="13">
        <v>43143</v>
      </c>
      <c r="B16" s="11">
        <v>7342.689453</v>
      </c>
      <c r="C16" s="14">
        <f t="shared" si="0"/>
        <v>8.9416169677064339E-2</v>
      </c>
      <c r="D16" s="15">
        <v>43143</v>
      </c>
      <c r="E16" s="16">
        <v>34010.761719000002</v>
      </c>
      <c r="F16" s="14">
        <f t="shared" si="1"/>
        <v>1.4703390682191397E-4</v>
      </c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</row>
    <row r="17" spans="1:23">
      <c r="A17" s="13">
        <v>43136</v>
      </c>
      <c r="B17" s="11">
        <v>6740.0224609999996</v>
      </c>
      <c r="C17" s="14">
        <f t="shared" si="0"/>
        <v>-2.3235954625790312E-2</v>
      </c>
      <c r="D17" s="15">
        <v>43136</v>
      </c>
      <c r="E17" s="16">
        <v>34005.761719000002</v>
      </c>
      <c r="F17" s="14">
        <f t="shared" si="1"/>
        <v>-3.0256247898650335E-2</v>
      </c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</row>
    <row r="18" spans="1:23">
      <c r="A18" s="13">
        <v>43129</v>
      </c>
      <c r="B18" s="11">
        <v>6900.3588870000003</v>
      </c>
      <c r="C18" s="14">
        <f t="shared" si="0"/>
        <v>-4.7431933493249367E-2</v>
      </c>
      <c r="D18" s="15">
        <v>43129</v>
      </c>
      <c r="E18" s="16">
        <v>35066.75</v>
      </c>
      <c r="F18" s="14">
        <f t="shared" si="1"/>
        <v>-2.7286528753467043E-2</v>
      </c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</row>
    <row r="19" spans="1:23">
      <c r="A19" s="13">
        <v>43122</v>
      </c>
      <c r="B19" s="11">
        <v>7243.9536129999997</v>
      </c>
      <c r="C19" s="14">
        <f t="shared" si="0"/>
        <v>-2.4724490416791034E-2</v>
      </c>
      <c r="D19" s="15">
        <v>43122</v>
      </c>
      <c r="E19" s="16">
        <v>36050.441405999998</v>
      </c>
      <c r="F19" s="14">
        <f t="shared" si="1"/>
        <v>1.51742983401979E-2</v>
      </c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</row>
    <row r="20" spans="1:23">
      <c r="A20" s="13">
        <v>43115</v>
      </c>
      <c r="B20" s="11">
        <v>7427.5971680000002</v>
      </c>
      <c r="C20" s="14">
        <f t="shared" si="0"/>
        <v>-1.3942227643784277E-2</v>
      </c>
      <c r="D20" s="15">
        <v>43115</v>
      </c>
      <c r="E20" s="16">
        <v>35511.578125</v>
      </c>
      <c r="F20" s="14">
        <f t="shared" si="1"/>
        <v>2.6571956531263874E-2</v>
      </c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</row>
    <row r="21" spans="1:23">
      <c r="A21" s="13">
        <v>43108</v>
      </c>
      <c r="B21" s="11">
        <v>7532.6186520000001</v>
      </c>
      <c r="C21" s="14">
        <f t="shared" si="0"/>
        <v>-8.5915027047442916E-3</v>
      </c>
      <c r="D21" s="15">
        <v>43108</v>
      </c>
      <c r="E21" s="16">
        <v>34592.390625</v>
      </c>
      <c r="F21" s="14">
        <f t="shared" si="1"/>
        <v>1.284010563760507E-2</v>
      </c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</row>
    <row r="22" spans="1:23">
      <c r="A22" s="13">
        <v>43101</v>
      </c>
      <c r="B22" s="11">
        <v>7597.8959960000002</v>
      </c>
      <c r="C22" s="14">
        <f t="shared" si="0"/>
        <v>-1.7975416891617968E-3</v>
      </c>
      <c r="D22" s="15">
        <v>43101</v>
      </c>
      <c r="E22" s="16">
        <v>34153.851562999997</v>
      </c>
      <c r="F22" s="14">
        <f t="shared" si="1"/>
        <v>2.8488688859658051E-3</v>
      </c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</row>
    <row r="23" spans="1:23">
      <c r="A23" s="13">
        <v>43094</v>
      </c>
      <c r="B23" s="11">
        <v>7611.578125</v>
      </c>
      <c r="C23" s="14">
        <f t="shared" si="0"/>
        <v>-1.573040912281054E-3</v>
      </c>
      <c r="D23" s="15">
        <v>43094</v>
      </c>
      <c r="E23" s="16">
        <v>34056.828125</v>
      </c>
      <c r="F23" s="14">
        <f t="shared" si="1"/>
        <v>3.4333032212028325E-3</v>
      </c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</row>
    <row r="24" spans="1:23">
      <c r="A24" s="13">
        <v>43087</v>
      </c>
      <c r="B24" s="11">
        <v>7623.5703130000002</v>
      </c>
      <c r="C24" s="14">
        <f t="shared" si="0"/>
        <v>8.6103909101924447E-3</v>
      </c>
      <c r="D24" s="15">
        <v>43087</v>
      </c>
      <c r="E24" s="16">
        <v>33940.300780999998</v>
      </c>
      <c r="F24" s="14">
        <f t="shared" si="1"/>
        <v>1.4264485454536846E-2</v>
      </c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</row>
    <row r="25" spans="1:23">
      <c r="A25" s="13">
        <v>43080</v>
      </c>
      <c r="B25" s="11">
        <v>7558.4887699999999</v>
      </c>
      <c r="C25" s="14">
        <f t="shared" si="0"/>
        <v>-9.133826219299479E-3</v>
      </c>
      <c r="D25" s="15">
        <v>43080</v>
      </c>
      <c r="E25" s="16">
        <v>33462.96875</v>
      </c>
      <c r="F25" s="14">
        <f t="shared" si="1"/>
        <v>6.395971284612445E-3</v>
      </c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</row>
    <row r="26" spans="1:23">
      <c r="A26" s="13">
        <v>43073</v>
      </c>
      <c r="B26" s="11">
        <v>7628.1630859999996</v>
      </c>
      <c r="C26" s="14">
        <f t="shared" si="0"/>
        <v>2.9182240862102748E-2</v>
      </c>
      <c r="D26" s="15">
        <v>43073</v>
      </c>
      <c r="E26" s="16">
        <v>33250.300780999998</v>
      </c>
      <c r="F26" s="14">
        <f t="shared" si="1"/>
        <v>1.2711604782498442E-2</v>
      </c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</row>
    <row r="27" spans="1:23">
      <c r="A27" s="13">
        <v>43066</v>
      </c>
      <c r="B27" s="11">
        <v>7411.8681640000004</v>
      </c>
      <c r="C27" s="14">
        <f t="shared" si="0"/>
        <v>2.5885598508704533E-2</v>
      </c>
      <c r="D27" s="15">
        <v>43066</v>
      </c>
      <c r="E27" s="16">
        <v>32832.941405999998</v>
      </c>
      <c r="F27" s="14">
        <f t="shared" si="1"/>
        <v>-2.5128147731222183E-2</v>
      </c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</row>
    <row r="28" spans="1:23">
      <c r="A28" s="13">
        <v>43059</v>
      </c>
      <c r="B28" s="11">
        <v>7224.8486329999996</v>
      </c>
      <c r="C28" s="14">
        <f t="shared" si="0"/>
        <v>-2.4459245782783245E-2</v>
      </c>
      <c r="D28" s="15">
        <v>43059</v>
      </c>
      <c r="E28" s="16">
        <v>33679.238280999998</v>
      </c>
      <c r="F28" s="14">
        <f t="shared" si="1"/>
        <v>1.0090259129992285E-2</v>
      </c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</row>
    <row r="29" spans="1:23">
      <c r="A29" s="13">
        <v>43052</v>
      </c>
      <c r="B29" s="11">
        <v>7405.9936520000001</v>
      </c>
      <c r="C29" s="14">
        <f t="shared" si="0"/>
        <v>-1.2189796696286948E-2</v>
      </c>
      <c r="D29" s="15">
        <v>43052</v>
      </c>
      <c r="E29" s="16">
        <v>33342.800780999998</v>
      </c>
      <c r="F29" s="14">
        <f t="shared" si="1"/>
        <v>8.4774309466850717E-4</v>
      </c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</row>
    <row r="30" spans="1:23">
      <c r="A30" s="13">
        <v>43045</v>
      </c>
      <c r="B30" s="11">
        <v>7497.3852539999998</v>
      </c>
      <c r="C30" s="14">
        <f t="shared" si="0"/>
        <v>5.0152058406406352E-2</v>
      </c>
      <c r="D30" s="15">
        <v>43045</v>
      </c>
      <c r="E30" s="16">
        <v>33314.558594000002</v>
      </c>
      <c r="F30" s="14">
        <f t="shared" si="1"/>
        <v>-1.1013621726495004E-2</v>
      </c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</row>
    <row r="31" spans="1:23">
      <c r="A31" s="13">
        <v>43038</v>
      </c>
      <c r="B31" s="11">
        <v>7139.3330079999996</v>
      </c>
      <c r="C31" s="14">
        <f t="shared" si="0"/>
        <v>3.3860315226461157E-2</v>
      </c>
      <c r="D31" s="15">
        <v>43038</v>
      </c>
      <c r="E31" s="16">
        <v>33685.558594000002</v>
      </c>
      <c r="F31" s="14">
        <f t="shared" si="1"/>
        <v>1.5934383640063388E-2</v>
      </c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</row>
    <row r="32" spans="1:23">
      <c r="A32" s="13">
        <v>43031</v>
      </c>
      <c r="B32" s="11">
        <v>6905.5102539999998</v>
      </c>
      <c r="C32" s="14">
        <f t="shared" si="0"/>
        <v>-6.3122513539062286E-3</v>
      </c>
      <c r="D32" s="15">
        <v>43031</v>
      </c>
      <c r="E32" s="16">
        <v>33157.21875</v>
      </c>
      <c r="F32" s="14">
        <f t="shared" si="1"/>
        <v>2.3688136378696711E-2</v>
      </c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</row>
    <row r="33" spans="1:23">
      <c r="A33" s="13">
        <v>43024</v>
      </c>
      <c r="B33" s="11">
        <v>6949.3764650000003</v>
      </c>
      <c r="C33" s="14">
        <f t="shared" si="0"/>
        <v>-1.7589185955854791E-2</v>
      </c>
      <c r="D33" s="15">
        <v>43024</v>
      </c>
      <c r="E33" s="16">
        <v>32389.960938</v>
      </c>
      <c r="F33" s="14">
        <f t="shared" si="1"/>
        <v>-1.3174521052877752E-3</v>
      </c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</row>
    <row r="34" spans="1:23">
      <c r="A34" s="13">
        <v>43017</v>
      </c>
      <c r="B34" s="11">
        <v>7073.798828</v>
      </c>
      <c r="C34" s="14">
        <f t="shared" si="0"/>
        <v>-1.006431321489254E-3</v>
      </c>
      <c r="D34" s="15">
        <v>43017</v>
      </c>
      <c r="E34" s="16">
        <v>32432.689452999999</v>
      </c>
      <c r="F34" s="14">
        <f t="shared" si="1"/>
        <v>1.9440009415087722E-2</v>
      </c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</row>
    <row r="35" spans="1:23">
      <c r="A35" s="13">
        <v>43010</v>
      </c>
      <c r="B35" s="11">
        <v>7080.9252930000002</v>
      </c>
      <c r="C35" s="14">
        <f t="shared" si="0"/>
        <v>1.8887420860935533E-2</v>
      </c>
      <c r="D35" s="15">
        <v>43010</v>
      </c>
      <c r="E35" s="16">
        <v>31814.220702999999</v>
      </c>
      <c r="F35" s="14">
        <f t="shared" si="1"/>
        <v>1.6957701580206486E-2</v>
      </c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</row>
    <row r="36" spans="1:23">
      <c r="A36" s="13">
        <v>43003</v>
      </c>
      <c r="B36" s="11">
        <v>6949.6640630000002</v>
      </c>
      <c r="C36" s="14">
        <f t="shared" si="0"/>
        <v>6.548439704953557E-3</v>
      </c>
      <c r="D36" s="15">
        <v>43003</v>
      </c>
      <c r="E36" s="16">
        <v>31283.720702999999</v>
      </c>
      <c r="F36" s="14">
        <f t="shared" si="1"/>
        <v>-2.0008456776631878E-2</v>
      </c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</row>
    <row r="37" spans="1:23">
      <c r="A37" s="13">
        <v>42996</v>
      </c>
      <c r="B37" s="11">
        <v>6904.4506840000004</v>
      </c>
      <c r="C37" s="14">
        <f t="shared" si="0"/>
        <v>-2.4424916822148979E-2</v>
      </c>
      <c r="D37" s="15">
        <v>42996</v>
      </c>
      <c r="E37" s="16">
        <v>31922.439452999999</v>
      </c>
      <c r="F37" s="14">
        <f t="shared" si="1"/>
        <v>-1.0850375249522259E-2</v>
      </c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</row>
    <row r="38" spans="1:23">
      <c r="A38" s="13">
        <v>42989</v>
      </c>
      <c r="B38" s="11">
        <v>7077.3134769999997</v>
      </c>
      <c r="C38" s="14">
        <f t="shared" si="0"/>
        <v>2.0502942635099775E-2</v>
      </c>
      <c r="D38" s="15">
        <v>42989</v>
      </c>
      <c r="E38" s="16">
        <v>32272.609375</v>
      </c>
      <c r="F38" s="14">
        <f t="shared" si="1"/>
        <v>1.8464362394399636E-2</v>
      </c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</row>
    <row r="39" spans="1:23">
      <c r="A39" s="13">
        <v>42982</v>
      </c>
      <c r="B39" s="11">
        <v>6935.123047</v>
      </c>
      <c r="C39" s="14">
        <f t="shared" si="0"/>
        <v>2.6527573546101024E-2</v>
      </c>
      <c r="D39" s="15">
        <v>42982</v>
      </c>
      <c r="E39" s="16">
        <v>31687.519531000002</v>
      </c>
      <c r="F39" s="14">
        <f t="shared" si="1"/>
        <v>-6.4188341483039091E-3</v>
      </c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</row>
    <row r="40" spans="1:23">
      <c r="A40" s="13">
        <v>42975</v>
      </c>
      <c r="B40" s="11">
        <v>6755.9052730000003</v>
      </c>
      <c r="C40" s="14">
        <f t="shared" si="0"/>
        <v>6.2505802629446494E-2</v>
      </c>
      <c r="D40" s="15">
        <v>42975</v>
      </c>
      <c r="E40" s="16">
        <v>31892.230468999998</v>
      </c>
      <c r="F40" s="14">
        <f t="shared" si="1"/>
        <v>9.3736344617847411E-3</v>
      </c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</row>
    <row r="41" spans="1:23">
      <c r="A41" s="13">
        <v>42968</v>
      </c>
      <c r="B41" s="11">
        <v>6358.4643550000001</v>
      </c>
      <c r="C41" s="14">
        <f t="shared" si="0"/>
        <v>-7.6351555798059856E-3</v>
      </c>
      <c r="D41" s="15">
        <v>42968</v>
      </c>
      <c r="E41" s="16">
        <v>31596.060547000001</v>
      </c>
      <c r="F41" s="14">
        <f t="shared" si="1"/>
        <v>2.2642849889817906E-3</v>
      </c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</row>
    <row r="42" spans="1:23">
      <c r="A42" s="13">
        <v>42961</v>
      </c>
      <c r="B42" s="11">
        <v>6407.3857420000004</v>
      </c>
      <c r="C42" s="14">
        <f t="shared" si="0"/>
        <v>1.6671069871030175E-2</v>
      </c>
      <c r="D42" s="15">
        <v>42961</v>
      </c>
      <c r="E42" s="16">
        <v>31524.679688</v>
      </c>
      <c r="F42" s="14">
        <f t="shared" si="1"/>
        <v>9.9664872113325309E-3</v>
      </c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</row>
    <row r="43" spans="1:23">
      <c r="A43" s="13">
        <v>42954</v>
      </c>
      <c r="B43" s="11">
        <v>6302.3193359999996</v>
      </c>
      <c r="C43" s="14">
        <f t="shared" si="0"/>
        <v>-2.1376833337882095E-2</v>
      </c>
      <c r="D43" s="15">
        <v>42954</v>
      </c>
      <c r="E43" s="16">
        <v>31213.589843999998</v>
      </c>
      <c r="F43" s="14">
        <f t="shared" si="1"/>
        <v>-3.4394623506227573E-2</v>
      </c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</row>
    <row r="44" spans="1:23">
      <c r="A44" s="13">
        <v>42947</v>
      </c>
      <c r="B44" s="11">
        <v>6439.9858400000003</v>
      </c>
      <c r="C44" s="14">
        <f t="shared" si="0"/>
        <v>-1.1569703208196946E-2</v>
      </c>
      <c r="D44" s="15">
        <v>42947</v>
      </c>
      <c r="E44" s="16">
        <v>32325.410156000002</v>
      </c>
      <c r="F44" s="14">
        <f t="shared" si="1"/>
        <v>4.8063615795346237E-4</v>
      </c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</row>
    <row r="45" spans="1:23">
      <c r="A45" s="13">
        <v>42940</v>
      </c>
      <c r="B45" s="11">
        <v>6515.3666990000002</v>
      </c>
      <c r="C45" s="14">
        <f t="shared" si="0"/>
        <v>-3.8708289215053648E-3</v>
      </c>
      <c r="D45" s="15">
        <v>42940</v>
      </c>
      <c r="E45" s="16">
        <v>32309.880859000001</v>
      </c>
      <c r="F45" s="14">
        <f t="shared" si="1"/>
        <v>8.7730242452004337E-3</v>
      </c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</row>
    <row r="46" spans="1:23">
      <c r="A46" s="13">
        <v>42933</v>
      </c>
      <c r="B46" s="11">
        <v>6540.6845700000003</v>
      </c>
      <c r="C46" s="14">
        <f t="shared" si="0"/>
        <v>-5.7270770735173837E-4</v>
      </c>
      <c r="D46" s="15">
        <v>42933</v>
      </c>
      <c r="E46" s="16">
        <v>32028.890625</v>
      </c>
      <c r="F46" s="14">
        <f t="shared" si="1"/>
        <v>2.5422967919230821E-4</v>
      </c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</row>
    <row r="47" spans="1:23">
      <c r="A47" s="13">
        <v>42926</v>
      </c>
      <c r="B47" s="11">
        <v>6544.4326170000004</v>
      </c>
      <c r="C47" s="14">
        <f t="shared" si="0"/>
        <v>-8.6023710394387276E-3</v>
      </c>
      <c r="D47" s="15">
        <v>42926</v>
      </c>
      <c r="E47" s="16">
        <v>32020.75</v>
      </c>
      <c r="F47" s="14">
        <f t="shared" si="1"/>
        <v>2.1049294064521495E-2</v>
      </c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</row>
    <row r="48" spans="1:23">
      <c r="A48" s="13">
        <v>42919</v>
      </c>
      <c r="B48" s="11">
        <v>6601.21875</v>
      </c>
      <c r="C48" s="14">
        <f t="shared" si="0"/>
        <v>1.9779317879794922E-2</v>
      </c>
      <c r="D48" s="15">
        <v>42919</v>
      </c>
      <c r="E48" s="16">
        <v>31360.630859000001</v>
      </c>
      <c r="F48" s="14">
        <f t="shared" si="1"/>
        <v>1.4197885972744517E-2</v>
      </c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</row>
    <row r="49" spans="1:23">
      <c r="A49" s="13">
        <v>42912</v>
      </c>
      <c r="B49" s="11">
        <v>6473.1835940000001</v>
      </c>
      <c r="C49" s="14">
        <f t="shared" si="0"/>
        <v>1.4631825677410504E-2</v>
      </c>
      <c r="D49" s="15">
        <v>42912</v>
      </c>
      <c r="E49" s="16">
        <v>30921.609375</v>
      </c>
      <c r="F49" s="14">
        <f t="shared" si="1"/>
        <v>-6.9561338456881616E-3</v>
      </c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</row>
    <row r="50" spans="1:23">
      <c r="A50" s="13">
        <v>42905</v>
      </c>
      <c r="B50" s="11">
        <v>6379.8349609999996</v>
      </c>
      <c r="C50" s="14">
        <f t="shared" si="0"/>
        <v>-1.7767003668953896E-2</v>
      </c>
      <c r="D50" s="15">
        <v>42905</v>
      </c>
      <c r="E50" s="16">
        <v>31138.210938</v>
      </c>
      <c r="F50" s="14">
        <f t="shared" si="1"/>
        <v>2.6342572213780002E-3</v>
      </c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</row>
    <row r="51" spans="1:23">
      <c r="A51" s="13">
        <v>42898</v>
      </c>
      <c r="B51" s="11">
        <v>6495.2358400000003</v>
      </c>
      <c r="C51" s="14">
        <f t="shared" si="0"/>
        <v>1.3835917016325583E-2</v>
      </c>
      <c r="D51" s="15">
        <v>42898</v>
      </c>
      <c r="E51" s="16">
        <v>31056.400390999999</v>
      </c>
      <c r="F51" s="14">
        <f t="shared" si="1"/>
        <v>-6.5785860689128173E-3</v>
      </c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</row>
    <row r="52" spans="1:23">
      <c r="A52" s="13">
        <v>42891</v>
      </c>
      <c r="B52" s="11">
        <v>6406.5947269999997</v>
      </c>
      <c r="C52" s="14">
        <f t="shared" si="0"/>
        <v>2.842584738247611E-3</v>
      </c>
      <c r="D52" s="15">
        <v>42891</v>
      </c>
      <c r="E52" s="16">
        <v>31262.060547000001</v>
      </c>
      <c r="F52" s="14">
        <f t="shared" si="1"/>
        <v>-3.5904493375737978E-4</v>
      </c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</row>
    <row r="53" spans="1:23">
      <c r="A53" s="13">
        <v>42884</v>
      </c>
      <c r="B53" s="11">
        <v>6388.4350590000004</v>
      </c>
      <c r="C53" s="14">
        <f t="shared" si="0"/>
        <v>7.566855628304836E-6</v>
      </c>
      <c r="D53" s="15">
        <v>42884</v>
      </c>
      <c r="E53" s="16">
        <v>31273.289063</v>
      </c>
      <c r="F53" s="14">
        <f t="shared" si="1"/>
        <v>7.8985580409296485E-3</v>
      </c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</row>
    <row r="54" spans="1:23">
      <c r="A54" s="13">
        <v>42877</v>
      </c>
      <c r="B54" s="11">
        <v>6388.3867190000001</v>
      </c>
      <c r="C54" s="14">
        <f t="shared" si="0"/>
        <v>2.3479995220432759E-2</v>
      </c>
      <c r="D54" s="15">
        <v>42877</v>
      </c>
      <c r="E54" s="16">
        <v>31028.210938</v>
      </c>
      <c r="F54" s="14">
        <f t="shared" si="1"/>
        <v>1.8489824277963196E-2</v>
      </c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</row>
    <row r="55" spans="1:23">
      <c r="A55" s="13">
        <v>42870</v>
      </c>
      <c r="B55" s="11">
        <v>6241.8286129999997</v>
      </c>
      <c r="C55" s="14">
        <f t="shared" si="0"/>
        <v>-4.2124803921979481E-2</v>
      </c>
      <c r="D55" s="15">
        <v>42870</v>
      </c>
      <c r="E55" s="16">
        <v>30464.919922000001</v>
      </c>
      <c r="F55" s="14">
        <f t="shared" si="1"/>
        <v>9.1681513247832136E-3</v>
      </c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</row>
    <row r="56" spans="1:23">
      <c r="A56" s="13">
        <v>42863</v>
      </c>
      <c r="B56" s="11">
        <v>6516.3276370000003</v>
      </c>
      <c r="C56" s="14">
        <f t="shared" si="0"/>
        <v>1.4115768816262975E-2</v>
      </c>
      <c r="D56" s="15">
        <v>42863</v>
      </c>
      <c r="E56" s="16">
        <v>30188.150390999999</v>
      </c>
      <c r="F56" s="14">
        <f t="shared" si="1"/>
        <v>1.1030235688821444E-2</v>
      </c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</row>
    <row r="57" spans="1:23">
      <c r="A57" s="13">
        <v>42856</v>
      </c>
      <c r="B57" s="11">
        <v>6425.625</v>
      </c>
      <c r="C57" s="14">
        <f t="shared" si="0"/>
        <v>4.2851814221869233E-3</v>
      </c>
      <c r="D57" s="15">
        <v>42856</v>
      </c>
      <c r="E57" s="16">
        <v>29858.800781000002</v>
      </c>
      <c r="F57" s="14">
        <f t="shared" si="1"/>
        <v>-1.992072076752005E-3</v>
      </c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</row>
    <row r="58" spans="1:23">
      <c r="A58" s="13">
        <v>42849</v>
      </c>
      <c r="B58" s="11">
        <v>6398.2075199999999</v>
      </c>
      <c r="C58" s="14">
        <f t="shared" si="0"/>
        <v>5.4149462970232154E-2</v>
      </c>
      <c r="D58" s="15">
        <v>42849</v>
      </c>
      <c r="E58" s="16">
        <v>29918.400390999999</v>
      </c>
      <c r="F58" s="14">
        <f t="shared" si="1"/>
        <v>1.8835141997178617E-2</v>
      </c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</row>
    <row r="59" spans="1:23">
      <c r="A59" s="13">
        <v>42842</v>
      </c>
      <c r="B59" s="11">
        <v>6069.544922</v>
      </c>
      <c r="C59" s="14">
        <f t="shared" si="0"/>
        <v>-1.3132428989521494E-2</v>
      </c>
      <c r="D59" s="15">
        <v>42842</v>
      </c>
      <c r="E59" s="16">
        <v>29365.300781000002</v>
      </c>
      <c r="F59" s="14">
        <f t="shared" si="1"/>
        <v>-3.2635338908579836E-3</v>
      </c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</row>
    <row r="60" spans="1:23">
      <c r="A60" s="13">
        <v>42835</v>
      </c>
      <c r="B60" s="11">
        <v>6150.3134769999997</v>
      </c>
      <c r="C60" s="14">
        <f t="shared" si="0"/>
        <v>-2.7410594168771008E-2</v>
      </c>
      <c r="D60" s="15">
        <v>42835</v>
      </c>
      <c r="E60" s="16">
        <v>29461.449218999998</v>
      </c>
      <c r="F60" s="14">
        <f t="shared" si="1"/>
        <v>-8.2527141655661662E-3</v>
      </c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</row>
    <row r="61" spans="1:23">
      <c r="A61" s="13">
        <v>42828</v>
      </c>
      <c r="B61" s="11">
        <v>6323.6484380000002</v>
      </c>
      <c r="C61" s="14">
        <f t="shared" si="0"/>
        <v>-9.1232083334640279E-3</v>
      </c>
      <c r="D61" s="15">
        <v>42828</v>
      </c>
      <c r="E61" s="16">
        <v>29706.609375</v>
      </c>
      <c r="F61" s="14">
        <f t="shared" si="1"/>
        <v>2.9070871524787822E-3</v>
      </c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</row>
    <row r="62" spans="1:23">
      <c r="A62" s="13">
        <v>42821</v>
      </c>
      <c r="B62" s="11">
        <v>6381.8715819999998</v>
      </c>
      <c r="C62" s="14">
        <f t="shared" si="0"/>
        <v>5.1648443650654574E-2</v>
      </c>
      <c r="D62" s="15">
        <v>42821</v>
      </c>
      <c r="E62" s="16">
        <v>29620.5</v>
      </c>
      <c r="F62" s="14">
        <f t="shared" si="1"/>
        <v>6.7671696912463553E-3</v>
      </c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</row>
    <row r="63" spans="1:23">
      <c r="A63" s="13">
        <v>42814</v>
      </c>
      <c r="B63" s="11">
        <v>6068.4458009999998</v>
      </c>
      <c r="C63" s="14">
        <f t="shared" si="0"/>
        <v>2.096555947338441E-2</v>
      </c>
      <c r="D63" s="15">
        <v>42814</v>
      </c>
      <c r="E63" s="16">
        <v>29421.400390999999</v>
      </c>
      <c r="F63" s="14">
        <f t="shared" si="1"/>
        <v>-7.6761414538499828E-3</v>
      </c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</row>
    <row r="64" spans="1:23">
      <c r="A64" s="13">
        <v>42807</v>
      </c>
      <c r="B64" s="11">
        <v>5943.830078</v>
      </c>
      <c r="C64" s="14">
        <f t="shared" si="0"/>
        <v>1.4734745647337677E-2</v>
      </c>
      <c r="D64" s="15">
        <v>42807</v>
      </c>
      <c r="E64" s="16">
        <v>29648.990234000001</v>
      </c>
      <c r="F64" s="14">
        <f t="shared" si="1"/>
        <v>2.4278109916682444E-2</v>
      </c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</row>
    <row r="65" spans="1:23">
      <c r="A65" s="13">
        <v>42800</v>
      </c>
      <c r="B65" s="11">
        <v>5857.5209960000002</v>
      </c>
      <c r="C65" s="14">
        <f t="shared" si="0"/>
        <v>-9.3381266502426952E-3</v>
      </c>
      <c r="D65" s="15">
        <v>42800</v>
      </c>
      <c r="E65" s="16">
        <v>28946.230468999998</v>
      </c>
      <c r="F65" s="14">
        <f t="shared" si="1"/>
        <v>3.9462915250716435E-3</v>
      </c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</row>
    <row r="66" spans="1:23">
      <c r="A66" s="13">
        <v>42793</v>
      </c>
      <c r="B66" s="11">
        <v>5912.7348629999997</v>
      </c>
      <c r="C66" s="14">
        <f t="shared" si="0"/>
        <v>-3.0132473735476117E-2</v>
      </c>
      <c r="D66" s="15">
        <v>42793</v>
      </c>
      <c r="E66" s="16">
        <v>28832.449218999998</v>
      </c>
      <c r="F66" s="14">
        <f t="shared" si="1"/>
        <v>-2.0946784815628616E-3</v>
      </c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</row>
    <row r="67" spans="1:23">
      <c r="A67" s="13">
        <v>42786</v>
      </c>
      <c r="B67" s="11">
        <v>6096.435547</v>
      </c>
      <c r="C67" s="14">
        <f t="shared" si="0"/>
        <v>2.2650410357547779E-2</v>
      </c>
      <c r="D67" s="15">
        <v>42786</v>
      </c>
      <c r="E67" s="16">
        <v>28892.970702999999</v>
      </c>
      <c r="F67" s="14">
        <f t="shared" si="1"/>
        <v>1.4901276065861557E-2</v>
      </c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</row>
    <row r="68" spans="1:23">
      <c r="A68" s="13">
        <v>42779</v>
      </c>
      <c r="B68" s="11">
        <v>5961.4072269999997</v>
      </c>
      <c r="C68" s="14">
        <f t="shared" si="0"/>
        <v>1.0083743213008978E-2</v>
      </c>
      <c r="D68" s="15">
        <v>42779</v>
      </c>
      <c r="E68" s="16">
        <v>28468.75</v>
      </c>
      <c r="F68" s="14">
        <f t="shared" si="1"/>
        <v>4.7469052471831308E-3</v>
      </c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</row>
    <row r="69" spans="1:23">
      <c r="A69" s="13">
        <v>42772</v>
      </c>
      <c r="B69" s="11">
        <v>5901.8940430000002</v>
      </c>
      <c r="C69" s="14">
        <f t="shared" si="0"/>
        <v>1.473288149927332E-2</v>
      </c>
      <c r="D69" s="15">
        <v>42772</v>
      </c>
      <c r="E69" s="16">
        <v>28334.25</v>
      </c>
      <c r="F69" s="14">
        <f t="shared" si="1"/>
        <v>3.3190065394197443E-3</v>
      </c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</row>
    <row r="70" spans="1:23">
      <c r="A70" s="13">
        <v>42765</v>
      </c>
      <c r="B70" s="11">
        <v>5816.2045900000003</v>
      </c>
      <c r="C70" s="14">
        <f t="shared" si="0"/>
        <v>2.9471190233068212E-2</v>
      </c>
      <c r="D70" s="15">
        <v>42765</v>
      </c>
      <c r="E70" s="16">
        <v>28240.519531000002</v>
      </c>
      <c r="F70" s="14">
        <f t="shared" si="1"/>
        <v>1.2841714144106176E-2</v>
      </c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</row>
    <row r="71" spans="1:23">
      <c r="A71" s="13">
        <v>42758</v>
      </c>
      <c r="B71" s="11">
        <v>5649.701172</v>
      </c>
      <c r="C71" s="14">
        <f t="shared" si="0"/>
        <v>2.4409973504051496E-3</v>
      </c>
      <c r="D71" s="15">
        <v>42758</v>
      </c>
      <c r="E71" s="16">
        <v>27882.460938</v>
      </c>
      <c r="F71" s="14">
        <f t="shared" si="1"/>
        <v>3.13658820396161E-2</v>
      </c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</row>
    <row r="72" spans="1:23">
      <c r="A72" s="13">
        <v>42751</v>
      </c>
      <c r="B72" s="11">
        <v>5635.9438479999999</v>
      </c>
      <c r="C72" s="14">
        <f t="shared" si="0"/>
        <v>8.4564948370502435E-5</v>
      </c>
      <c r="D72" s="15">
        <v>42751</v>
      </c>
      <c r="E72" s="16">
        <v>27034.5</v>
      </c>
      <c r="F72" s="14">
        <f t="shared" si="1"/>
        <v>-7.4733862438095544E-3</v>
      </c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</row>
    <row r="73" spans="1:23">
      <c r="A73" s="13">
        <v>42744</v>
      </c>
      <c r="B73" s="11">
        <v>5635.4672849999997</v>
      </c>
      <c r="C73" s="14">
        <f t="shared" si="0"/>
        <v>-5.1517929590794154E-3</v>
      </c>
      <c r="D73" s="15">
        <v>42744</v>
      </c>
      <c r="E73" s="16">
        <v>27238.060547000001</v>
      </c>
      <c r="F73" s="14">
        <f t="shared" si="1"/>
        <v>1.7894015246616268E-2</v>
      </c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</row>
    <row r="74" spans="1:23">
      <c r="A74" s="13">
        <v>42737</v>
      </c>
      <c r="B74" s="11">
        <v>5664.6503910000001</v>
      </c>
      <c r="C74" s="14">
        <f t="shared" si="0"/>
        <v>-1.633953302578639E-2</v>
      </c>
      <c r="D74" s="15">
        <v>42737</v>
      </c>
      <c r="E74" s="16">
        <v>26759.230468999998</v>
      </c>
      <c r="F74" s="14">
        <f t="shared" si="1"/>
        <v>4.986375444680835E-3</v>
      </c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</row>
    <row r="75" spans="1:23">
      <c r="A75" s="13">
        <v>42730</v>
      </c>
      <c r="B75" s="11">
        <v>5758.7456050000001</v>
      </c>
      <c r="C75" s="14">
        <f t="shared" si="0"/>
        <v>3.8726177768018122E-2</v>
      </c>
      <c r="D75" s="15">
        <v>42730</v>
      </c>
      <c r="E75" s="16">
        <v>26626.460938</v>
      </c>
      <c r="F75" s="14">
        <f t="shared" si="1"/>
        <v>2.2494085664666486E-2</v>
      </c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</row>
    <row r="76" spans="1:23">
      <c r="A76" s="13">
        <v>42723</v>
      </c>
      <c r="B76" s="11">
        <v>5544.0458980000003</v>
      </c>
      <c r="C76" s="14">
        <f t="shared" si="0"/>
        <v>-5.095511283581422E-2</v>
      </c>
      <c r="D76" s="15">
        <v>42723</v>
      </c>
      <c r="E76" s="16">
        <v>26040.699218999998</v>
      </c>
      <c r="F76" s="14">
        <f t="shared" si="1"/>
        <v>-1.6944838597967471E-2</v>
      </c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</row>
    <row r="77" spans="1:23">
      <c r="A77" s="13">
        <v>42716</v>
      </c>
      <c r="B77" s="11">
        <v>5841.7109380000002</v>
      </c>
      <c r="C77" s="14">
        <f t="shared" si="0"/>
        <v>-3.4893345679644083E-2</v>
      </c>
      <c r="D77" s="15">
        <v>42716</v>
      </c>
      <c r="E77" s="16">
        <v>26489.560547000001</v>
      </c>
      <c r="F77" s="14">
        <f t="shared" si="1"/>
        <v>-9.6316375784314401E-3</v>
      </c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</row>
    <row r="78" spans="1:23">
      <c r="A78" s="13">
        <v>42709</v>
      </c>
      <c r="B78" s="11">
        <v>6052.9174800000001</v>
      </c>
      <c r="C78" s="14">
        <f t="shared" si="0"/>
        <v>1.9483335934019852E-2</v>
      </c>
      <c r="D78" s="15">
        <v>42709</v>
      </c>
      <c r="E78" s="16">
        <v>26747.179688</v>
      </c>
      <c r="F78" s="14">
        <f t="shared" si="1"/>
        <v>1.969144233992326E-2</v>
      </c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</row>
    <row r="79" spans="1:23">
      <c r="A79" s="13">
        <v>42702</v>
      </c>
      <c r="B79" s="11">
        <v>5937.2402339999999</v>
      </c>
      <c r="C79" s="14">
        <f t="shared" si="0"/>
        <v>1.1640784139881344E-2</v>
      </c>
      <c r="D79" s="15">
        <v>42702</v>
      </c>
      <c r="E79" s="16">
        <v>26230.660156000002</v>
      </c>
      <c r="F79" s="14">
        <f t="shared" si="1"/>
        <v>-3.2557600527997055E-3</v>
      </c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</row>
    <row r="80" spans="1:23">
      <c r="A80" s="13">
        <v>42695</v>
      </c>
      <c r="B80" s="11">
        <v>5868.9213870000003</v>
      </c>
      <c r="C80" s="14">
        <f t="shared" si="0"/>
        <v>4.7188950661444018E-2</v>
      </c>
      <c r="D80" s="15">
        <v>42695</v>
      </c>
      <c r="E80" s="16">
        <v>26316.339843999998</v>
      </c>
      <c r="F80" s="14">
        <f t="shared" si="1"/>
        <v>6.3517431776416444E-3</v>
      </c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</row>
    <row r="81" spans="1:23">
      <c r="A81" s="13">
        <v>42688</v>
      </c>
      <c r="B81" s="11">
        <v>5604.453125</v>
      </c>
      <c r="C81" s="14">
        <f t="shared" si="0"/>
        <v>-5.971791343749866E-2</v>
      </c>
      <c r="D81" s="15">
        <v>42688</v>
      </c>
      <c r="E81" s="16">
        <v>26150.240234000001</v>
      </c>
      <c r="F81" s="14">
        <f t="shared" si="1"/>
        <v>-2.4929511111863367E-2</v>
      </c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</row>
    <row r="82" spans="1:23">
      <c r="A82" s="13">
        <v>42681</v>
      </c>
      <c r="B82" s="11">
        <v>5960.3955079999996</v>
      </c>
      <c r="C82" s="14">
        <f t="shared" si="0"/>
        <v>-5.9933386918548104E-2</v>
      </c>
      <c r="D82" s="15">
        <v>42681</v>
      </c>
      <c r="E82" s="16">
        <v>26818.820313</v>
      </c>
      <c r="F82" s="14">
        <f t="shared" si="1"/>
        <v>-1.6694565054178545E-2</v>
      </c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</row>
    <row r="83" spans="1:23">
      <c r="A83" s="13">
        <v>42674</v>
      </c>
      <c r="B83" s="11">
        <v>6340.3969729999999</v>
      </c>
      <c r="C83" s="14">
        <f t="shared" si="0"/>
        <v>-4.7482283445197337E-2</v>
      </c>
      <c r="D83" s="15">
        <v>42674</v>
      </c>
      <c r="E83" s="16">
        <v>27274.150390999999</v>
      </c>
      <c r="F83" s="14">
        <f t="shared" si="1"/>
        <v>-2.3884155888099556E-2</v>
      </c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</row>
    <row r="84" spans="1:23">
      <c r="A84" s="13">
        <v>42667</v>
      </c>
      <c r="B84" s="11">
        <v>6656.4609380000002</v>
      </c>
      <c r="C84" s="14">
        <f t="shared" si="0"/>
        <v>1.6981683329134745E-2</v>
      </c>
      <c r="D84" s="15">
        <v>42667</v>
      </c>
      <c r="E84" s="16">
        <v>27941.509765999999</v>
      </c>
      <c r="F84" s="14">
        <f t="shared" si="1"/>
        <v>-4.8320352509616527E-3</v>
      </c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</row>
    <row r="85" spans="1:23">
      <c r="A85" s="13">
        <v>42660</v>
      </c>
      <c r="B85" s="11">
        <v>6545.310547</v>
      </c>
      <c r="C85" s="14">
        <f t="shared" si="0"/>
        <v>-1.1851094383503735E-3</v>
      </c>
      <c r="D85" s="15">
        <v>42660</v>
      </c>
      <c r="E85" s="16">
        <v>28077.179688</v>
      </c>
      <c r="F85" s="14">
        <f t="shared" si="1"/>
        <v>1.4583577297575312E-2</v>
      </c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</row>
    <row r="86" spans="1:23">
      <c r="A86" s="13">
        <v>42653</v>
      </c>
      <c r="B86" s="11">
        <v>6553.0766599999997</v>
      </c>
      <c r="C86" s="14">
        <f t="shared" si="0"/>
        <v>2.2206232335492793E-2</v>
      </c>
      <c r="D86" s="15">
        <v>42653</v>
      </c>
      <c r="E86" s="16">
        <v>27673.599609000001</v>
      </c>
      <c r="F86" s="14">
        <f t="shared" si="1"/>
        <v>-1.381059384502481E-2</v>
      </c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</row>
    <row r="87" spans="1:23">
      <c r="A87" s="13">
        <v>42646</v>
      </c>
      <c r="B87" s="11">
        <v>6410.71875</v>
      </c>
      <c r="C87" s="14">
        <f t="shared" si="0"/>
        <v>4.5858479463698476E-2</v>
      </c>
      <c r="D87" s="15">
        <v>42646</v>
      </c>
      <c r="E87" s="16">
        <v>28061.140625</v>
      </c>
      <c r="F87" s="14">
        <f t="shared" si="1"/>
        <v>7.0042331371331645E-3</v>
      </c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</row>
    <row r="88" spans="1:23">
      <c r="A88" s="13">
        <v>42639</v>
      </c>
      <c r="B88" s="11">
        <v>6129.6235349999997</v>
      </c>
      <c r="C88" s="14">
        <f t="shared" si="0"/>
        <v>-9.5079112594456117E-3</v>
      </c>
      <c r="D88" s="15">
        <v>42639</v>
      </c>
      <c r="E88" s="16">
        <v>27865.960938</v>
      </c>
      <c r="F88" s="14">
        <f t="shared" si="1"/>
        <v>-2.798428871157832E-2</v>
      </c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</row>
    <row r="89" spans="1:23">
      <c r="A89" s="13">
        <v>42632</v>
      </c>
      <c r="B89" s="11">
        <v>6188.4628910000001</v>
      </c>
      <c r="C89" s="14">
        <f t="shared" si="0"/>
        <v>1.3672613512918153E-2</v>
      </c>
      <c r="D89" s="15">
        <v>42632</v>
      </c>
      <c r="E89" s="16">
        <v>28668.220702999999</v>
      </c>
      <c r="F89" s="14">
        <f t="shared" si="1"/>
        <v>2.4193620448249575E-3</v>
      </c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</row>
    <row r="90" spans="1:23">
      <c r="A90" s="13">
        <v>42625</v>
      </c>
      <c r="B90" s="11">
        <v>6104.9916990000002</v>
      </c>
      <c r="C90" s="14">
        <f t="shared" si="0"/>
        <v>-1.5504418682693477E-2</v>
      </c>
      <c r="D90" s="15">
        <v>42625</v>
      </c>
      <c r="E90" s="16">
        <v>28599.029297000001</v>
      </c>
      <c r="F90" s="14">
        <f t="shared" si="1"/>
        <v>-6.8833205601228631E-3</v>
      </c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</row>
    <row r="91" spans="1:23">
      <c r="A91" s="13">
        <v>42618</v>
      </c>
      <c r="B91" s="11">
        <v>6201.1367190000001</v>
      </c>
      <c r="C91" s="14">
        <f t="shared" si="0"/>
        <v>1.0598613629197562E-2</v>
      </c>
      <c r="D91" s="15">
        <v>42618</v>
      </c>
      <c r="E91" s="16">
        <v>28797.25</v>
      </c>
      <c r="F91" s="14">
        <f t="shared" si="1"/>
        <v>9.2927102414768203E-3</v>
      </c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</row>
    <row r="92" spans="1:23">
      <c r="A92" s="13">
        <v>42611</v>
      </c>
      <c r="B92" s="11">
        <v>6136.1025390000004</v>
      </c>
      <c r="C92" s="14">
        <f t="shared" si="0"/>
        <v>-5.7324944946388401E-2</v>
      </c>
      <c r="D92" s="15">
        <v>42611</v>
      </c>
      <c r="E92" s="16">
        <v>28532.109375</v>
      </c>
      <c r="F92" s="14">
        <f t="shared" si="1"/>
        <v>2.6990592014685566E-2</v>
      </c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</row>
    <row r="93" spans="1:23">
      <c r="A93" s="13">
        <v>42604</v>
      </c>
      <c r="B93" s="11">
        <v>6509.2446289999998</v>
      </c>
      <c r="C93" s="14">
        <f t="shared" si="0"/>
        <v>1.5444415062091155E-2</v>
      </c>
      <c r="D93" s="15">
        <v>42604</v>
      </c>
      <c r="E93" s="16">
        <v>27782.25</v>
      </c>
      <c r="F93" s="14">
        <f t="shared" si="1"/>
        <v>-1.0497916444064503E-2</v>
      </c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</row>
    <row r="94" spans="1:23">
      <c r="A94" s="13">
        <v>42597</v>
      </c>
      <c r="B94" s="11">
        <v>6410.2421880000002</v>
      </c>
      <c r="C94" s="14">
        <f t="shared" si="0"/>
        <v>-2.4286308915838051E-2</v>
      </c>
      <c r="D94" s="15">
        <v>42597</v>
      </c>
      <c r="E94" s="16">
        <v>28077</v>
      </c>
      <c r="F94" s="14">
        <f t="shared" si="1"/>
        <v>-2.6782935008307085E-3</v>
      </c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</row>
    <row r="95" spans="1:23">
      <c r="A95" s="13">
        <v>42590</v>
      </c>
      <c r="B95" s="11">
        <v>6569.7983400000003</v>
      </c>
      <c r="C95" s="14">
        <f t="shared" si="0"/>
        <v>1.0080272963591153E-2</v>
      </c>
      <c r="D95" s="15">
        <v>42590</v>
      </c>
      <c r="E95" s="16">
        <v>28152.400390999999</v>
      </c>
      <c r="F95" s="14">
        <f t="shared" si="1"/>
        <v>2.6372911168632829E-3</v>
      </c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</row>
    <row r="96" spans="1:23">
      <c r="A96" s="13">
        <v>42583</v>
      </c>
      <c r="B96" s="11">
        <v>6504.2338870000003</v>
      </c>
      <c r="C96" s="14">
        <f t="shared" si="0"/>
        <v>-4.8731827645116299E-2</v>
      </c>
      <c r="D96" s="15">
        <v>42583</v>
      </c>
      <c r="E96" s="16">
        <v>28078.349609000001</v>
      </c>
      <c r="F96" s="14">
        <f t="shared" si="1"/>
        <v>9.4433077130018361E-4</v>
      </c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</row>
    <row r="97" spans="1:23">
      <c r="A97" s="13">
        <v>42576</v>
      </c>
      <c r="B97" s="11">
        <v>6837.4345700000003</v>
      </c>
      <c r="C97" s="14">
        <f t="shared" si="0"/>
        <v>1.5540385240304655E-2</v>
      </c>
      <c r="D97" s="15">
        <v>42576</v>
      </c>
      <c r="E97" s="16">
        <v>28051.859375</v>
      </c>
      <c r="F97" s="14">
        <f t="shared" si="1"/>
        <v>8.9420923211664949E-3</v>
      </c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</row>
    <row r="98" spans="1:23">
      <c r="A98" s="13">
        <v>42569</v>
      </c>
      <c r="B98" s="11">
        <v>6732.8041990000002</v>
      </c>
      <c r="C98" s="14">
        <f t="shared" si="0"/>
        <v>6.7149849324869004E-2</v>
      </c>
      <c r="D98" s="15">
        <v>42569</v>
      </c>
      <c r="E98" s="16">
        <v>27803.240234000001</v>
      </c>
      <c r="F98" s="14">
        <f t="shared" si="1"/>
        <v>-1.194825714439629E-3</v>
      </c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</row>
    <row r="99" spans="1:23">
      <c r="A99" s="13">
        <v>42562</v>
      </c>
      <c r="B99" s="11">
        <v>6309.1459960000002</v>
      </c>
      <c r="C99" s="14">
        <f t="shared" si="0"/>
        <v>3.4434445163453287E-2</v>
      </c>
      <c r="D99" s="15">
        <v>42562</v>
      </c>
      <c r="E99" s="16">
        <v>27836.5</v>
      </c>
      <c r="F99" s="14">
        <f t="shared" si="1"/>
        <v>2.6158521569807691E-2</v>
      </c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</row>
    <row r="100" spans="1:23">
      <c r="A100" s="13">
        <v>42555</v>
      </c>
      <c r="B100" s="11">
        <v>6099.1259769999997</v>
      </c>
      <c r="C100" s="14">
        <f t="shared" si="0"/>
        <v>-1.4985363985340006E-2</v>
      </c>
      <c r="D100" s="15">
        <v>42555</v>
      </c>
      <c r="E100" s="16">
        <v>27126.900390999999</v>
      </c>
      <c r="F100" s="14">
        <f t="shared" si="1"/>
        <v>-6.6346747498891023E-4</v>
      </c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</row>
    <row r="101" spans="1:23">
      <c r="A101" s="13">
        <v>42548</v>
      </c>
      <c r="B101" s="11">
        <v>6191.9140630000002</v>
      </c>
      <c r="C101" s="14">
        <f t="shared" si="0"/>
        <v>2.0318719503409355E-3</v>
      </c>
      <c r="D101" s="15">
        <v>42548</v>
      </c>
      <c r="E101" s="16">
        <v>27144.910156000002</v>
      </c>
      <c r="F101" s="14">
        <f t="shared" si="1"/>
        <v>2.8305454959899334E-2</v>
      </c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</row>
    <row r="102" spans="1:23">
      <c r="A102" s="13">
        <v>42541</v>
      </c>
      <c r="B102" s="11">
        <v>6179.3583980000003</v>
      </c>
      <c r="C102" s="14">
        <f t="shared" si="0"/>
        <v>4.9967419973422356E-3</v>
      </c>
      <c r="D102" s="15">
        <v>42541</v>
      </c>
      <c r="E102" s="16">
        <v>26397.710938</v>
      </c>
      <c r="F102" s="14">
        <f t="shared" si="1"/>
        <v>-8.5705696692804922E-3</v>
      </c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</row>
    <row r="103" spans="1:23">
      <c r="A103" s="13">
        <v>42534</v>
      </c>
      <c r="B103" s="11">
        <v>6148.6352539999998</v>
      </c>
      <c r="C103" s="14">
        <f t="shared" si="0"/>
        <v>-1.221691186567786E-2</v>
      </c>
      <c r="D103" s="15">
        <v>42534</v>
      </c>
      <c r="E103" s="16">
        <v>26625.910156000002</v>
      </c>
      <c r="F103" s="14">
        <f t="shared" si="1"/>
        <v>-3.69422449151946E-4</v>
      </c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</row>
    <row r="104" spans="1:23">
      <c r="A104" s="13">
        <v>42527</v>
      </c>
      <c r="B104" s="11">
        <v>6224.6816410000001</v>
      </c>
      <c r="C104" s="14">
        <f t="shared" si="0"/>
        <v>3.7897050342956984E-2</v>
      </c>
      <c r="D104" s="15">
        <v>42527</v>
      </c>
      <c r="E104" s="16">
        <v>26635.75</v>
      </c>
      <c r="F104" s="14">
        <f t="shared" si="1"/>
        <v>-7.7219040633080827E-3</v>
      </c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</row>
    <row r="105" spans="1:23">
      <c r="A105" s="13">
        <v>42520</v>
      </c>
      <c r="B105" s="11">
        <v>5997.3979490000002</v>
      </c>
      <c r="C105" s="14">
        <f t="shared" si="0"/>
        <v>2.1258765159753334E-2</v>
      </c>
      <c r="D105" s="15">
        <v>42520</v>
      </c>
      <c r="E105" s="16">
        <v>26843.029297000001</v>
      </c>
      <c r="F105" s="14">
        <f t="shared" si="1"/>
        <v>7.107095881189629E-3</v>
      </c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</row>
    <row r="106" spans="1:23">
      <c r="A106" s="13">
        <v>42513</v>
      </c>
      <c r="B106" s="11">
        <v>5872.5546880000002</v>
      </c>
      <c r="C106" s="14">
        <f t="shared" si="0"/>
        <v>3.6212761036028773E-2</v>
      </c>
      <c r="D106" s="15">
        <v>42513</v>
      </c>
      <c r="E106" s="16">
        <v>26653.599609000001</v>
      </c>
      <c r="F106" s="14">
        <f t="shared" si="1"/>
        <v>5.3422833744172227E-2</v>
      </c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</row>
    <row r="107" spans="1:23">
      <c r="A107" s="13">
        <v>42506</v>
      </c>
      <c r="B107" s="11">
        <v>5667.3251950000003</v>
      </c>
      <c r="C107" s="14">
        <f t="shared" si="0"/>
        <v>-1.5752379051716892E-2</v>
      </c>
      <c r="D107" s="15">
        <v>42506</v>
      </c>
      <c r="E107" s="16">
        <v>25301.900390999999</v>
      </c>
      <c r="F107" s="14">
        <f t="shared" si="1"/>
        <v>-7.3626161483109076E-3</v>
      </c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</row>
    <row r="108" spans="1:23">
      <c r="A108" s="13">
        <v>42499</v>
      </c>
      <c r="B108" s="11">
        <v>5758.0278319999998</v>
      </c>
      <c r="C108" s="14">
        <f t="shared" si="0"/>
        <v>9.1028146381445962E-2</v>
      </c>
      <c r="D108" s="15">
        <v>42499</v>
      </c>
      <c r="E108" s="16">
        <v>25489.570313</v>
      </c>
      <c r="F108" s="14">
        <f t="shared" si="1"/>
        <v>1.0348229700537059E-2</v>
      </c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</row>
    <row r="109" spans="1:23">
      <c r="A109" s="13">
        <v>42492</v>
      </c>
      <c r="B109" s="11">
        <v>5277.6162109999996</v>
      </c>
      <c r="C109" s="14">
        <f t="shared" si="0"/>
        <v>-2.0007035821311248E-2</v>
      </c>
      <c r="D109" s="15">
        <v>42492</v>
      </c>
      <c r="E109" s="16">
        <v>25228.5</v>
      </c>
      <c r="F109" s="14">
        <f t="shared" si="1"/>
        <v>-1.4766460926291303E-2</v>
      </c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</row>
    <row r="110" spans="1:23">
      <c r="A110" s="13">
        <v>42485</v>
      </c>
      <c r="B110" s="11">
        <v>5385.361328</v>
      </c>
      <c r="C110" s="14">
        <f t="shared" si="0"/>
        <v>-4.0923130286558362E-2</v>
      </c>
      <c r="D110" s="15">
        <v>42485</v>
      </c>
      <c r="E110" s="16">
        <v>25606.619140999999</v>
      </c>
      <c r="F110" s="14">
        <f t="shared" si="1"/>
        <v>-8.9604545218702203E-3</v>
      </c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</row>
    <row r="111" spans="1:23">
      <c r="A111" s="13">
        <v>42478</v>
      </c>
      <c r="B111" s="11">
        <v>5615.1508789999998</v>
      </c>
      <c r="C111" s="14">
        <f t="shared" si="0"/>
        <v>-2.3992239980725194E-2</v>
      </c>
      <c r="D111" s="15">
        <v>42478</v>
      </c>
      <c r="E111" s="16">
        <v>25838.140625</v>
      </c>
      <c r="F111" s="14">
        <f t="shared" si="1"/>
        <v>8.24882690938189E-3</v>
      </c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</row>
    <row r="112" spans="1:23">
      <c r="A112" s="13">
        <v>42471</v>
      </c>
      <c r="B112" s="11">
        <v>5753.1826170000004</v>
      </c>
      <c r="C112" s="14">
        <f t="shared" si="0"/>
        <v>2.357062579548086E-2</v>
      </c>
      <c r="D112" s="15">
        <v>42471</v>
      </c>
      <c r="E112" s="16">
        <v>25626.75</v>
      </c>
      <c r="F112" s="14">
        <f t="shared" si="1"/>
        <v>3.8620261865391248E-2</v>
      </c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</row>
    <row r="113" spans="1:23">
      <c r="A113" s="13">
        <v>42464</v>
      </c>
      <c r="B113" s="11">
        <v>5620.6992190000001</v>
      </c>
      <c r="C113" s="14">
        <f t="shared" si="0"/>
        <v>5.9850687987300644E-2</v>
      </c>
      <c r="D113" s="15">
        <v>42464</v>
      </c>
      <c r="E113" s="16">
        <v>24673.839843999998</v>
      </c>
      <c r="F113" s="14">
        <f t="shared" si="1"/>
        <v>-2.3577730678550179E-2</v>
      </c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</row>
    <row r="114" spans="1:23">
      <c r="A114" s="13">
        <v>42457</v>
      </c>
      <c r="B114" s="11">
        <v>5303.2934569999998</v>
      </c>
      <c r="C114" s="14">
        <f t="shared" si="0"/>
        <v>7.3298775884589773E-2</v>
      </c>
      <c r="D114" s="15">
        <v>42457</v>
      </c>
      <c r="E114" s="16">
        <v>25269.640625</v>
      </c>
      <c r="F114" s="14">
        <f t="shared" si="1"/>
        <v>-2.6806022574277222E-3</v>
      </c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</row>
    <row r="115" spans="1:23">
      <c r="A115" s="13">
        <v>42450</v>
      </c>
      <c r="B115" s="11">
        <v>4941.1157229999999</v>
      </c>
      <c r="C115" s="14">
        <f t="shared" si="0"/>
        <v>1.2899716010706275E-2</v>
      </c>
      <c r="D115" s="15">
        <v>42450</v>
      </c>
      <c r="E115" s="16">
        <v>25337.560547000001</v>
      </c>
      <c r="F115" s="14">
        <f t="shared" si="1"/>
        <v>1.5421966060290782E-2</v>
      </c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</row>
    <row r="116" spans="1:23">
      <c r="A116" s="13">
        <v>42443</v>
      </c>
      <c r="B116" s="11">
        <v>4878.1884769999997</v>
      </c>
      <c r="C116" s="14">
        <f t="shared" si="0"/>
        <v>4.4738440387233069E-3</v>
      </c>
      <c r="D116" s="15">
        <v>42443</v>
      </c>
      <c r="E116" s="16">
        <v>24952.740234000001</v>
      </c>
      <c r="F116" s="14">
        <f t="shared" si="1"/>
        <v>9.497131351605459E-3</v>
      </c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</row>
    <row r="117" spans="1:23">
      <c r="A117" s="13">
        <v>42436</v>
      </c>
      <c r="B117" s="11">
        <v>4856.4614259999998</v>
      </c>
      <c r="C117" s="14">
        <f t="shared" si="0"/>
        <v>-2.3102191159662722E-2</v>
      </c>
      <c r="D117" s="15">
        <v>42436</v>
      </c>
      <c r="E117" s="16">
        <v>24717.990234000001</v>
      </c>
      <c r="F117" s="14">
        <f t="shared" si="1"/>
        <v>2.9014189303802063E-3</v>
      </c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</row>
    <row r="118" spans="1:23">
      <c r="A118" s="13">
        <v>42429</v>
      </c>
      <c r="B118" s="11">
        <v>4971.3095700000003</v>
      </c>
      <c r="C118" s="14">
        <f t="shared" si="0"/>
        <v>3.4052643349624212E-2</v>
      </c>
      <c r="D118" s="15">
        <v>42429</v>
      </c>
      <c r="E118" s="16">
        <v>24646.480468999998</v>
      </c>
      <c r="F118" s="14">
        <f t="shared" si="1"/>
        <v>6.4445033435190258E-2</v>
      </c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</row>
    <row r="119" spans="1:23">
      <c r="A119" s="13">
        <v>42422</v>
      </c>
      <c r="B119" s="11">
        <v>4807.5981449999999</v>
      </c>
      <c r="C119" s="14">
        <f t="shared" si="0"/>
        <v>-1.8907088444916731E-2</v>
      </c>
      <c r="D119" s="15">
        <v>42422</v>
      </c>
      <c r="E119" s="16">
        <v>23154.300781000002</v>
      </c>
      <c r="F119" s="14">
        <f t="shared" si="1"/>
        <v>-2.3402340482458595E-2</v>
      </c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</row>
    <row r="120" spans="1:23">
      <c r="A120" s="13">
        <v>42415</v>
      </c>
      <c r="B120" s="11">
        <v>4900.2475590000004</v>
      </c>
      <c r="C120" s="14">
        <f t="shared" si="0"/>
        <v>3.0389471120051637E-2</v>
      </c>
      <c r="D120" s="15">
        <v>42415</v>
      </c>
      <c r="E120" s="16">
        <v>23709.150390999999</v>
      </c>
      <c r="F120" s="14">
        <f t="shared" si="1"/>
        <v>3.1455124963236658E-2</v>
      </c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</row>
    <row r="121" spans="1:23">
      <c r="A121" s="13">
        <v>42408</v>
      </c>
      <c r="B121" s="11">
        <v>4755.7236329999996</v>
      </c>
      <c r="C121" s="14">
        <f t="shared" si="0"/>
        <v>-6.7407489163247458E-2</v>
      </c>
      <c r="D121" s="15">
        <v>42408</v>
      </c>
      <c r="E121" s="16">
        <v>22986.119140999999</v>
      </c>
      <c r="F121" s="14">
        <f t="shared" si="1"/>
        <v>-6.6249075959669224E-2</v>
      </c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</row>
    <row r="122" spans="1:23">
      <c r="A122" s="13">
        <v>42401</v>
      </c>
      <c r="B122" s="11">
        <v>5099.4658200000003</v>
      </c>
      <c r="C122" s="14">
        <f t="shared" si="0"/>
        <v>-1.2117228512497524E-2</v>
      </c>
      <c r="D122" s="15">
        <v>42401</v>
      </c>
      <c r="E122" s="16">
        <v>24616.970702999999</v>
      </c>
      <c r="F122" s="14">
        <f t="shared" si="1"/>
        <v>-1.0201516547398981E-2</v>
      </c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</row>
    <row r="123" spans="1:23">
      <c r="A123" s="13">
        <v>42394</v>
      </c>
      <c r="B123" s="11">
        <v>5162.0151370000003</v>
      </c>
      <c r="C123" s="14">
        <f t="shared" si="0"/>
        <v>7.4161554192340162E-3</v>
      </c>
      <c r="D123" s="15">
        <v>42394</v>
      </c>
      <c r="E123" s="16">
        <v>24870.689452999999</v>
      </c>
      <c r="F123" s="14">
        <f t="shared" si="1"/>
        <v>1.7803050714518154E-2</v>
      </c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</row>
    <row r="124" spans="1:23">
      <c r="A124" s="13">
        <v>42387</v>
      </c>
      <c r="B124" s="11">
        <v>5124.0146480000003</v>
      </c>
      <c r="C124" s="14">
        <f t="shared" si="0"/>
        <v>-2.6814577994095923E-2</v>
      </c>
      <c r="D124" s="15">
        <v>42387</v>
      </c>
      <c r="E124" s="16">
        <v>24435.660156000002</v>
      </c>
      <c r="F124" s="14">
        <f t="shared" si="1"/>
        <v>-7.9243001616458031E-4</v>
      </c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</row>
    <row r="125" spans="1:23">
      <c r="A125" s="13">
        <v>42380</v>
      </c>
      <c r="B125" s="11">
        <v>5265.1987300000001</v>
      </c>
      <c r="C125" s="14">
        <f t="shared" si="0"/>
        <v>-6.1872251654105925E-3</v>
      </c>
      <c r="D125" s="15">
        <v>42380</v>
      </c>
      <c r="E125" s="16">
        <v>24455.039063</v>
      </c>
      <c r="F125" s="14">
        <f t="shared" si="1"/>
        <v>-1.9222133239620742E-2</v>
      </c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</row>
    <row r="126" spans="1:23">
      <c r="A126" s="13">
        <v>42373</v>
      </c>
      <c r="B126" s="11">
        <v>5297.9785160000001</v>
      </c>
      <c r="C126" s="14">
        <f t="shared" si="0"/>
        <v>-2.6377974017354866E-2</v>
      </c>
      <c r="D126" s="15">
        <v>42373</v>
      </c>
      <c r="E126" s="16">
        <v>24934.330077999999</v>
      </c>
      <c r="F126" s="14">
        <f t="shared" si="1"/>
        <v>-4.5303234050723451E-2</v>
      </c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</row>
    <row r="127" spans="1:23">
      <c r="A127" s="13">
        <v>42366</v>
      </c>
      <c r="B127" s="11">
        <v>5441.5146480000003</v>
      </c>
      <c r="C127" s="14">
        <f t="shared" si="0"/>
        <v>1.601235696681913E-3</v>
      </c>
      <c r="D127" s="15">
        <v>42366</v>
      </c>
      <c r="E127" s="16">
        <v>26117.539063</v>
      </c>
      <c r="F127" s="14">
        <f t="shared" si="1"/>
        <v>1.0791100441080337E-2</v>
      </c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</row>
    <row r="128" spans="1:23">
      <c r="A128" s="13">
        <v>42359</v>
      </c>
      <c r="B128" s="11">
        <v>5432.8154299999997</v>
      </c>
      <c r="C128" s="14">
        <f t="shared" si="0"/>
        <v>1.8138510713824996E-2</v>
      </c>
      <c r="D128" s="15">
        <v>42359</v>
      </c>
      <c r="E128" s="16">
        <v>25838.710938</v>
      </c>
      <c r="F128" s="14">
        <f t="shared" si="1"/>
        <v>1.2519592142656633E-2</v>
      </c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</row>
    <row r="129" spans="1:23">
      <c r="A129" s="13">
        <v>42352</v>
      </c>
      <c r="B129" s="11">
        <v>5336.0278319999998</v>
      </c>
      <c r="C129" s="14">
        <f t="shared" si="0"/>
        <v>-3.7147350576311466E-2</v>
      </c>
      <c r="D129" s="15">
        <v>42352</v>
      </c>
      <c r="E129" s="16">
        <v>25519.220702999999</v>
      </c>
      <c r="F129" s="14">
        <f t="shared" si="1"/>
        <v>1.8957948770041089E-2</v>
      </c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</row>
    <row r="130" spans="1:23">
      <c r="A130" s="13">
        <v>42345</v>
      </c>
      <c r="B130" s="11">
        <v>5541.8945309999999</v>
      </c>
      <c r="C130" s="14">
        <f t="shared" si="0"/>
        <v>8.741812793161774E-3</v>
      </c>
      <c r="D130" s="15">
        <v>42345</v>
      </c>
      <c r="E130" s="16">
        <v>25044.429688</v>
      </c>
      <c r="F130" s="14">
        <f t="shared" si="1"/>
        <v>-2.3156141442274292E-2</v>
      </c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</row>
    <row r="131" spans="1:23">
      <c r="A131" s="13">
        <v>42338</v>
      </c>
      <c r="B131" s="11">
        <v>5493.8681640000004</v>
      </c>
      <c r="C131" s="14">
        <f t="shared" si="0"/>
        <v>-1.5456489728473355E-2</v>
      </c>
      <c r="D131" s="15">
        <v>42338</v>
      </c>
      <c r="E131" s="16">
        <v>25638.109375</v>
      </c>
      <c r="F131" s="14">
        <f t="shared" si="1"/>
        <v>-1.875712290357967E-2</v>
      </c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</row>
    <row r="132" spans="1:23">
      <c r="A132" s="13">
        <v>42331</v>
      </c>
      <c r="B132" s="11">
        <v>5580.1171880000002</v>
      </c>
      <c r="C132" s="14">
        <f t="shared" si="0"/>
        <v>-3.9903218027705134E-2</v>
      </c>
      <c r="D132" s="15">
        <v>42331</v>
      </c>
      <c r="E132" s="16">
        <v>26128.199218999998</v>
      </c>
      <c r="F132" s="14">
        <f t="shared" si="1"/>
        <v>1.0039588033577962E-2</v>
      </c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</row>
    <row r="133" spans="1:23">
      <c r="A133" s="13">
        <v>42324</v>
      </c>
      <c r="B133" s="11">
        <v>5812.0361329999996</v>
      </c>
      <c r="C133" s="14">
        <f t="shared" si="0"/>
        <v>2.6855218018251081E-2</v>
      </c>
      <c r="D133" s="15">
        <v>42324</v>
      </c>
      <c r="E133" s="16">
        <v>25868.490234000001</v>
      </c>
      <c r="F133" s="14">
        <f t="shared" si="1"/>
        <v>1.0072456293600096E-2</v>
      </c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</row>
    <row r="134" spans="1:23">
      <c r="A134" s="13">
        <v>42317</v>
      </c>
      <c r="B134" s="11">
        <v>5660.0346680000002</v>
      </c>
      <c r="C134" s="14">
        <f t="shared" si="0"/>
        <v>-2.1843434406975448E-2</v>
      </c>
      <c r="D134" s="15">
        <v>42317</v>
      </c>
      <c r="E134" s="16">
        <v>25610.529297000001</v>
      </c>
      <c r="F134" s="14">
        <f t="shared" si="1"/>
        <v>-2.4926896962186751E-2</v>
      </c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</row>
    <row r="135" spans="1:23">
      <c r="A135" s="13">
        <v>42310</v>
      </c>
      <c r="B135" s="11">
        <v>5786.4301759999998</v>
      </c>
      <c r="C135" s="14">
        <f t="shared" si="0"/>
        <v>-8.016784104107888E-4</v>
      </c>
      <c r="D135" s="15">
        <v>42310</v>
      </c>
      <c r="E135" s="16">
        <v>26265.240234000001</v>
      </c>
      <c r="F135" s="14">
        <f t="shared" si="1"/>
        <v>-1.4690037894759977E-2</v>
      </c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</row>
    <row r="136" spans="1:23">
      <c r="A136" s="13">
        <v>42303</v>
      </c>
      <c r="B136" s="11">
        <v>5791.0727539999998</v>
      </c>
      <c r="C136" s="14">
        <f t="shared" si="0"/>
        <v>-2.4452362050874643E-2</v>
      </c>
      <c r="D136" s="15">
        <v>42303</v>
      </c>
      <c r="E136" s="16">
        <v>26656.830077999999</v>
      </c>
      <c r="F136" s="14">
        <f t="shared" si="1"/>
        <v>-2.9630740877024997E-2</v>
      </c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</row>
    <row r="137" spans="1:23">
      <c r="A137" s="13">
        <v>42296</v>
      </c>
      <c r="B137" s="11">
        <v>5936.2275390000004</v>
      </c>
      <c r="C137" s="14">
        <f t="shared" si="0"/>
        <v>-3.4530785042579004E-2</v>
      </c>
      <c r="D137" s="15">
        <v>42296</v>
      </c>
      <c r="E137" s="16">
        <v>27470.810547000001</v>
      </c>
      <c r="F137" s="14">
        <f t="shared" si="1"/>
        <v>9.4144665613697942E-3</v>
      </c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</row>
    <row r="138" spans="1:23">
      <c r="A138" s="13">
        <v>42289</v>
      </c>
      <c r="B138" s="11">
        <v>6148.5415039999998</v>
      </c>
      <c r="C138" s="14">
        <f t="shared" si="0"/>
        <v>2.1576876893723895E-2</v>
      </c>
      <c r="D138" s="15">
        <v>42289</v>
      </c>
      <c r="E138" s="16">
        <v>27214.599609000001</v>
      </c>
      <c r="F138" s="14">
        <f t="shared" si="1"/>
        <v>4.9886369497580407E-3</v>
      </c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</row>
    <row r="139" spans="1:23">
      <c r="A139" s="13">
        <v>42282</v>
      </c>
      <c r="B139" s="11">
        <v>6018.6772460000002</v>
      </c>
      <c r="C139" s="14">
        <f t="shared" si="0"/>
        <v>-9.2618727120941102E-4</v>
      </c>
      <c r="D139" s="15">
        <v>42282</v>
      </c>
      <c r="E139" s="16">
        <v>27079.509765999999</v>
      </c>
      <c r="F139" s="14">
        <f t="shared" si="1"/>
        <v>3.2743305355928065E-2</v>
      </c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</row>
    <row r="140" spans="1:23">
      <c r="A140" s="13">
        <v>42275</v>
      </c>
      <c r="B140" s="11">
        <v>6024.2568359999996</v>
      </c>
      <c r="C140" s="14">
        <f t="shared" si="0"/>
        <v>3.3877682222527961E-2</v>
      </c>
      <c r="D140" s="15">
        <v>42275</v>
      </c>
      <c r="E140" s="16">
        <v>26220.949218999998</v>
      </c>
      <c r="F140" s="14">
        <f t="shared" si="1"/>
        <v>1.3820605061186653E-2</v>
      </c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</row>
    <row r="141" spans="1:23">
      <c r="A141" s="13">
        <v>42268</v>
      </c>
      <c r="B141" s="11">
        <v>5826.8564450000003</v>
      </c>
      <c r="C141" s="14">
        <f t="shared" si="0"/>
        <v>-3.9527545528454944E-3</v>
      </c>
      <c r="D141" s="15">
        <v>42268</v>
      </c>
      <c r="E141" s="16">
        <v>25863.5</v>
      </c>
      <c r="F141" s="14">
        <f t="shared" si="1"/>
        <v>-1.3555489297051082E-2</v>
      </c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</row>
    <row r="142" spans="1:23">
      <c r="A142" s="13">
        <v>42261</v>
      </c>
      <c r="B142" s="11">
        <v>5849.9799800000001</v>
      </c>
      <c r="C142" s="14">
        <f t="shared" si="0"/>
        <v>3.9233614594364363E-2</v>
      </c>
      <c r="D142" s="15">
        <v>42261</v>
      </c>
      <c r="E142" s="16">
        <v>26218.910156000002</v>
      </c>
      <c r="F142" s="14">
        <f t="shared" si="1"/>
        <v>2.3767833051965281E-2</v>
      </c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</row>
    <row r="143" spans="1:23">
      <c r="A143" s="13">
        <v>42254</v>
      </c>
      <c r="B143" s="11">
        <v>5629.1289059999999</v>
      </c>
      <c r="C143" s="14">
        <f t="shared" si="0"/>
        <v>9.4247057738350293E-4</v>
      </c>
      <c r="D143" s="15">
        <v>42254</v>
      </c>
      <c r="E143" s="16">
        <v>25610.210938</v>
      </c>
      <c r="F143" s="14">
        <f t="shared" si="1"/>
        <v>1.6201577685221569E-2</v>
      </c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</row>
    <row r="144" spans="1:23">
      <c r="A144" s="13">
        <v>42247</v>
      </c>
      <c r="B144" s="11">
        <v>5623.8286129999997</v>
      </c>
      <c r="C144" s="14">
        <f t="shared" si="0"/>
        <v>-1.78634302053019E-2</v>
      </c>
      <c r="D144" s="15">
        <v>42247</v>
      </c>
      <c r="E144" s="16">
        <v>25201.900390999999</v>
      </c>
      <c r="F144" s="14">
        <f t="shared" si="1"/>
        <v>-4.5106975166813723E-2</v>
      </c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</row>
    <row r="145" spans="1:23">
      <c r="A145" s="13">
        <v>42240</v>
      </c>
      <c r="B145" s="11">
        <v>5726.1166990000002</v>
      </c>
      <c r="C145" s="14">
        <f t="shared" si="0"/>
        <v>2.2823183629703259E-3</v>
      </c>
      <c r="D145" s="15">
        <v>42240</v>
      </c>
      <c r="E145" s="16">
        <v>26392.380859000001</v>
      </c>
      <c r="F145" s="14">
        <f t="shared" si="1"/>
        <v>-3.5580170731983274E-2</v>
      </c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</row>
    <row r="146" spans="1:23">
      <c r="A146" s="13">
        <v>42233</v>
      </c>
      <c r="B146" s="11">
        <v>5713.0776370000003</v>
      </c>
      <c r="C146" s="14">
        <f t="shared" si="0"/>
        <v>-2.8402599074155654E-2</v>
      </c>
      <c r="D146" s="15">
        <v>42233</v>
      </c>
      <c r="E146" s="16">
        <v>27366.070313</v>
      </c>
      <c r="F146" s="14">
        <f t="shared" si="1"/>
        <v>-2.498423327114796E-2</v>
      </c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</row>
    <row r="147" spans="1:23">
      <c r="A147" s="13">
        <v>42226</v>
      </c>
      <c r="B147" s="11">
        <v>5880.0874020000001</v>
      </c>
      <c r="C147" s="14">
        <f t="shared" si="0"/>
        <v>-4.2726901417834751E-2</v>
      </c>
      <c r="D147" s="15">
        <v>42226</v>
      </c>
      <c r="E147" s="16">
        <v>28067.310547000001</v>
      </c>
      <c r="F147" s="14">
        <f t="shared" si="1"/>
        <v>-5.9880202199178445E-3</v>
      </c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</row>
    <row r="148" spans="1:23">
      <c r="A148" s="13">
        <v>42219</v>
      </c>
      <c r="B148" s="11">
        <v>6142.5390630000002</v>
      </c>
      <c r="C148" s="14">
        <f t="shared" si="0"/>
        <v>3.0075530991491295E-2</v>
      </c>
      <c r="D148" s="15">
        <v>42219</v>
      </c>
      <c r="E148" s="16">
        <v>28236.390625</v>
      </c>
      <c r="F148" s="14">
        <f t="shared" si="1"/>
        <v>4.3333445598885412E-3</v>
      </c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</row>
    <row r="149" spans="1:23">
      <c r="A149" s="13">
        <v>42212</v>
      </c>
      <c r="B149" s="11">
        <v>5963.1928710000002</v>
      </c>
      <c r="C149" s="14">
        <f t="shared" si="0"/>
        <v>5.3613546490374642E-2</v>
      </c>
      <c r="D149" s="15">
        <v>42212</v>
      </c>
      <c r="E149" s="16">
        <v>28114.560547000001</v>
      </c>
      <c r="F149" s="14">
        <f t="shared" si="1"/>
        <v>8.0036110736481092E-5</v>
      </c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</row>
    <row r="150" spans="1:23">
      <c r="A150" s="13">
        <v>42205</v>
      </c>
      <c r="B150" s="11">
        <v>5659.7534180000002</v>
      </c>
      <c r="C150" s="14">
        <f t="shared" si="0"/>
        <v>-7.3537440445410329E-3</v>
      </c>
      <c r="D150" s="15">
        <v>42205</v>
      </c>
      <c r="E150" s="16">
        <v>28112.310547000001</v>
      </c>
      <c r="F150" s="14">
        <f t="shared" si="1"/>
        <v>-1.2331664632629802E-2</v>
      </c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</row>
    <row r="151" spans="1:23">
      <c r="A151" s="13">
        <v>42198</v>
      </c>
      <c r="B151" s="11">
        <v>5701.6821289999998</v>
      </c>
      <c r="C151" s="14">
        <f t="shared" si="0"/>
        <v>1.931799618801433E-2</v>
      </c>
      <c r="D151" s="15">
        <v>42198</v>
      </c>
      <c r="E151" s="16">
        <v>28463.310547000001</v>
      </c>
      <c r="F151" s="14">
        <f t="shared" si="1"/>
        <v>2.899022264472606E-2</v>
      </c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</row>
    <row r="152" spans="1:23">
      <c r="A152" s="13">
        <v>42191</v>
      </c>
      <c r="B152" s="11">
        <v>5593.6245120000003</v>
      </c>
      <c r="C152" s="14">
        <f t="shared" si="0"/>
        <v>-3.2732146262208994E-2</v>
      </c>
      <c r="D152" s="15">
        <v>42191</v>
      </c>
      <c r="E152" s="16">
        <v>27661.400390999999</v>
      </c>
      <c r="F152" s="14">
        <f t="shared" si="1"/>
        <v>-1.5355850607520094E-2</v>
      </c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</row>
    <row r="153" spans="1:23">
      <c r="A153" s="13">
        <v>42184</v>
      </c>
      <c r="B153" s="11">
        <v>5782.9116210000002</v>
      </c>
      <c r="C153" s="14">
        <f t="shared" si="0"/>
        <v>3.4750822943079962E-2</v>
      </c>
      <c r="D153" s="15">
        <v>42184</v>
      </c>
      <c r="E153" s="16">
        <v>28092.789063</v>
      </c>
      <c r="F153" s="14">
        <f t="shared" si="1"/>
        <v>1.0101784728226537E-2</v>
      </c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</row>
    <row r="154" spans="1:23">
      <c r="A154" s="13">
        <v>42177</v>
      </c>
      <c r="B154" s="11">
        <v>5588.6997069999998</v>
      </c>
      <c r="C154" s="14">
        <f t="shared" si="0"/>
        <v>-5.1401317744162456E-2</v>
      </c>
      <c r="D154" s="15">
        <v>42177</v>
      </c>
      <c r="E154" s="16">
        <v>27811.839843999998</v>
      </c>
      <c r="F154" s="14">
        <f t="shared" si="1"/>
        <v>1.8145659637326839E-2</v>
      </c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</row>
    <row r="155" spans="1:23">
      <c r="A155" s="13">
        <v>42170</v>
      </c>
      <c r="B155" s="11">
        <v>5891.5322269999997</v>
      </c>
      <c r="C155" s="14">
        <f t="shared" si="0"/>
        <v>3.1837601596494514E-2</v>
      </c>
      <c r="D155" s="15">
        <v>42170</v>
      </c>
      <c r="E155" s="16">
        <v>27316.169922000001</v>
      </c>
      <c r="F155" s="14">
        <f t="shared" si="1"/>
        <v>3.371273418543419E-2</v>
      </c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</row>
    <row r="156" spans="1:23">
      <c r="A156" s="13">
        <v>42163</v>
      </c>
      <c r="B156" s="11">
        <v>5709.7475590000004</v>
      </c>
      <c r="C156" s="14">
        <f t="shared" si="0"/>
        <v>1.2575315077333116E-2</v>
      </c>
      <c r="D156" s="15">
        <v>42163</v>
      </c>
      <c r="E156" s="16">
        <v>26425.300781000002</v>
      </c>
      <c r="F156" s="14">
        <f t="shared" si="1"/>
        <v>-1.2820650324316674E-2</v>
      </c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</row>
    <row r="157" spans="1:23">
      <c r="A157" s="13">
        <v>42156</v>
      </c>
      <c r="B157" s="11">
        <v>5638.8374020000001</v>
      </c>
      <c r="C157" s="14">
        <f t="shared" si="0"/>
        <v>-0.10959686550325121</v>
      </c>
      <c r="D157" s="15">
        <v>42156</v>
      </c>
      <c r="E157" s="16">
        <v>26768.490234000001</v>
      </c>
      <c r="F157" s="14">
        <f t="shared" si="1"/>
        <v>-3.8088704930442363E-2</v>
      </c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</row>
    <row r="158" spans="1:23">
      <c r="A158" s="13">
        <v>42149</v>
      </c>
      <c r="B158" s="11">
        <v>6332.9038090000004</v>
      </c>
      <c r="C158" s="14">
        <f t="shared" si="0"/>
        <v>-3.13003426598637E-2</v>
      </c>
      <c r="D158" s="15">
        <v>42149</v>
      </c>
      <c r="E158" s="16">
        <v>27828.439452999999</v>
      </c>
      <c r="F158" s="14">
        <f t="shared" si="1"/>
        <v>-4.6163121523741246E-3</v>
      </c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</row>
    <row r="159" spans="1:23">
      <c r="A159" s="13">
        <v>42142</v>
      </c>
      <c r="B159" s="11">
        <v>6537.5307620000003</v>
      </c>
      <c r="C159" s="14">
        <f t="shared" si="0"/>
        <v>-5.0346991918536199E-3</v>
      </c>
      <c r="D159" s="15">
        <v>42142</v>
      </c>
      <c r="E159" s="16">
        <v>27957.5</v>
      </c>
      <c r="F159" s="14">
        <f t="shared" si="1"/>
        <v>2.3184746010832979E-2</v>
      </c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</row>
    <row r="160" spans="1:23">
      <c r="A160" s="13">
        <v>42135</v>
      </c>
      <c r="B160" s="11">
        <v>6570.6118159999996</v>
      </c>
      <c r="C160" s="14">
        <f t="shared" si="0"/>
        <v>3.4577501545602241E-2</v>
      </c>
      <c r="D160" s="15">
        <v>42135</v>
      </c>
      <c r="E160" s="16">
        <v>27324</v>
      </c>
      <c r="F160" s="14">
        <f t="shared" si="1"/>
        <v>8.0651623149223806E-3</v>
      </c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</row>
    <row r="161" spans="1:23">
      <c r="A161" s="13">
        <v>42128</v>
      </c>
      <c r="B161" s="11">
        <v>6351.0097660000001</v>
      </c>
      <c r="C161" s="14">
        <f t="shared" si="0"/>
        <v>3.4035348311332703E-2</v>
      </c>
      <c r="D161" s="15">
        <v>42128</v>
      </c>
      <c r="E161" s="16">
        <v>27105.390625</v>
      </c>
      <c r="F161" s="14">
        <f t="shared" si="1"/>
        <v>3.4829882776807874E-3</v>
      </c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</row>
    <row r="162" spans="1:23">
      <c r="A162" s="13">
        <v>42121</v>
      </c>
      <c r="B162" s="11">
        <v>6141.9658200000003</v>
      </c>
      <c r="C162" s="14">
        <f t="shared" si="0"/>
        <v>-4.04613262900686E-2</v>
      </c>
      <c r="D162" s="15">
        <v>42121</v>
      </c>
      <c r="E162" s="16">
        <v>27011.310547000001</v>
      </c>
      <c r="F162" s="14">
        <f t="shared" si="1"/>
        <v>-1.554886826435331E-2</v>
      </c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</row>
    <row r="163" spans="1:23">
      <c r="A163" s="13">
        <v>42114</v>
      </c>
      <c r="B163" s="11">
        <v>6400.9570309999999</v>
      </c>
      <c r="C163" s="14">
        <f t="shared" si="0"/>
        <v>-2.1583197799749265E-2</v>
      </c>
      <c r="D163" s="15">
        <v>42114</v>
      </c>
      <c r="E163" s="16">
        <v>27437.939452999999</v>
      </c>
      <c r="F163" s="14">
        <f t="shared" si="1"/>
        <v>-3.5305415908263416E-2</v>
      </c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</row>
    <row r="164" spans="1:23">
      <c r="A164" s="13">
        <v>42107</v>
      </c>
      <c r="B164" s="11">
        <v>6542.1577150000003</v>
      </c>
      <c r="C164" s="14">
        <f t="shared" si="0"/>
        <v>-1.3756344968907763E-2</v>
      </c>
      <c r="D164" s="15">
        <v>42107</v>
      </c>
      <c r="E164" s="16">
        <v>28442.099609000001</v>
      </c>
      <c r="F164" s="14">
        <f t="shared" si="1"/>
        <v>-1.5141642133360556E-2</v>
      </c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</row>
    <row r="165" spans="1:23">
      <c r="A165" s="13">
        <v>42100</v>
      </c>
      <c r="B165" s="11">
        <v>6633.4091799999997</v>
      </c>
      <c r="C165" s="14">
        <f t="shared" si="0"/>
        <v>2.5328095834292963E-2</v>
      </c>
      <c r="D165" s="15">
        <v>42100</v>
      </c>
      <c r="E165" s="16">
        <v>28879.380859000001</v>
      </c>
      <c r="F165" s="14">
        <f t="shared" si="1"/>
        <v>2.1912142696565162E-2</v>
      </c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</row>
    <row r="166" spans="1:23">
      <c r="A166" s="13">
        <v>42093</v>
      </c>
      <c r="B166" s="11">
        <v>6469.5478519999997</v>
      </c>
      <c r="C166" s="14">
        <f t="shared" si="0"/>
        <v>1.5861836589087908E-2</v>
      </c>
      <c r="D166" s="15">
        <v>42093</v>
      </c>
      <c r="E166" s="16">
        <v>28260.140625</v>
      </c>
      <c r="F166" s="14">
        <f t="shared" si="1"/>
        <v>2.918935467148609E-2</v>
      </c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</row>
    <row r="167" spans="1:23">
      <c r="A167" s="13">
        <v>42086</v>
      </c>
      <c r="B167" s="11">
        <v>6368.53125</v>
      </c>
      <c r="C167" s="14">
        <f t="shared" si="0"/>
        <v>-6.1817632567655822E-2</v>
      </c>
      <c r="D167" s="15">
        <v>42086</v>
      </c>
      <c r="E167" s="16">
        <v>27458.640625</v>
      </c>
      <c r="F167" s="14">
        <f t="shared" si="1"/>
        <v>-2.8393799910876871E-2</v>
      </c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</row>
    <row r="168" spans="1:23">
      <c r="A168" s="13">
        <v>42079</v>
      </c>
      <c r="B168" s="11">
        <v>6788.1591799999997</v>
      </c>
      <c r="C168" s="14">
        <f t="shared" si="0"/>
        <v>-4.7815356476250681E-3</v>
      </c>
      <c r="D168" s="15">
        <v>42079</v>
      </c>
      <c r="E168" s="16">
        <v>28261.080077999999</v>
      </c>
      <c r="F168" s="14">
        <f t="shared" si="1"/>
        <v>-8.4979878246755902E-3</v>
      </c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</row>
    <row r="169" spans="1:23">
      <c r="A169" s="13">
        <v>42072</v>
      </c>
      <c r="B169" s="11">
        <v>6820.7729490000002</v>
      </c>
      <c r="C169" s="14">
        <f t="shared" si="0"/>
        <v>4.1803010416363584E-4</v>
      </c>
      <c r="D169" s="15">
        <v>42072</v>
      </c>
      <c r="E169" s="16">
        <v>28503.300781000002</v>
      </c>
      <c r="F169" s="14">
        <f t="shared" si="1"/>
        <v>-3.2111449239413892E-2</v>
      </c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</row>
    <row r="170" spans="1:23">
      <c r="A170" s="13">
        <v>42065</v>
      </c>
      <c r="B170" s="11">
        <v>6817.9228519999997</v>
      </c>
      <c r="C170" s="14">
        <f t="shared" si="0"/>
        <v>3.9175804425074956E-2</v>
      </c>
      <c r="D170" s="15">
        <v>42065</v>
      </c>
      <c r="E170" s="16">
        <v>29448.949218999998</v>
      </c>
      <c r="F170" s="14">
        <f t="shared" si="1"/>
        <v>7.8312506836741846E-3</v>
      </c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</row>
    <row r="171" spans="1:23">
      <c r="A171" s="13">
        <v>42058</v>
      </c>
      <c r="B171" s="11">
        <v>6560.8945309999999</v>
      </c>
      <c r="C171" s="14">
        <f t="shared" si="0"/>
        <v>-2.170888848243413E-2</v>
      </c>
      <c r="D171" s="15">
        <v>42058</v>
      </c>
      <c r="E171" s="16">
        <v>29220.119140999999</v>
      </c>
      <c r="F171" s="14">
        <f t="shared" si="1"/>
        <v>-3.8626309643441381E-4</v>
      </c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</row>
    <row r="172" spans="1:23">
      <c r="A172" s="13">
        <v>42051</v>
      </c>
      <c r="B172" s="11">
        <v>6706.4848629999997</v>
      </c>
      <c r="C172" s="14">
        <f t="shared" si="0"/>
        <v>2.0337845843743763E-2</v>
      </c>
      <c r="D172" s="15">
        <v>42051</v>
      </c>
      <c r="E172" s="16">
        <v>29231.410156000002</v>
      </c>
      <c r="F172" s="14">
        <f t="shared" si="1"/>
        <v>4.6908677719297298E-3</v>
      </c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</row>
    <row r="173" spans="1:23">
      <c r="A173" s="13">
        <v>42044</v>
      </c>
      <c r="B173" s="11">
        <v>6572.8081050000001</v>
      </c>
      <c r="C173" s="14">
        <f t="shared" si="0"/>
        <v>2.1657192975973016E-2</v>
      </c>
      <c r="D173" s="15">
        <v>42044</v>
      </c>
      <c r="E173" s="16">
        <v>29094.929688</v>
      </c>
      <c r="F173" s="14">
        <f t="shared" si="1"/>
        <v>1.3128376332120606E-2</v>
      </c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</row>
    <row r="174" spans="1:23">
      <c r="A174" s="13">
        <v>42037</v>
      </c>
      <c r="B174" s="11">
        <v>6433.4770509999998</v>
      </c>
      <c r="C174" s="14">
        <f t="shared" si="0"/>
        <v>-3.2123845767368375E-2</v>
      </c>
      <c r="D174" s="15">
        <v>42037</v>
      </c>
      <c r="E174" s="16">
        <v>28717.910156000002</v>
      </c>
      <c r="F174" s="14">
        <f t="shared" si="1"/>
        <v>-1.5935300421837661E-2</v>
      </c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</row>
    <row r="175" spans="1:23">
      <c r="A175" s="13">
        <v>42030</v>
      </c>
      <c r="B175" s="11">
        <v>6647.0043949999999</v>
      </c>
      <c r="C175" s="14">
        <f t="shared" si="0"/>
        <v>-2.0018578698713041E-2</v>
      </c>
      <c r="D175" s="15">
        <v>42030</v>
      </c>
      <c r="E175" s="16">
        <v>29182.949218999998</v>
      </c>
      <c r="F175" s="14">
        <f t="shared" si="1"/>
        <v>-3.2750828076151262E-3</v>
      </c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</row>
    <row r="176" spans="1:23">
      <c r="A176" s="13">
        <v>42023</v>
      </c>
      <c r="B176" s="11">
        <v>6782.7861329999996</v>
      </c>
      <c r="C176" s="14">
        <f t="shared" si="0"/>
        <v>3.9104119296627493E-2</v>
      </c>
      <c r="D176" s="15">
        <v>42023</v>
      </c>
      <c r="E176" s="16">
        <v>29278.839843999998</v>
      </c>
      <c r="F176" s="14">
        <f t="shared" si="1"/>
        <v>4.1140520544215686E-2</v>
      </c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</row>
    <row r="177" spans="1:23">
      <c r="A177" s="13">
        <v>42016</v>
      </c>
      <c r="B177" s="11">
        <v>6527.5327150000003</v>
      </c>
      <c r="C177" s="14">
        <f t="shared" si="0"/>
        <v>9.3770247267717988E-2</v>
      </c>
      <c r="D177" s="15">
        <v>42016</v>
      </c>
      <c r="E177" s="16">
        <v>28121.890625</v>
      </c>
      <c r="F177" s="14">
        <f t="shared" si="1"/>
        <v>2.4164198515824742E-2</v>
      </c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</row>
    <row r="178" spans="1:23">
      <c r="A178" s="13">
        <v>42009</v>
      </c>
      <c r="B178" s="11">
        <v>5967.9194340000004</v>
      </c>
      <c r="C178" s="14">
        <f t="shared" si="0"/>
        <v>8.6631331685749213E-3</v>
      </c>
      <c r="D178" s="15">
        <v>42009</v>
      </c>
      <c r="E178" s="16">
        <v>27458.380859000001</v>
      </c>
      <c r="F178" s="14">
        <f t="shared" si="1"/>
        <v>-1.5401644655135605E-2</v>
      </c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</row>
    <row r="179" spans="1:23">
      <c r="A179" s="13">
        <v>42002</v>
      </c>
      <c r="B179" s="11">
        <v>5916.6625979999999</v>
      </c>
      <c r="C179" s="14">
        <f t="shared" si="0"/>
        <v>2.8600646648130112E-2</v>
      </c>
      <c r="D179" s="15">
        <v>42002</v>
      </c>
      <c r="E179" s="16">
        <v>27887.900390999999</v>
      </c>
      <c r="F179" s="14">
        <f t="shared" si="1"/>
        <v>2.4966032134819516E-2</v>
      </c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</row>
    <row r="180" spans="1:23">
      <c r="A180" s="13">
        <v>41995</v>
      </c>
      <c r="B180" s="11">
        <v>5752.1474609999996</v>
      </c>
      <c r="C180" s="14">
        <f t="shared" si="0"/>
        <v>-3.6176423721183681E-3</v>
      </c>
      <c r="D180" s="15">
        <v>41995</v>
      </c>
      <c r="E180" s="16">
        <v>27208.609375</v>
      </c>
      <c r="F180" s="14">
        <f t="shared" si="1"/>
        <v>-5.9634452755202849E-3</v>
      </c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</row>
    <row r="181" spans="1:23">
      <c r="A181" s="13">
        <v>41988</v>
      </c>
      <c r="B181" s="11">
        <v>5773.0322269999997</v>
      </c>
      <c r="C181" s="14">
        <f t="shared" si="0"/>
        <v>-1.5392320381790947E-2</v>
      </c>
      <c r="D181" s="15">
        <v>41988</v>
      </c>
      <c r="E181" s="16">
        <v>27371.839843999998</v>
      </c>
      <c r="F181" s="14">
        <f t="shared" si="1"/>
        <v>7.7366106588128147E-4</v>
      </c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</row>
    <row r="182" spans="1:23">
      <c r="A182" s="13">
        <v>41981</v>
      </c>
      <c r="B182" s="11">
        <v>5863.2817379999997</v>
      </c>
      <c r="C182" s="14">
        <f t="shared" si="0"/>
        <v>-3.2920080845211253E-3</v>
      </c>
      <c r="D182" s="15">
        <v>41981</v>
      </c>
      <c r="E182" s="16">
        <v>27350.679688</v>
      </c>
      <c r="F182" s="14">
        <f t="shared" si="1"/>
        <v>-3.8914050348245133E-2</v>
      </c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</row>
    <row r="183" spans="1:23">
      <c r="A183" s="13">
        <v>41974</v>
      </c>
      <c r="B183" s="11">
        <v>5882.6474609999996</v>
      </c>
      <c r="C183" s="14">
        <f t="shared" si="0"/>
        <v>1.5965475028431042E-2</v>
      </c>
      <c r="D183" s="15">
        <v>41974</v>
      </c>
      <c r="E183" s="16">
        <v>28458.099609000001</v>
      </c>
      <c r="F183" s="14">
        <f t="shared" si="1"/>
        <v>-8.220906993984034E-3</v>
      </c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</row>
    <row r="184" spans="1:23">
      <c r="A184" s="13">
        <v>41967</v>
      </c>
      <c r="B184" s="11">
        <v>5790.2041019999997</v>
      </c>
      <c r="C184" s="14">
        <f t="shared" si="0"/>
        <v>-2.0887334052057449E-2</v>
      </c>
      <c r="D184" s="15">
        <v>41967</v>
      </c>
      <c r="E184" s="16">
        <v>28693.990234000001</v>
      </c>
      <c r="F184" s="14">
        <f t="shared" si="1"/>
        <v>1.2682691254679135E-2</v>
      </c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</row>
    <row r="185" spans="1:23">
      <c r="A185" s="13">
        <v>41960</v>
      </c>
      <c r="B185" s="11">
        <v>5913.7260740000002</v>
      </c>
      <c r="C185" s="14">
        <f t="shared" si="0"/>
        <v>3.1501801292757037E-3</v>
      </c>
      <c r="D185" s="15">
        <v>41960</v>
      </c>
      <c r="E185" s="16">
        <v>28334.630859000001</v>
      </c>
      <c r="F185" s="14">
        <f t="shared" si="1"/>
        <v>1.0267557755478274E-2</v>
      </c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</row>
    <row r="186" spans="1:23">
      <c r="A186" s="13">
        <v>41953</v>
      </c>
      <c r="B186" s="11">
        <v>5895.1552730000003</v>
      </c>
      <c r="C186" s="14">
        <f t="shared" si="0"/>
        <v>-1.8284946789895895E-2</v>
      </c>
      <c r="D186" s="15">
        <v>41953</v>
      </c>
      <c r="E186" s="16">
        <v>28046.660156000002</v>
      </c>
      <c r="F186" s="14">
        <f t="shared" si="1"/>
        <v>6.3881608644762444E-3</v>
      </c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</row>
    <row r="187" spans="1:23">
      <c r="A187" s="13">
        <v>41946</v>
      </c>
      <c r="B187" s="11">
        <v>6004.9555659999996</v>
      </c>
      <c r="C187" s="14">
        <f t="shared" si="0"/>
        <v>2.8279432029555407E-2</v>
      </c>
      <c r="D187" s="15">
        <v>41946</v>
      </c>
      <c r="E187" s="16">
        <v>27868.630859000001</v>
      </c>
      <c r="F187" s="14">
        <f t="shared" si="1"/>
        <v>1.0050951262385865E-4</v>
      </c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</row>
    <row r="188" spans="1:23">
      <c r="A188" s="13">
        <v>41939</v>
      </c>
      <c r="B188" s="11">
        <v>5839.8090819999998</v>
      </c>
      <c r="C188" s="14">
        <f t="shared" si="0"/>
        <v>4.1192283686527498E-2</v>
      </c>
      <c r="D188" s="15">
        <v>41939</v>
      </c>
      <c r="E188" s="16">
        <v>27865.830077999999</v>
      </c>
      <c r="F188" s="14">
        <f t="shared" si="1"/>
        <v>3.7792908191066399E-2</v>
      </c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</row>
    <row r="189" spans="1:23">
      <c r="A189" s="13">
        <v>41932</v>
      </c>
      <c r="B189" s="11">
        <v>5608.7709960000002</v>
      </c>
      <c r="C189" s="14">
        <f t="shared" si="0"/>
        <v>5.5231343606117811E-2</v>
      </c>
      <c r="D189" s="15">
        <v>41932</v>
      </c>
      <c r="E189" s="16">
        <v>26851.050781000002</v>
      </c>
      <c r="F189" s="14">
        <f t="shared" si="1"/>
        <v>2.8439805074938596E-2</v>
      </c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</row>
    <row r="190" spans="1:23">
      <c r="A190" s="13">
        <v>41925</v>
      </c>
      <c r="B190" s="11">
        <v>5315.205078</v>
      </c>
      <c r="C190" s="14">
        <f t="shared" si="0"/>
        <v>-3.3631163159614119E-2</v>
      </c>
      <c r="D190" s="15">
        <v>41925</v>
      </c>
      <c r="E190" s="16">
        <v>26108.529297000001</v>
      </c>
      <c r="F190" s="14">
        <f t="shared" si="1"/>
        <v>-7.1813829298277287E-3</v>
      </c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</row>
    <row r="191" spans="1:23">
      <c r="A191" s="13">
        <v>41918</v>
      </c>
      <c r="B191" s="11">
        <v>5500.1826170000004</v>
      </c>
      <c r="C191" s="14">
        <f t="shared" si="0"/>
        <v>-1.9572731141063282E-2</v>
      </c>
      <c r="D191" s="15">
        <v>41918</v>
      </c>
      <c r="E191" s="16">
        <v>26297.380859000001</v>
      </c>
      <c r="F191" s="14">
        <f t="shared" si="1"/>
        <v>-1.0185541797350206E-2</v>
      </c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</row>
    <row r="192" spans="1:23">
      <c r="A192" s="13">
        <v>41911</v>
      </c>
      <c r="B192" s="11">
        <v>5609.9853519999997</v>
      </c>
      <c r="C192" s="14">
        <f t="shared" si="0"/>
        <v>-2.394299249314269E-2</v>
      </c>
      <c r="D192" s="15">
        <v>41911</v>
      </c>
      <c r="E192" s="16">
        <v>26567.990234000001</v>
      </c>
      <c r="F192" s="14">
        <f t="shared" si="1"/>
        <v>-2.1906924544703443E-3</v>
      </c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</row>
    <row r="193" spans="1:23">
      <c r="A193" s="13">
        <v>41904</v>
      </c>
      <c r="B193" s="11">
        <v>5747.6000979999999</v>
      </c>
      <c r="C193" s="14">
        <f t="shared" si="0"/>
        <v>2.0685842864891946E-2</v>
      </c>
      <c r="D193" s="15">
        <v>41904</v>
      </c>
      <c r="E193" s="16">
        <v>26626.320313</v>
      </c>
      <c r="F193" s="14">
        <f t="shared" si="1"/>
        <v>-1.7131502956995837E-2</v>
      </c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</row>
    <row r="194" spans="1:23">
      <c r="A194" s="13">
        <v>41897</v>
      </c>
      <c r="B194" s="11">
        <v>5631.1157229999999</v>
      </c>
      <c r="C194" s="14">
        <f t="shared" si="0"/>
        <v>-5.2007811462105424E-2</v>
      </c>
      <c r="D194" s="15">
        <v>41897</v>
      </c>
      <c r="E194" s="16">
        <v>27090.419922000001</v>
      </c>
      <c r="F194" s="14">
        <f t="shared" si="1"/>
        <v>1.0857254568681363E-3</v>
      </c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</row>
    <row r="195" spans="1:23">
      <c r="A195" s="13">
        <v>41890</v>
      </c>
      <c r="B195" s="11">
        <v>5940.0444340000004</v>
      </c>
      <c r="C195" s="14">
        <f t="shared" si="0"/>
        <v>3.1829500941824573E-2</v>
      </c>
      <c r="D195" s="15">
        <v>41890</v>
      </c>
      <c r="E195" s="16">
        <v>27061.039063</v>
      </c>
      <c r="F195" s="14">
        <f t="shared" si="1"/>
        <v>1.2705896388509608E-3</v>
      </c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</row>
    <row r="196" spans="1:23">
      <c r="A196" s="13">
        <v>41883</v>
      </c>
      <c r="B196" s="11">
        <v>5756.8081050000001</v>
      </c>
      <c r="C196" s="14">
        <f t="shared" si="0"/>
        <v>2.6391088640213001E-2</v>
      </c>
      <c r="D196" s="15">
        <v>41883</v>
      </c>
      <c r="E196" s="16">
        <v>27026.699218999998</v>
      </c>
      <c r="F196" s="14">
        <f t="shared" si="1"/>
        <v>1.4587741139192589E-2</v>
      </c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</row>
    <row r="197" spans="1:23">
      <c r="A197" s="13">
        <v>41876</v>
      </c>
      <c r="B197" s="11">
        <v>5608.7861329999996</v>
      </c>
      <c r="C197" s="14">
        <f t="shared" si="0"/>
        <v>3.775013697616858E-2</v>
      </c>
      <c r="D197" s="15">
        <v>41876</v>
      </c>
      <c r="E197" s="16">
        <v>26638.109375</v>
      </c>
      <c r="F197" s="14">
        <f t="shared" si="1"/>
        <v>8.272608259379588E-3</v>
      </c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</row>
    <row r="198" spans="1:23">
      <c r="A198" s="13">
        <v>41869</v>
      </c>
      <c r="B198" s="11">
        <v>5404.7558589999999</v>
      </c>
      <c r="C198" s="14">
        <f t="shared" si="0"/>
        <v>4.2522803783171303E-2</v>
      </c>
      <c r="D198" s="15">
        <v>41869</v>
      </c>
      <c r="E198" s="16">
        <v>26419.550781000002</v>
      </c>
      <c r="F198" s="14">
        <f t="shared" si="1"/>
        <v>1.2118052299145976E-2</v>
      </c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</row>
    <row r="199" spans="1:23">
      <c r="A199" s="13">
        <v>41862</v>
      </c>
      <c r="B199" s="11">
        <v>5184.3046880000002</v>
      </c>
      <c r="C199" s="14">
        <f t="shared" si="0"/>
        <v>3.8958639768915004E-2</v>
      </c>
      <c r="D199" s="15">
        <v>41862</v>
      </c>
      <c r="E199" s="16">
        <v>26103.230468999998</v>
      </c>
      <c r="F199" s="14">
        <f t="shared" si="1"/>
        <v>3.0561235987452529E-2</v>
      </c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</row>
    <row r="200" spans="1:23">
      <c r="A200" s="13">
        <v>41855</v>
      </c>
      <c r="B200" s="11">
        <v>4989.9047849999997</v>
      </c>
      <c r="C200" s="14">
        <f t="shared" si="0"/>
        <v>3.0799020825532875E-2</v>
      </c>
      <c r="D200" s="15">
        <v>41855</v>
      </c>
      <c r="E200" s="16">
        <v>25329.140625</v>
      </c>
      <c r="F200" s="14">
        <f t="shared" si="1"/>
        <v>-5.9534622849457541E-3</v>
      </c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</row>
    <row r="201" spans="1:23">
      <c r="A201" s="13">
        <v>41848</v>
      </c>
      <c r="B201" s="11">
        <v>4840.8125</v>
      </c>
      <c r="C201" s="14">
        <f t="shared" si="0"/>
        <v>7.1816413798002632E-3</v>
      </c>
      <c r="D201" s="15">
        <v>41848</v>
      </c>
      <c r="E201" s="16">
        <v>25480.839843999998</v>
      </c>
      <c r="F201" s="14">
        <f t="shared" si="1"/>
        <v>-2.4722177691446579E-2</v>
      </c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</row>
    <row r="202" spans="1:23">
      <c r="A202" s="13">
        <v>41841</v>
      </c>
      <c r="B202" s="11">
        <v>4806.2954099999997</v>
      </c>
      <c r="C202" s="14">
        <f t="shared" si="0"/>
        <v>3.0561634537745297E-2</v>
      </c>
      <c r="D202" s="15">
        <v>41841</v>
      </c>
      <c r="E202" s="16">
        <v>26126.75</v>
      </c>
      <c r="F202" s="14">
        <f t="shared" si="1"/>
        <v>1.8921993928983527E-2</v>
      </c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</row>
    <row r="203" spans="1:23">
      <c r="A203" s="13">
        <v>41834</v>
      </c>
      <c r="B203" s="11">
        <v>4663.7631840000004</v>
      </c>
      <c r="C203" s="14">
        <f t="shared" si="0"/>
        <v>4.1668449409903996E-3</v>
      </c>
      <c r="D203" s="15">
        <v>41834</v>
      </c>
      <c r="E203" s="16">
        <v>25641.560547000001</v>
      </c>
      <c r="F203" s="14">
        <f t="shared" si="1"/>
        <v>2.4664414765769527E-2</v>
      </c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</row>
    <row r="204" spans="1:23">
      <c r="A204" s="13">
        <v>41827</v>
      </c>
      <c r="B204" s="11">
        <v>4644.4106449999999</v>
      </c>
      <c r="C204" s="14">
        <f t="shared" si="0"/>
        <v>3.6289641769737813E-3</v>
      </c>
      <c r="D204" s="15">
        <v>41827</v>
      </c>
      <c r="E204" s="16">
        <v>25024.349609000001</v>
      </c>
      <c r="F204" s="14">
        <f t="shared" si="1"/>
        <v>-3.6118509788636732E-2</v>
      </c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</row>
    <row r="205" spans="1:23">
      <c r="A205" s="13">
        <v>41820</v>
      </c>
      <c r="B205" s="11">
        <v>4627.6171880000002</v>
      </c>
      <c r="C205" s="14">
        <f t="shared" si="0"/>
        <v>7.5452996669460592E-3</v>
      </c>
      <c r="D205" s="15">
        <v>41820</v>
      </c>
      <c r="E205" s="16">
        <v>25962.060547000001</v>
      </c>
      <c r="F205" s="14">
        <f t="shared" si="1"/>
        <v>3.4348341655239256E-2</v>
      </c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</row>
    <row r="206" spans="1:23">
      <c r="A206" s="13">
        <v>41813</v>
      </c>
      <c r="B206" s="11">
        <v>4592.9619140000004</v>
      </c>
      <c r="C206" s="14">
        <f t="shared" si="0"/>
        <v>-2.9365034054540384E-4</v>
      </c>
      <c r="D206" s="15">
        <v>41813</v>
      </c>
      <c r="E206" s="16">
        <v>25099.919922000001</v>
      </c>
      <c r="F206" s="14">
        <f t="shared" si="1"/>
        <v>-2.2265407283494909E-4</v>
      </c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</row>
    <row r="207" spans="1:23">
      <c r="A207" s="13">
        <v>41806</v>
      </c>
      <c r="B207" s="11">
        <v>4594.3110349999997</v>
      </c>
      <c r="C207" s="14">
        <f t="shared" si="0"/>
        <v>-6.7979796852425389E-3</v>
      </c>
      <c r="D207" s="15">
        <v>41806</v>
      </c>
      <c r="E207" s="16">
        <v>25105.509765999999</v>
      </c>
      <c r="F207" s="14">
        <f t="shared" si="1"/>
        <v>-4.8620314663821995E-3</v>
      </c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</row>
    <row r="208" spans="1:23">
      <c r="A208" s="13">
        <v>41799</v>
      </c>
      <c r="B208" s="11">
        <v>4625.7568359999996</v>
      </c>
      <c r="C208" s="14">
        <f t="shared" si="0"/>
        <v>1.0353468922149833E-2</v>
      </c>
      <c r="D208" s="15">
        <v>41799</v>
      </c>
      <c r="E208" s="16">
        <v>25228.169922000001</v>
      </c>
      <c r="F208" s="14">
        <f t="shared" si="1"/>
        <v>-6.6265538498000431E-3</v>
      </c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</row>
    <row r="209" spans="1:23">
      <c r="A209" s="13">
        <v>41792</v>
      </c>
      <c r="B209" s="11">
        <v>4578.3549800000001</v>
      </c>
      <c r="C209" s="14">
        <f t="shared" si="0"/>
        <v>-8.0629977394518493E-3</v>
      </c>
      <c r="D209" s="15">
        <v>41792</v>
      </c>
      <c r="E209" s="16">
        <v>25396.460938</v>
      </c>
      <c r="F209" s="14">
        <f t="shared" si="1"/>
        <v>4.8689125295986457E-2</v>
      </c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</row>
    <row r="210" spans="1:23">
      <c r="A210" s="13">
        <v>41785</v>
      </c>
      <c r="B210" s="11">
        <v>4615.5703130000002</v>
      </c>
      <c r="C210" s="14">
        <f t="shared" si="0"/>
        <v>4.568730185520109E-2</v>
      </c>
      <c r="D210" s="15">
        <v>41785</v>
      </c>
      <c r="E210" s="16">
        <v>24217.339843999998</v>
      </c>
      <c r="F210" s="14">
        <f t="shared" si="1"/>
        <v>-1.9276840628640768E-2</v>
      </c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</row>
    <row r="211" spans="1:23">
      <c r="A211" s="13">
        <v>41778</v>
      </c>
      <c r="B211" s="11">
        <v>4413.9106449999999</v>
      </c>
      <c r="C211" s="14">
        <f t="shared" si="0"/>
        <v>3.0035571848126441E-2</v>
      </c>
      <c r="D211" s="15">
        <v>41778</v>
      </c>
      <c r="E211" s="16">
        <v>24693.349609000001</v>
      </c>
      <c r="F211" s="14">
        <f t="shared" si="1"/>
        <v>2.3696854764827746E-2</v>
      </c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</row>
    <row r="212" spans="1:23">
      <c r="A212" s="13">
        <v>41771</v>
      </c>
      <c r="B212" s="11">
        <v>4285.2021480000003</v>
      </c>
      <c r="C212" s="14">
        <f t="shared" si="0"/>
        <v>-3.1734730962254321E-2</v>
      </c>
      <c r="D212" s="15">
        <v>41771</v>
      </c>
      <c r="E212" s="16">
        <v>24121.740234000001</v>
      </c>
      <c r="F212" s="14">
        <f t="shared" si="1"/>
        <v>4.9034463950427432E-2</v>
      </c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</row>
    <row r="213" spans="1:23">
      <c r="A213" s="13">
        <v>41764</v>
      </c>
      <c r="B213" s="11">
        <v>4425.6489259999998</v>
      </c>
      <c r="C213" s="14">
        <f t="shared" si="0"/>
        <v>1.0171789050626989E-2</v>
      </c>
      <c r="D213" s="15">
        <v>41764</v>
      </c>
      <c r="E213" s="16">
        <v>22994.230468999998</v>
      </c>
      <c r="F213" s="14">
        <f t="shared" si="1"/>
        <v>2.6349880647125179E-2</v>
      </c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</row>
    <row r="214" spans="1:23">
      <c r="A214" s="13">
        <v>41757</v>
      </c>
      <c r="B214" s="11">
        <v>4381.0854490000002</v>
      </c>
      <c r="C214" s="14">
        <f t="shared" si="0"/>
        <v>-8.960426375789865E-3</v>
      </c>
      <c r="D214" s="15">
        <v>41757</v>
      </c>
      <c r="E214" s="16">
        <v>22403.890625</v>
      </c>
      <c r="F214" s="14">
        <f t="shared" si="1"/>
        <v>-1.252551160497628E-2</v>
      </c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</row>
    <row r="215" spans="1:23">
      <c r="A215" s="13">
        <v>41750</v>
      </c>
      <c r="B215" s="11">
        <v>4420.6967770000001</v>
      </c>
      <c r="C215" s="14">
        <f t="shared" si="0"/>
        <v>2.7919736474633083E-3</v>
      </c>
      <c r="D215" s="15">
        <v>41750</v>
      </c>
      <c r="E215" s="16">
        <v>22688.070313</v>
      </c>
      <c r="F215" s="14">
        <f t="shared" si="1"/>
        <v>2.6174770517768398E-3</v>
      </c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</row>
    <row r="216" spans="1:23">
      <c r="A216" s="13">
        <v>41743</v>
      </c>
      <c r="B216" s="11">
        <v>4408.388672</v>
      </c>
      <c r="C216" s="14">
        <f t="shared" si="0"/>
        <v>-1.3748173698946209E-2</v>
      </c>
      <c r="D216" s="15">
        <v>41743</v>
      </c>
      <c r="E216" s="16">
        <v>22628.839843999998</v>
      </c>
      <c r="F216" s="14">
        <f t="shared" si="1"/>
        <v>-5.3512841501346387E-6</v>
      </c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</row>
    <row r="217" spans="1:23">
      <c r="A217" s="13">
        <v>41736</v>
      </c>
      <c r="B217" s="11">
        <v>4469.8408200000003</v>
      </c>
      <c r="C217" s="14">
        <f t="shared" si="0"/>
        <v>-1.2819137192471297E-3</v>
      </c>
      <c r="D217" s="15">
        <v>41736</v>
      </c>
      <c r="E217" s="16">
        <v>22628.960938</v>
      </c>
      <c r="F217" s="14">
        <f t="shared" si="1"/>
        <v>1.2051295333079803E-2</v>
      </c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</row>
    <row r="218" spans="1:23">
      <c r="A218" s="13">
        <v>41729</v>
      </c>
      <c r="B218" s="11">
        <v>4475.578125</v>
      </c>
      <c r="C218" s="14">
        <f t="shared" si="0"/>
        <v>-2.3384994332453224E-2</v>
      </c>
      <c r="D218" s="15">
        <v>41729</v>
      </c>
      <c r="E218" s="16">
        <v>22359.5</v>
      </c>
      <c r="F218" s="14">
        <f t="shared" si="1"/>
        <v>8.7418632994795686E-4</v>
      </c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</row>
    <row r="219" spans="1:23">
      <c r="A219" s="13">
        <v>41722</v>
      </c>
      <c r="B219" s="11">
        <v>4582.7456050000001</v>
      </c>
      <c r="C219" s="14">
        <f t="shared" si="0"/>
        <v>4.9298614360874904E-2</v>
      </c>
      <c r="D219" s="15">
        <v>41722</v>
      </c>
      <c r="E219" s="16">
        <v>22339.970702999999</v>
      </c>
      <c r="F219" s="14">
        <f t="shared" si="1"/>
        <v>2.694802978796762E-2</v>
      </c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</row>
    <row r="220" spans="1:23">
      <c r="A220" s="13">
        <v>41715</v>
      </c>
      <c r="B220" s="11">
        <v>4367.4370120000003</v>
      </c>
      <c r="C220" s="14">
        <f t="shared" si="0"/>
        <v>-5.7266384318205299E-3</v>
      </c>
      <c r="D220" s="15">
        <v>41715</v>
      </c>
      <c r="E220" s="16">
        <v>21753.75</v>
      </c>
      <c r="F220" s="14">
        <f t="shared" si="1"/>
        <v>-2.5699813383363024E-3</v>
      </c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</row>
    <row r="221" spans="1:23">
      <c r="A221" s="13">
        <v>41708</v>
      </c>
      <c r="B221" s="11">
        <v>4392.591797</v>
      </c>
      <c r="C221" s="14">
        <f t="shared" si="0"/>
        <v>-3.1002230890453286E-2</v>
      </c>
      <c r="D221" s="15">
        <v>41708</v>
      </c>
      <c r="E221" s="16">
        <v>21809.800781000002</v>
      </c>
      <c r="F221" s="14">
        <f t="shared" si="1"/>
        <v>-5.0177618810053337E-3</v>
      </c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</row>
    <row r="222" spans="1:23">
      <c r="A222" s="13">
        <v>41701</v>
      </c>
      <c r="B222" s="11">
        <v>4533.1289059999999</v>
      </c>
      <c r="C222" s="14">
        <f t="shared" si="0"/>
        <v>9.5386874270135813E-3</v>
      </c>
      <c r="D222" s="15">
        <v>41701</v>
      </c>
      <c r="E222" s="16">
        <v>21919.789063</v>
      </c>
      <c r="F222" s="14">
        <f t="shared" si="1"/>
        <v>3.7862945595208419E-2</v>
      </c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</row>
    <row r="223" spans="1:23">
      <c r="A223" s="13">
        <v>41694</v>
      </c>
      <c r="B223" s="11">
        <v>4490.2973629999997</v>
      </c>
      <c r="C223" s="14">
        <f t="shared" si="0"/>
        <v>-3.8113838380885778E-2</v>
      </c>
      <c r="D223" s="15">
        <v>41694</v>
      </c>
      <c r="E223" s="16">
        <v>21120.119140999999</v>
      </c>
      <c r="F223" s="14">
        <f t="shared" si="1"/>
        <v>2.0258644783401447E-2</v>
      </c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</row>
    <row r="224" spans="1:23">
      <c r="A224" s="13">
        <v>41687</v>
      </c>
      <c r="B224" s="11">
        <v>4668.2211909999996</v>
      </c>
      <c r="C224" s="14">
        <f t="shared" si="0"/>
        <v>-5.0365739889355332E-3</v>
      </c>
      <c r="D224" s="15">
        <v>41687</v>
      </c>
      <c r="E224" s="16">
        <v>20700.75</v>
      </c>
      <c r="F224" s="14">
        <f t="shared" si="1"/>
        <v>1.6395769288878981E-2</v>
      </c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</row>
    <row r="225" spans="1:23">
      <c r="A225" s="13">
        <v>41680</v>
      </c>
      <c r="B225" s="11">
        <v>4691.8520509999998</v>
      </c>
      <c r="C225" s="14">
        <f t="shared" si="0"/>
        <v>1.3276584844597483E-2</v>
      </c>
      <c r="D225" s="15">
        <v>41680</v>
      </c>
      <c r="E225" s="16">
        <v>20366.820313</v>
      </c>
      <c r="F225" s="14">
        <f t="shared" si="1"/>
        <v>-4.7801168295968921E-4</v>
      </c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</row>
    <row r="226" spans="1:23">
      <c r="A226" s="13">
        <v>41673</v>
      </c>
      <c r="B226" s="11">
        <v>4630.3764650000003</v>
      </c>
      <c r="C226" s="14">
        <f t="shared" si="0"/>
        <v>-6.1219379158373721E-3</v>
      </c>
      <c r="D226" s="15">
        <v>41673</v>
      </c>
      <c r="E226" s="16">
        <v>20376.560547000001</v>
      </c>
      <c r="F226" s="14">
        <f t="shared" si="1"/>
        <v>-6.6925060199216624E-3</v>
      </c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</row>
    <row r="227" spans="1:23">
      <c r="A227" s="13">
        <v>41666</v>
      </c>
      <c r="B227" s="11">
        <v>4658.8979490000002</v>
      </c>
      <c r="C227" s="14">
        <f t="shared" si="0"/>
        <v>-6.7011645863969127E-3</v>
      </c>
      <c r="D227" s="15">
        <v>41666</v>
      </c>
      <c r="E227" s="16">
        <v>20513.849609000001</v>
      </c>
      <c r="F227" s="14">
        <f t="shared" si="1"/>
        <v>-2.932354614934829E-2</v>
      </c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</row>
    <row r="228" spans="1:23">
      <c r="A228" s="13">
        <v>41659</v>
      </c>
      <c r="B228" s="11">
        <v>4690.3286129999997</v>
      </c>
      <c r="C228" s="14">
        <f t="shared" si="0"/>
        <v>-2.994451917519203E-2</v>
      </c>
      <c r="D228" s="15">
        <v>41659</v>
      </c>
      <c r="E228" s="16">
        <v>21133.560547000001</v>
      </c>
      <c r="F228" s="14">
        <f t="shared" si="1"/>
        <v>3.3204837939677656E-3</v>
      </c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</row>
    <row r="229" spans="1:23">
      <c r="A229" s="13">
        <v>41652</v>
      </c>
      <c r="B229" s="11">
        <v>4835.1137699999999</v>
      </c>
      <c r="C229" s="14">
        <f t="shared" si="0"/>
        <v>-3.1058571631928156E-2</v>
      </c>
      <c r="D229" s="15">
        <v>41652</v>
      </c>
      <c r="E229" s="16">
        <v>21063.619140999999</v>
      </c>
      <c r="F229" s="14">
        <f t="shared" si="1"/>
        <v>1.46989932100281E-2</v>
      </c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</row>
    <row r="230" spans="1:23">
      <c r="A230" s="13">
        <v>41645</v>
      </c>
      <c r="B230" s="11">
        <v>4990.0991210000002</v>
      </c>
      <c r="C230" s="14">
        <f t="shared" si="0"/>
        <v>1.3564981200683945E-2</v>
      </c>
      <c r="D230" s="15">
        <v>41645</v>
      </c>
      <c r="E230" s="16">
        <v>20758.490234000001</v>
      </c>
      <c r="F230" s="14">
        <f t="shared" si="1"/>
        <v>-4.4524662768612444E-3</v>
      </c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</row>
    <row r="231" spans="1:23">
      <c r="A231" s="13">
        <v>41638</v>
      </c>
      <c r="B231" s="11">
        <v>4923.314453</v>
      </c>
      <c r="C231" s="14">
        <f t="shared" si="0"/>
        <v>-1.0578953110287337E-3</v>
      </c>
      <c r="D231" s="15">
        <v>41638</v>
      </c>
      <c r="E231" s="16">
        <v>20851.330077999999</v>
      </c>
      <c r="F231" s="14">
        <f t="shared" si="1"/>
        <v>-1.6148758196604662E-2</v>
      </c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</row>
    <row r="232" spans="1:23">
      <c r="A232" s="13">
        <v>41631</v>
      </c>
      <c r="B232" s="11">
        <v>4928.5283200000003</v>
      </c>
      <c r="C232" s="14">
        <f t="shared" si="0"/>
        <v>-2.2867150085633781E-2</v>
      </c>
      <c r="D232" s="15">
        <v>41631</v>
      </c>
      <c r="E232" s="16">
        <v>21193.580077999999</v>
      </c>
      <c r="F232" s="14">
        <f t="shared" si="1"/>
        <v>5.4013701891124644E-3</v>
      </c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</row>
    <row r="233" spans="1:23">
      <c r="A233" s="13">
        <v>41624</v>
      </c>
      <c r="B233" s="11">
        <v>5043.8671880000002</v>
      </c>
      <c r="C233" s="14">
        <f t="shared" si="0"/>
        <v>0.11044056044398087</v>
      </c>
      <c r="D233" s="15">
        <v>41624</v>
      </c>
      <c r="E233" s="16">
        <v>21079.720702999999</v>
      </c>
      <c r="F233" s="14">
        <f t="shared" si="1"/>
        <v>1.7578104191575017E-2</v>
      </c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</row>
    <row r="234" spans="1:23">
      <c r="A234" s="13">
        <v>41617</v>
      </c>
      <c r="B234" s="11">
        <v>4542.2216799999997</v>
      </c>
      <c r="C234" s="14">
        <f t="shared" si="0"/>
        <v>-2.8969019006366059E-2</v>
      </c>
      <c r="D234" s="15">
        <v>41617</v>
      </c>
      <c r="E234" s="16">
        <v>20715.580077999999</v>
      </c>
      <c r="F234" s="14">
        <f t="shared" si="1"/>
        <v>-1.338074569496317E-2</v>
      </c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</row>
    <row r="235" spans="1:23">
      <c r="A235" s="13">
        <v>41610</v>
      </c>
      <c r="B235" s="11">
        <v>4677.7309569999998</v>
      </c>
      <c r="C235" s="14">
        <f t="shared" si="0"/>
        <v>-1.5062765042077486E-2</v>
      </c>
      <c r="D235" s="15">
        <v>41610</v>
      </c>
      <c r="E235" s="16">
        <v>20996.529297000001</v>
      </c>
      <c r="F235" s="14">
        <f t="shared" si="1"/>
        <v>9.840337672846422E-3</v>
      </c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</row>
    <row r="236" spans="1:23">
      <c r="A236" s="13">
        <v>41603</v>
      </c>
      <c r="B236" s="11">
        <v>4749.2680659999996</v>
      </c>
      <c r="C236" s="14">
        <f t="shared" si="0"/>
        <v>-5.7415425976342638E-2</v>
      </c>
      <c r="D236" s="15">
        <v>41603</v>
      </c>
      <c r="E236" s="16">
        <v>20791.929688</v>
      </c>
      <c r="F236" s="14">
        <f t="shared" si="1"/>
        <v>2.8418062135553201E-2</v>
      </c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</row>
    <row r="237" spans="1:23">
      <c r="A237" s="13">
        <v>41596</v>
      </c>
      <c r="B237" s="11">
        <v>5038.5590819999998</v>
      </c>
      <c r="C237" s="14">
        <f t="shared" si="0"/>
        <v>-3.2704328367056168E-2</v>
      </c>
      <c r="D237" s="15">
        <v>41596</v>
      </c>
      <c r="E237" s="16">
        <v>20217.390625</v>
      </c>
      <c r="F237" s="14">
        <f t="shared" si="1"/>
        <v>-8.9232584895068134E-3</v>
      </c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</row>
    <row r="238" spans="1:23">
      <c r="A238" s="13">
        <v>41589</v>
      </c>
      <c r="B238" s="11">
        <v>5208.9130859999996</v>
      </c>
      <c r="C238" s="14">
        <f t="shared" si="0"/>
        <v>-2.0848017094702187E-2</v>
      </c>
      <c r="D238" s="15">
        <v>41589</v>
      </c>
      <c r="E238" s="16">
        <v>20399.419922000001</v>
      </c>
      <c r="F238" s="14">
        <f t="shared" si="1"/>
        <v>-1.2906635437829661E-2</v>
      </c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</row>
    <row r="239" spans="1:23">
      <c r="A239" s="13">
        <v>41582</v>
      </c>
      <c r="B239" s="11">
        <v>5319.8208009999998</v>
      </c>
      <c r="C239" s="14">
        <f t="shared" si="0"/>
        <v>1.1501602314909931E-2</v>
      </c>
      <c r="D239" s="15">
        <v>41582</v>
      </c>
      <c r="E239" s="16">
        <v>20666.150390999999</v>
      </c>
      <c r="F239" s="14">
        <f t="shared" si="1"/>
        <v>-2.5034905832807319E-2</v>
      </c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</row>
    <row r="240" spans="1:23">
      <c r="A240" s="13">
        <v>41575</v>
      </c>
      <c r="B240" s="11">
        <v>5259.330078</v>
      </c>
      <c r="C240" s="14">
        <f t="shared" si="0"/>
        <v>3.3037197624930181E-2</v>
      </c>
      <c r="D240" s="15">
        <v>41575</v>
      </c>
      <c r="E240" s="16">
        <v>21196.810547000001</v>
      </c>
      <c r="F240" s="14">
        <f t="shared" si="1"/>
        <v>2.4816425233176176E-2</v>
      </c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</row>
    <row r="241" spans="1:23">
      <c r="A241" s="13">
        <v>41568</v>
      </c>
      <c r="B241" s="11">
        <v>5091.1333009999998</v>
      </c>
      <c r="C241" s="14">
        <f t="shared" si="0"/>
        <v>6.5999572346298052E-4</v>
      </c>
      <c r="D241" s="15">
        <v>41568</v>
      </c>
      <c r="E241" s="16">
        <v>20683.519531000002</v>
      </c>
      <c r="F241" s="14">
        <f t="shared" si="1"/>
        <v>-9.5471023423031598E-3</v>
      </c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</row>
    <row r="242" spans="1:23">
      <c r="A242" s="13">
        <v>41561</v>
      </c>
      <c r="B242" s="11">
        <v>5087.7753910000001</v>
      </c>
      <c r="C242" s="14">
        <f t="shared" si="0"/>
        <v>9.3931472111113301E-2</v>
      </c>
      <c r="D242" s="15">
        <v>41561</v>
      </c>
      <c r="E242" s="16">
        <v>20882.890625</v>
      </c>
      <c r="F242" s="14">
        <f t="shared" si="1"/>
        <v>1.7258895213572378E-2</v>
      </c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</row>
    <row r="243" spans="1:23">
      <c r="A243" s="13">
        <v>41554</v>
      </c>
      <c r="B243" s="11">
        <v>4650.9086909999996</v>
      </c>
      <c r="C243" s="14">
        <f t="shared" si="0"/>
        <v>-5.38155621130465E-3</v>
      </c>
      <c r="D243" s="15">
        <v>41554</v>
      </c>
      <c r="E243" s="16">
        <v>20528.589843999998</v>
      </c>
      <c r="F243" s="14">
        <f t="shared" si="1"/>
        <v>3.0761306843237746E-2</v>
      </c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</row>
    <row r="244" spans="1:23">
      <c r="A244" s="13">
        <v>41547</v>
      </c>
      <c r="B244" s="11">
        <v>4676.0732420000004</v>
      </c>
      <c r="C244" s="14">
        <f t="shared" si="0"/>
        <v>-3.1387303530810984E-3</v>
      </c>
      <c r="D244" s="15">
        <v>41547</v>
      </c>
      <c r="E244" s="16">
        <v>19915.949218999998</v>
      </c>
      <c r="F244" s="14">
        <f t="shared" si="1"/>
        <v>9.5644096971199133E-3</v>
      </c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</row>
    <row r="245" spans="1:23">
      <c r="A245" s="13">
        <v>41540</v>
      </c>
      <c r="B245" s="11">
        <v>4690.7963870000003</v>
      </c>
      <c r="C245" s="14">
        <f t="shared" si="0"/>
        <v>1.4608009157666801E-2</v>
      </c>
      <c r="D245" s="15">
        <v>41540</v>
      </c>
      <c r="E245" s="16">
        <v>19727.269531000002</v>
      </c>
      <c r="F245" s="14">
        <f t="shared" si="1"/>
        <v>-2.6473009245015611E-2</v>
      </c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</row>
    <row r="246" spans="1:23">
      <c r="A246" s="13">
        <v>41533</v>
      </c>
      <c r="B246" s="11">
        <v>4623.2597660000001</v>
      </c>
      <c r="C246" s="14">
        <f t="shared" si="0"/>
        <v>1.3381304437599439E-2</v>
      </c>
      <c r="D246" s="15">
        <v>41533</v>
      </c>
      <c r="E246" s="16">
        <v>20263.710938</v>
      </c>
      <c r="F246" s="14">
        <f t="shared" si="1"/>
        <v>2.6907091471049194E-2</v>
      </c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</row>
    <row r="247" spans="1:23">
      <c r="A247" s="13">
        <v>41526</v>
      </c>
      <c r="B247" s="11">
        <v>4562.2114259999998</v>
      </c>
      <c r="C247" s="14">
        <f t="shared" si="0"/>
        <v>-9.983229934356963E-3</v>
      </c>
      <c r="D247" s="15">
        <v>41526</v>
      </c>
      <c r="E247" s="16">
        <v>19732.759765999999</v>
      </c>
      <c r="F247" s="14">
        <f t="shared" si="1"/>
        <v>2.401130073626212E-2</v>
      </c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</row>
    <row r="248" spans="1:23">
      <c r="A248" s="13">
        <v>41519</v>
      </c>
      <c r="B248" s="11">
        <v>4608.2163090000004</v>
      </c>
      <c r="C248" s="14">
        <f t="shared" si="0"/>
        <v>2.2801196729540729E-2</v>
      </c>
      <c r="D248" s="15">
        <v>41519</v>
      </c>
      <c r="E248" s="16">
        <v>19270.060547000001</v>
      </c>
      <c r="F248" s="14">
        <f t="shared" si="1"/>
        <v>3.4927475786208806E-2</v>
      </c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</row>
    <row r="249" spans="1:23">
      <c r="A249" s="13">
        <v>41512</v>
      </c>
      <c r="B249" s="11">
        <v>4505.4858400000003</v>
      </c>
      <c r="C249" s="14">
        <f t="shared" si="0"/>
        <v>2.7747037973104849E-3</v>
      </c>
      <c r="D249" s="15">
        <v>41512</v>
      </c>
      <c r="E249" s="16">
        <v>18619.720702999999</v>
      </c>
      <c r="F249" s="14">
        <f t="shared" si="1"/>
        <v>5.414918213615616E-3</v>
      </c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</row>
    <row r="250" spans="1:23">
      <c r="A250" s="13">
        <v>41505</v>
      </c>
      <c r="B250" s="11">
        <v>4493.0190430000002</v>
      </c>
      <c r="C250" s="14">
        <f t="shared" si="0"/>
        <v>-2.0558608285732749E-2</v>
      </c>
      <c r="D250" s="15">
        <v>41505</v>
      </c>
      <c r="E250" s="16">
        <v>18519.439452999999</v>
      </c>
      <c r="F250" s="14">
        <f t="shared" si="1"/>
        <v>-4.2337603099300569E-3</v>
      </c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</row>
    <row r="251" spans="1:23">
      <c r="A251" s="13">
        <v>41498</v>
      </c>
      <c r="B251" s="11">
        <v>4587.328125</v>
      </c>
      <c r="C251" s="14">
        <f t="shared" si="0"/>
        <v>-5.0292639448543675E-3</v>
      </c>
      <c r="D251" s="15">
        <v>41498</v>
      </c>
      <c r="E251" s="16">
        <v>18598.179688</v>
      </c>
      <c r="F251" s="14">
        <f t="shared" si="1"/>
        <v>-1.0173862285057456E-2</v>
      </c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</row>
    <row r="252" spans="1:23">
      <c r="A252" s="13">
        <v>41491</v>
      </c>
      <c r="B252" s="11">
        <v>4610.515625</v>
      </c>
      <c r="C252" s="14">
        <f t="shared" si="0"/>
        <v>-7.3733378972531294E-2</v>
      </c>
      <c r="D252" s="15">
        <v>41491</v>
      </c>
      <c r="E252" s="16">
        <v>18789.339843999998</v>
      </c>
      <c r="F252" s="14">
        <f t="shared" si="1"/>
        <v>-1.9551205653590364E-2</v>
      </c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</row>
    <row r="253" spans="1:23">
      <c r="A253" s="13">
        <v>41484</v>
      </c>
      <c r="B253" s="11">
        <v>4977.5253910000001</v>
      </c>
      <c r="C253" s="14">
        <f t="shared" si="0"/>
        <v>-3.9545866857670919E-3</v>
      </c>
      <c r="D253" s="15">
        <v>41484</v>
      </c>
      <c r="E253" s="16">
        <v>19164.019531000002</v>
      </c>
      <c r="F253" s="14">
        <f t="shared" si="1"/>
        <v>-2.9580935679713871E-2</v>
      </c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</row>
    <row r="254" spans="1:23">
      <c r="A254" s="13">
        <v>41477</v>
      </c>
      <c r="B254" s="11">
        <v>4997.2875979999999</v>
      </c>
      <c r="C254" s="14">
        <f t="shared" si="0"/>
        <v>-4.4356406073270405E-2</v>
      </c>
      <c r="D254" s="15">
        <v>41477</v>
      </c>
      <c r="E254" s="16">
        <v>19748.189452999999</v>
      </c>
      <c r="F254" s="14">
        <f t="shared" si="1"/>
        <v>-1.99336552775361E-2</v>
      </c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</row>
    <row r="255" spans="1:23">
      <c r="A255" s="13">
        <v>41470</v>
      </c>
      <c r="B255" s="11">
        <v>5229.2377930000002</v>
      </c>
      <c r="C255" s="14">
        <f t="shared" si="0"/>
        <v>5.6153825318528972E-2</v>
      </c>
      <c r="D255" s="15">
        <v>41470</v>
      </c>
      <c r="E255" s="16">
        <v>20149.849609000001</v>
      </c>
      <c r="F255" s="14">
        <f t="shared" si="1"/>
        <v>9.588856222898734E-3</v>
      </c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</row>
    <row r="256" spans="1:23">
      <c r="A256" s="13">
        <v>41463</v>
      </c>
      <c r="B256" s="11">
        <v>4951.2084960000002</v>
      </c>
      <c r="C256" s="14">
        <f t="shared" si="0"/>
        <v>4.8192733597350657E-2</v>
      </c>
      <c r="D256" s="15">
        <v>41463</v>
      </c>
      <c r="E256" s="16">
        <v>19958.470702999999</v>
      </c>
      <c r="F256" s="14">
        <f t="shared" si="1"/>
        <v>2.3730747543436292E-2</v>
      </c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</row>
    <row r="257" spans="1:23">
      <c r="A257" s="13">
        <v>41456</v>
      </c>
      <c r="B257" s="11">
        <v>4723.5668949999999</v>
      </c>
      <c r="C257" s="14">
        <f t="shared" si="0"/>
        <v>6.1227796535479495E-2</v>
      </c>
      <c r="D257" s="15">
        <v>41456</v>
      </c>
      <c r="E257" s="16">
        <v>19495.820313</v>
      </c>
      <c r="F257" s="14">
        <f t="shared" si="1"/>
        <v>5.1562560769324861E-3</v>
      </c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</row>
    <row r="258" spans="1:23">
      <c r="A258" s="13">
        <v>41449</v>
      </c>
      <c r="B258" s="11">
        <v>4451.0395509999998</v>
      </c>
      <c r="C258" s="14">
        <f t="shared" ref="C258:C493" si="2">B258/B259-1</f>
        <v>-3.4731020651268651E-2</v>
      </c>
      <c r="D258" s="15">
        <v>41449</v>
      </c>
      <c r="E258" s="16">
        <v>19395.810547000001</v>
      </c>
      <c r="F258" s="14">
        <f t="shared" ref="F258:F493" si="3">E258/E259-1</f>
        <v>3.3107614755794046E-2</v>
      </c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</row>
    <row r="259" spans="1:23">
      <c r="A259" s="13">
        <v>41442</v>
      </c>
      <c r="B259" s="11">
        <v>4611.1909180000002</v>
      </c>
      <c r="C259" s="14">
        <f t="shared" si="2"/>
        <v>-2.2576019396260749E-2</v>
      </c>
      <c r="D259" s="15">
        <v>41442</v>
      </c>
      <c r="E259" s="16">
        <v>18774.240234000001</v>
      </c>
      <c r="F259" s="14">
        <f t="shared" si="3"/>
        <v>-2.1049688916765397E-2</v>
      </c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</row>
    <row r="260" spans="1:23">
      <c r="A260" s="13">
        <v>41435</v>
      </c>
      <c r="B260" s="11">
        <v>4717.6977539999998</v>
      </c>
      <c r="C260" s="14">
        <f t="shared" si="2"/>
        <v>-2.0606915097384104E-2</v>
      </c>
      <c r="D260" s="15">
        <v>41435</v>
      </c>
      <c r="E260" s="16">
        <v>19177.929688</v>
      </c>
      <c r="F260" s="14">
        <f t="shared" si="3"/>
        <v>-1.2934160279840068E-2</v>
      </c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</row>
    <row r="261" spans="1:23">
      <c r="A261" s="13">
        <v>41428</v>
      </c>
      <c r="B261" s="11">
        <v>4816.9604490000002</v>
      </c>
      <c r="C261" s="14">
        <f t="shared" si="2"/>
        <v>-9.2797036110416897E-3</v>
      </c>
      <c r="D261" s="15">
        <v>41428</v>
      </c>
      <c r="E261" s="16">
        <v>19429.230468999998</v>
      </c>
      <c r="F261" s="14">
        <f t="shared" si="3"/>
        <v>-1.6754315416005028E-2</v>
      </c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</row>
    <row r="262" spans="1:23">
      <c r="A262" s="13">
        <v>41421</v>
      </c>
      <c r="B262" s="11">
        <v>4862.0791019999997</v>
      </c>
      <c r="C262" s="14">
        <f t="shared" si="2"/>
        <v>1.1947901124116589E-2</v>
      </c>
      <c r="D262" s="15">
        <v>41421</v>
      </c>
      <c r="E262" s="16">
        <v>19760.300781000002</v>
      </c>
      <c r="F262" s="14">
        <f t="shared" si="3"/>
        <v>2.8405280858796456E-3</v>
      </c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</row>
    <row r="263" spans="1:23">
      <c r="A263" s="13">
        <v>41414</v>
      </c>
      <c r="B263" s="11">
        <v>4804.6733400000003</v>
      </c>
      <c r="C263" s="14">
        <f t="shared" si="2"/>
        <v>5.3185488692515381E-2</v>
      </c>
      <c r="D263" s="15">
        <v>41414</v>
      </c>
      <c r="E263" s="16">
        <v>19704.330077999999</v>
      </c>
      <c r="F263" s="14">
        <f t="shared" si="3"/>
        <v>-2.8679170173271595E-2</v>
      </c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</row>
    <row r="264" spans="1:23">
      <c r="A264" s="13">
        <v>41407</v>
      </c>
      <c r="B264" s="11">
        <v>4562.0390630000002</v>
      </c>
      <c r="C264" s="14">
        <f t="shared" si="2"/>
        <v>1.5523404485022763E-2</v>
      </c>
      <c r="D264" s="15">
        <v>41407</v>
      </c>
      <c r="E264" s="16">
        <v>20286.119140999999</v>
      </c>
      <c r="F264" s="14">
        <f t="shared" si="3"/>
        <v>1.0133140432093457E-2</v>
      </c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</row>
    <row r="265" spans="1:23">
      <c r="A265" s="13">
        <v>41400</v>
      </c>
      <c r="B265" s="11">
        <v>4492.3032229999999</v>
      </c>
      <c r="C265" s="14">
        <f t="shared" si="2"/>
        <v>-1.223144485281491E-3</v>
      </c>
      <c r="D265" s="15">
        <v>41400</v>
      </c>
      <c r="E265" s="16">
        <v>20082.619140999999</v>
      </c>
      <c r="F265" s="14">
        <f t="shared" si="3"/>
        <v>2.5898438049201777E-2</v>
      </c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</row>
    <row r="266" spans="1:23">
      <c r="A266" s="13">
        <v>41393</v>
      </c>
      <c r="B266" s="11">
        <v>4497.8046880000002</v>
      </c>
      <c r="C266" s="14">
        <f t="shared" si="2"/>
        <v>3.6964623593807699E-2</v>
      </c>
      <c r="D266" s="15">
        <v>41393</v>
      </c>
      <c r="E266" s="16">
        <v>19575.640625</v>
      </c>
      <c r="F266" s="14">
        <f t="shared" si="3"/>
        <v>1.4980251254173016E-2</v>
      </c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</row>
    <row r="267" spans="1:23">
      <c r="A267" s="13">
        <v>41386</v>
      </c>
      <c r="B267" s="11">
        <v>4337.4716799999997</v>
      </c>
      <c r="C267" s="14">
        <f t="shared" si="2"/>
        <v>1.2706568191381828E-2</v>
      </c>
      <c r="D267" s="15">
        <v>41386</v>
      </c>
      <c r="E267" s="16">
        <v>19286.720702999999</v>
      </c>
      <c r="F267" s="14">
        <f t="shared" si="3"/>
        <v>1.4211885475490682E-2</v>
      </c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</row>
    <row r="268" spans="1:23">
      <c r="A268" s="13">
        <v>41379</v>
      </c>
      <c r="B268" s="11">
        <v>4283.048828</v>
      </c>
      <c r="C268" s="14">
        <f t="shared" si="2"/>
        <v>3.3202788390852778E-2</v>
      </c>
      <c r="D268" s="15">
        <v>41379</v>
      </c>
      <c r="E268" s="16">
        <v>19016.460938</v>
      </c>
      <c r="F268" s="14">
        <f t="shared" si="3"/>
        <v>4.2422794157987109E-2</v>
      </c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</row>
    <row r="269" spans="1:23">
      <c r="A269" s="13">
        <v>41372</v>
      </c>
      <c r="B269" s="11">
        <v>4145.4096680000002</v>
      </c>
      <c r="C269" s="14">
        <f t="shared" si="2"/>
        <v>1.4907357551060541E-2</v>
      </c>
      <c r="D269" s="15">
        <v>41372</v>
      </c>
      <c r="E269" s="16">
        <v>18242.560547000001</v>
      </c>
      <c r="F269" s="14">
        <f t="shared" si="3"/>
        <v>-1.1255681729771538E-2</v>
      </c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</row>
    <row r="270" spans="1:23">
      <c r="A270" s="13">
        <v>41365</v>
      </c>
      <c r="B270" s="11">
        <v>4084.5202640000002</v>
      </c>
      <c r="C270" s="14">
        <f t="shared" si="2"/>
        <v>-2.9183742767320386E-2</v>
      </c>
      <c r="D270" s="15">
        <v>41365</v>
      </c>
      <c r="E270" s="16">
        <v>18450.230468999998</v>
      </c>
      <c r="F270" s="14">
        <f t="shared" si="3"/>
        <v>-2.046845292757915E-2</v>
      </c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</row>
    <row r="271" spans="1:23">
      <c r="A271" s="13">
        <v>41358</v>
      </c>
      <c r="B271" s="11">
        <v>4207.3051759999998</v>
      </c>
      <c r="C271" s="14">
        <f t="shared" si="2"/>
        <v>-2.5187245514360357E-2</v>
      </c>
      <c r="D271" s="15">
        <v>41358</v>
      </c>
      <c r="E271" s="16">
        <v>18835.769531000002</v>
      </c>
      <c r="F271" s="14">
        <f t="shared" si="3"/>
        <v>5.3465020650784734E-3</v>
      </c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</row>
    <row r="272" spans="1:23">
      <c r="A272" s="13">
        <v>41351</v>
      </c>
      <c r="B272" s="11">
        <v>4316.013672</v>
      </c>
      <c r="C272" s="14">
        <f t="shared" si="2"/>
        <v>-3.9049576073424408E-3</v>
      </c>
      <c r="D272" s="15">
        <v>41351</v>
      </c>
      <c r="E272" s="16">
        <v>18735.599609000001</v>
      </c>
      <c r="F272" s="14">
        <f t="shared" si="3"/>
        <v>-3.5617489716528117E-2</v>
      </c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</row>
    <row r="273" spans="1:23">
      <c r="A273" s="13">
        <v>41344</v>
      </c>
      <c r="B273" s="11">
        <v>4332.9335940000001</v>
      </c>
      <c r="C273" s="14">
        <f t="shared" si="2"/>
        <v>-9.1107760372307611E-3</v>
      </c>
      <c r="D273" s="15">
        <v>41344</v>
      </c>
      <c r="E273" s="16">
        <v>19427.560547000001</v>
      </c>
      <c r="F273" s="14">
        <f t="shared" si="3"/>
        <v>-1.2989225645793412E-2</v>
      </c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</row>
    <row r="274" spans="1:23">
      <c r="A274" s="13">
        <v>41337</v>
      </c>
      <c r="B274" s="11">
        <v>4372.7729490000002</v>
      </c>
      <c r="C274" s="14">
        <f t="shared" si="2"/>
        <v>1.8035336960829484E-2</v>
      </c>
      <c r="D274" s="15">
        <v>41337</v>
      </c>
      <c r="E274" s="16">
        <v>19683.230468999998</v>
      </c>
      <c r="F274" s="14">
        <f t="shared" si="3"/>
        <v>4.0421288608071926E-2</v>
      </c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</row>
    <row r="275" spans="1:23">
      <c r="A275" s="13">
        <v>41330</v>
      </c>
      <c r="B275" s="11">
        <v>4295.3056640000004</v>
      </c>
      <c r="C275" s="14">
        <f t="shared" si="2"/>
        <v>1.4635583202193825E-2</v>
      </c>
      <c r="D275" s="15">
        <v>41330</v>
      </c>
      <c r="E275" s="16">
        <v>18918.519531000002</v>
      </c>
      <c r="F275" s="14">
        <f t="shared" si="3"/>
        <v>-2.0628981391384027E-2</v>
      </c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</row>
    <row r="276" spans="1:23">
      <c r="A276" s="13">
        <v>41323</v>
      </c>
      <c r="B276" s="11">
        <v>4233.3481449999999</v>
      </c>
      <c r="C276" s="14">
        <f t="shared" si="2"/>
        <v>6.8842902144747864E-3</v>
      </c>
      <c r="D276" s="15">
        <v>41323</v>
      </c>
      <c r="E276" s="16">
        <v>19317.009765999999</v>
      </c>
      <c r="F276" s="14">
        <f t="shared" si="3"/>
        <v>-7.7634814794667051E-3</v>
      </c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</row>
    <row r="277" spans="1:23">
      <c r="A277" s="13">
        <v>41316</v>
      </c>
      <c r="B277" s="11">
        <v>4204.4038090000004</v>
      </c>
      <c r="C277" s="14">
        <f t="shared" si="2"/>
        <v>-9.8955035750127873E-3</v>
      </c>
      <c r="D277" s="15">
        <v>41316</v>
      </c>
      <c r="E277" s="16">
        <v>19468.150390999999</v>
      </c>
      <c r="F277" s="14">
        <f t="shared" si="3"/>
        <v>-8.5292977027839889E-4</v>
      </c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</row>
    <row r="278" spans="1:23">
      <c r="A278" s="13">
        <v>41309</v>
      </c>
      <c r="B278" s="11">
        <v>4246.4243159999996</v>
      </c>
      <c r="C278" s="14">
        <f t="shared" si="2"/>
        <v>-1.0495148601003201E-2</v>
      </c>
      <c r="D278" s="15">
        <v>41309</v>
      </c>
      <c r="E278" s="16">
        <v>19484.769531000002</v>
      </c>
      <c r="F278" s="14">
        <f t="shared" si="3"/>
        <v>-1.4984939237566497E-2</v>
      </c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</row>
    <row r="279" spans="1:23">
      <c r="A279" s="13">
        <v>41302</v>
      </c>
      <c r="B279" s="11">
        <v>4291.4638670000004</v>
      </c>
      <c r="C279" s="14">
        <f t="shared" si="2"/>
        <v>9.1500647808311353E-3</v>
      </c>
      <c r="D279" s="15">
        <v>41302</v>
      </c>
      <c r="E279" s="16">
        <v>19781.189452999999</v>
      </c>
      <c r="F279" s="14">
        <f t="shared" si="3"/>
        <v>-1.6033992799866392E-2</v>
      </c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</row>
    <row r="280" spans="1:23">
      <c r="A280" s="13">
        <v>41295</v>
      </c>
      <c r="B280" s="11">
        <v>4252.5527339999999</v>
      </c>
      <c r="C280" s="14">
        <f t="shared" si="2"/>
        <v>-3.0623007427559634E-2</v>
      </c>
      <c r="D280" s="15">
        <v>41295</v>
      </c>
      <c r="E280" s="16">
        <v>20103.529297000001</v>
      </c>
      <c r="F280" s="14">
        <f t="shared" si="3"/>
        <v>3.2182298660754505E-3</v>
      </c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</row>
    <row r="281" spans="1:23">
      <c r="A281" s="13">
        <v>41288</v>
      </c>
      <c r="B281" s="11">
        <v>4386.892578</v>
      </c>
      <c r="C281" s="14">
        <f t="shared" si="2"/>
        <v>-8.8029242639376948E-3</v>
      </c>
      <c r="D281" s="15">
        <v>41288</v>
      </c>
      <c r="E281" s="16">
        <v>20039.039063</v>
      </c>
      <c r="F281" s="14">
        <f t="shared" si="3"/>
        <v>1.9090993634348852E-2</v>
      </c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</row>
    <row r="282" spans="1:23">
      <c r="A282" s="13">
        <v>41281</v>
      </c>
      <c r="B282" s="11">
        <v>4425.8530270000001</v>
      </c>
      <c r="C282" s="14">
        <f t="shared" si="2"/>
        <v>-7.434158215090525E-3</v>
      </c>
      <c r="D282" s="15">
        <v>41281</v>
      </c>
      <c r="E282" s="16">
        <v>19663.640625</v>
      </c>
      <c r="F282" s="14">
        <f t="shared" si="3"/>
        <v>-6.0876953856413563E-3</v>
      </c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</row>
    <row r="283" spans="1:23">
      <c r="A283" s="13">
        <v>41274</v>
      </c>
      <c r="B283" s="11">
        <v>4459.001953</v>
      </c>
      <c r="C283" s="14">
        <f t="shared" si="2"/>
        <v>-1.7965609629684742E-2</v>
      </c>
      <c r="D283" s="15">
        <v>41274</v>
      </c>
      <c r="E283" s="16">
        <v>19784.080077999999</v>
      </c>
      <c r="F283" s="14">
        <f t="shared" si="3"/>
        <v>1.7446285838382813E-2</v>
      </c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</row>
    <row r="284" spans="1:23">
      <c r="A284" s="13">
        <v>41267</v>
      </c>
      <c r="B284" s="11">
        <v>4540.576172</v>
      </c>
      <c r="C284" s="14">
        <f t="shared" si="2"/>
        <v>1.3171855280193157E-2</v>
      </c>
      <c r="D284" s="15">
        <v>41267</v>
      </c>
      <c r="E284" s="16">
        <v>19444.839843999998</v>
      </c>
      <c r="F284" s="14">
        <f t="shared" si="3"/>
        <v>1.0541515642864541E-2</v>
      </c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</row>
    <row r="285" spans="1:23">
      <c r="A285" s="13">
        <v>41260</v>
      </c>
      <c r="B285" s="11">
        <v>4481.5458980000003</v>
      </c>
      <c r="C285" s="14">
        <f t="shared" si="2"/>
        <v>2.5495814442513698E-2</v>
      </c>
      <c r="D285" s="15">
        <v>41260</v>
      </c>
      <c r="E285" s="16">
        <v>19242</v>
      </c>
      <c r="F285" s="14">
        <f t="shared" si="3"/>
        <v>-3.8954820173678906E-3</v>
      </c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</row>
    <row r="286" spans="1:23">
      <c r="A286" s="13">
        <v>41253</v>
      </c>
      <c r="B286" s="11">
        <v>4370.1259769999997</v>
      </c>
      <c r="C286" s="14">
        <f t="shared" si="2"/>
        <v>-6.4114640492822783E-3</v>
      </c>
      <c r="D286" s="15">
        <v>41253</v>
      </c>
      <c r="E286" s="16">
        <v>19317.25</v>
      </c>
      <c r="F286" s="14">
        <f t="shared" si="3"/>
        <v>-5.5008783496195424E-3</v>
      </c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</row>
    <row r="287" spans="1:23">
      <c r="A287" s="13">
        <v>41246</v>
      </c>
      <c r="B287" s="11">
        <v>4398.3256840000004</v>
      </c>
      <c r="C287" s="14">
        <f t="shared" si="2"/>
        <v>1.260664380671761E-2</v>
      </c>
      <c r="D287" s="15">
        <v>41246</v>
      </c>
      <c r="E287" s="16">
        <v>19424.099609000001</v>
      </c>
      <c r="F287" s="14">
        <f t="shared" si="3"/>
        <v>4.3536531366616948E-3</v>
      </c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</row>
    <row r="288" spans="1:23">
      <c r="A288" s="13">
        <v>41239</v>
      </c>
      <c r="B288" s="11">
        <v>4343.5678710000002</v>
      </c>
      <c r="C288" s="14">
        <f t="shared" si="2"/>
        <v>3.2005340372049051E-2</v>
      </c>
      <c r="D288" s="15">
        <v>41239</v>
      </c>
      <c r="E288" s="16">
        <v>19339.900390999999</v>
      </c>
      <c r="F288" s="14">
        <f t="shared" si="3"/>
        <v>4.5028876982928789E-2</v>
      </c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</row>
    <row r="289" spans="1:23">
      <c r="A289" s="13">
        <v>41232</v>
      </c>
      <c r="B289" s="11">
        <v>4208.8618159999996</v>
      </c>
      <c r="C289" s="14">
        <f t="shared" si="2"/>
        <v>-2.2244916321809027E-2</v>
      </c>
      <c r="D289" s="15">
        <v>41232</v>
      </c>
      <c r="E289" s="16">
        <v>18506.570313</v>
      </c>
      <c r="F289" s="14">
        <f t="shared" si="3"/>
        <v>1.0770506098891852E-2</v>
      </c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</row>
    <row r="290" spans="1:23">
      <c r="A290" s="13">
        <v>41225</v>
      </c>
      <c r="B290" s="11">
        <v>4304.6176759999998</v>
      </c>
      <c r="C290" s="14">
        <f t="shared" si="2"/>
        <v>-2.855955610541816E-2</v>
      </c>
      <c r="D290" s="15">
        <v>41225</v>
      </c>
      <c r="E290" s="16">
        <v>18309.369140999999</v>
      </c>
      <c r="F290" s="14">
        <f t="shared" si="3"/>
        <v>-2.0034091423672296E-2</v>
      </c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</row>
    <row r="291" spans="1:23">
      <c r="A291" s="13">
        <v>41218</v>
      </c>
      <c r="B291" s="11">
        <v>4431.169922</v>
      </c>
      <c r="C291" s="14">
        <f t="shared" si="2"/>
        <v>1.7383226714833278E-2</v>
      </c>
      <c r="D291" s="15">
        <v>41218</v>
      </c>
      <c r="E291" s="16">
        <v>18683.679688</v>
      </c>
      <c r="F291" s="14">
        <f t="shared" si="3"/>
        <v>-3.8265962154238053E-3</v>
      </c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</row>
    <row r="292" spans="1:23">
      <c r="A292" s="13">
        <v>41211</v>
      </c>
      <c r="B292" s="11">
        <v>4355.4580079999996</v>
      </c>
      <c r="C292" s="14">
        <f t="shared" si="2"/>
        <v>2.7633856831543513E-2</v>
      </c>
      <c r="D292" s="15">
        <v>41211</v>
      </c>
      <c r="E292" s="16">
        <v>18755.449218999998</v>
      </c>
      <c r="F292" s="14">
        <f t="shared" si="3"/>
        <v>6.9856107909844756E-3</v>
      </c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</row>
    <row r="293" spans="1:23">
      <c r="A293" s="13">
        <v>41204</v>
      </c>
      <c r="B293" s="11">
        <v>4238.3364259999998</v>
      </c>
      <c r="C293" s="14">
        <f t="shared" si="2"/>
        <v>-2.4513279896308138E-2</v>
      </c>
      <c r="D293" s="15">
        <v>41204</v>
      </c>
      <c r="E293" s="16">
        <v>18625.339843999998</v>
      </c>
      <c r="F293" s="14">
        <f t="shared" si="3"/>
        <v>-3.0494463121506499E-3</v>
      </c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</row>
    <row r="294" spans="1:23">
      <c r="A294" s="13">
        <v>41197</v>
      </c>
      <c r="B294" s="11">
        <v>4344.8427730000003</v>
      </c>
      <c r="C294" s="14">
        <f t="shared" si="2"/>
        <v>1.8919937024510558E-2</v>
      </c>
      <c r="D294" s="15">
        <v>41197</v>
      </c>
      <c r="E294" s="16">
        <v>18682.310547000001</v>
      </c>
      <c r="F294" s="14">
        <f t="shared" si="3"/>
        <v>3.818361653882274E-4</v>
      </c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</row>
    <row r="295" spans="1:23">
      <c r="A295" s="13">
        <v>41190</v>
      </c>
      <c r="B295" s="11">
        <v>4264.1650390000004</v>
      </c>
      <c r="C295" s="14">
        <f t="shared" si="2"/>
        <v>1.7556055116947356E-2</v>
      </c>
      <c r="D295" s="15">
        <v>41190</v>
      </c>
      <c r="E295" s="16">
        <v>18675.179688</v>
      </c>
      <c r="F295" s="14">
        <f t="shared" si="3"/>
        <v>-1.3901934843698172E-2</v>
      </c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</row>
    <row r="296" spans="1:23">
      <c r="A296" s="13">
        <v>41183</v>
      </c>
      <c r="B296" s="11">
        <v>4190.5947269999997</v>
      </c>
      <c r="C296" s="14">
        <f t="shared" si="2"/>
        <v>4.4877562488961686E-2</v>
      </c>
      <c r="D296" s="15">
        <v>41183</v>
      </c>
      <c r="E296" s="16">
        <v>18938.460938</v>
      </c>
      <c r="F296" s="14">
        <f t="shared" si="3"/>
        <v>9.3654072810525069E-3</v>
      </c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</row>
    <row r="297" spans="1:23">
      <c r="A297" s="13">
        <v>41176</v>
      </c>
      <c r="B297" s="11">
        <v>4010.6083979999999</v>
      </c>
      <c r="C297" s="14">
        <f t="shared" si="2"/>
        <v>1.0989990235434233E-2</v>
      </c>
      <c r="D297" s="15">
        <v>41176</v>
      </c>
      <c r="E297" s="16">
        <v>18762.740234000001</v>
      </c>
      <c r="F297" s="14">
        <f t="shared" si="3"/>
        <v>5.2846188862054611E-4</v>
      </c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</row>
    <row r="298" spans="1:23">
      <c r="A298" s="13">
        <v>41169</v>
      </c>
      <c r="B298" s="11">
        <v>3967.0109859999998</v>
      </c>
      <c r="C298" s="14">
        <f t="shared" si="2"/>
        <v>-3.0137761674595254E-2</v>
      </c>
      <c r="D298" s="15">
        <v>41169</v>
      </c>
      <c r="E298" s="16">
        <v>18752.830077999999</v>
      </c>
      <c r="F298" s="14">
        <f t="shared" si="3"/>
        <v>1.5628051059129566E-2</v>
      </c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</row>
    <row r="299" spans="1:23">
      <c r="A299" s="13">
        <v>41162</v>
      </c>
      <c r="B299" s="11">
        <v>4090.2829590000001</v>
      </c>
      <c r="C299" s="14">
        <f t="shared" si="2"/>
        <v>-2.4637541354006642E-2</v>
      </c>
      <c r="D299" s="15">
        <v>41162</v>
      </c>
      <c r="E299" s="16">
        <v>18464.269531000002</v>
      </c>
      <c r="F299" s="14">
        <f t="shared" si="3"/>
        <v>4.4138823726606047E-2</v>
      </c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</row>
    <row r="300" spans="1:23">
      <c r="A300" s="13">
        <v>41155</v>
      </c>
      <c r="B300" s="11">
        <v>4193.6030270000001</v>
      </c>
      <c r="C300" s="14">
        <f t="shared" si="2"/>
        <v>-7.0108730095105321E-3</v>
      </c>
      <c r="D300" s="15">
        <v>41155</v>
      </c>
      <c r="E300" s="16">
        <v>17683.730468999998</v>
      </c>
      <c r="F300" s="14">
        <f t="shared" si="3"/>
        <v>1.7431955985788727E-2</v>
      </c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</row>
    <row r="301" spans="1:23">
      <c r="A301" s="13">
        <v>41148</v>
      </c>
      <c r="B301" s="11">
        <v>4223.2114259999998</v>
      </c>
      <c r="C301" s="14">
        <f t="shared" si="2"/>
        <v>-1.5922707792241031E-2</v>
      </c>
      <c r="D301" s="15">
        <v>41148</v>
      </c>
      <c r="E301" s="16">
        <v>17380.75</v>
      </c>
      <c r="F301" s="14">
        <f t="shared" si="3"/>
        <v>-2.2631511227255485E-2</v>
      </c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</row>
    <row r="302" spans="1:23">
      <c r="A302" s="13">
        <v>41141</v>
      </c>
      <c r="B302" s="11">
        <v>4291.5444340000004</v>
      </c>
      <c r="C302" s="14">
        <f t="shared" si="2"/>
        <v>5.5966983109821289E-2</v>
      </c>
      <c r="D302" s="15">
        <v>41141</v>
      </c>
      <c r="E302" s="16">
        <v>17783.210938</v>
      </c>
      <c r="F302" s="14">
        <f t="shared" si="3"/>
        <v>5.2077577849287682E-3</v>
      </c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</row>
    <row r="303" spans="1:23">
      <c r="A303" s="13">
        <v>41134</v>
      </c>
      <c r="B303" s="11">
        <v>4064.0895999999998</v>
      </c>
      <c r="C303" s="14">
        <f t="shared" si="2"/>
        <v>1.3991508095669847E-2</v>
      </c>
      <c r="D303" s="15">
        <v>41134</v>
      </c>
      <c r="E303" s="16">
        <v>17691.080077999999</v>
      </c>
      <c r="F303" s="14">
        <f t="shared" si="3"/>
        <v>7.594362498984264E-3</v>
      </c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</row>
    <row r="304" spans="1:23">
      <c r="A304" s="13">
        <v>41127</v>
      </c>
      <c r="B304" s="11">
        <v>4008.0114749999998</v>
      </c>
      <c r="C304" s="14">
        <f t="shared" si="2"/>
        <v>1.0582581724586593E-2</v>
      </c>
      <c r="D304" s="15">
        <v>41127</v>
      </c>
      <c r="E304" s="16">
        <v>17557.740234000001</v>
      </c>
      <c r="F304" s="14">
        <f t="shared" si="3"/>
        <v>2.0921736076817465E-2</v>
      </c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</row>
    <row r="305" spans="1:23">
      <c r="A305" s="13">
        <v>41120</v>
      </c>
      <c r="B305" s="11">
        <v>3966.0405270000001</v>
      </c>
      <c r="C305" s="14">
        <f t="shared" si="2"/>
        <v>-1.9319374112371057E-2</v>
      </c>
      <c r="D305" s="15">
        <v>41120</v>
      </c>
      <c r="E305" s="16">
        <v>17197.929688</v>
      </c>
      <c r="F305" s="14">
        <f t="shared" si="3"/>
        <v>2.1303889715195812E-2</v>
      </c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</row>
    <row r="306" spans="1:23">
      <c r="A306" s="13">
        <v>41113</v>
      </c>
      <c r="B306" s="11">
        <v>4044.1713869999999</v>
      </c>
      <c r="C306" s="14">
        <f t="shared" si="2"/>
        <v>-1.2879403945019963E-2</v>
      </c>
      <c r="D306" s="15">
        <v>41113</v>
      </c>
      <c r="E306" s="16">
        <v>16839.189452999999</v>
      </c>
      <c r="F306" s="14">
        <f t="shared" si="3"/>
        <v>-1.8606004402351495E-2</v>
      </c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</row>
    <row r="307" spans="1:23">
      <c r="A307" s="13">
        <v>41106</v>
      </c>
      <c r="B307" s="11">
        <v>4096.9375</v>
      </c>
      <c r="C307" s="14">
        <f t="shared" si="2"/>
        <v>7.1830801969776648E-3</v>
      </c>
      <c r="D307" s="15">
        <v>41106</v>
      </c>
      <c r="E307" s="16">
        <v>17158.439452999999</v>
      </c>
      <c r="F307" s="14">
        <f t="shared" si="3"/>
        <v>-3.2102202610235775E-3</v>
      </c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</row>
    <row r="308" spans="1:23">
      <c r="A308" s="13">
        <v>41099</v>
      </c>
      <c r="B308" s="11">
        <v>4067.71875</v>
      </c>
      <c r="C308" s="14">
        <f t="shared" si="2"/>
        <v>1.0242993684949075E-2</v>
      </c>
      <c r="D308" s="15">
        <v>41099</v>
      </c>
      <c r="E308" s="16">
        <v>17213.699218999998</v>
      </c>
      <c r="F308" s="14">
        <f t="shared" si="3"/>
        <v>-1.7545678419629507E-2</v>
      </c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</row>
    <row r="309" spans="1:23">
      <c r="A309" s="13">
        <v>41092</v>
      </c>
      <c r="B309" s="11">
        <v>4026.475586</v>
      </c>
      <c r="C309" s="14">
        <f t="shared" si="2"/>
        <v>-2.2438498621318193E-2</v>
      </c>
      <c r="D309" s="15">
        <v>41092</v>
      </c>
      <c r="E309" s="16">
        <v>17521.119140999999</v>
      </c>
      <c r="F309" s="14">
        <f t="shared" si="3"/>
        <v>5.2288453313011907E-3</v>
      </c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</row>
    <row r="310" spans="1:23">
      <c r="A310" s="13">
        <v>41085</v>
      </c>
      <c r="B310" s="11">
        <v>4118.8974609999996</v>
      </c>
      <c r="C310" s="14">
        <f t="shared" si="2"/>
        <v>5.3043781203991891E-3</v>
      </c>
      <c r="D310" s="15">
        <v>41085</v>
      </c>
      <c r="E310" s="16">
        <v>17429.980468999998</v>
      </c>
      <c r="F310" s="14">
        <f t="shared" si="3"/>
        <v>2.6953627324841634E-2</v>
      </c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</row>
    <row r="311" spans="1:23">
      <c r="A311" s="13">
        <v>41078</v>
      </c>
      <c r="B311" s="11">
        <v>4097.1645509999998</v>
      </c>
      <c r="C311" s="14">
        <f t="shared" si="2"/>
        <v>7.8699783889280006E-4</v>
      </c>
      <c r="D311" s="15">
        <v>41078</v>
      </c>
      <c r="E311" s="16">
        <v>16972.509765999999</v>
      </c>
      <c r="F311" s="14">
        <f t="shared" si="3"/>
        <v>1.3380481040596859E-3</v>
      </c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</row>
    <row r="312" spans="1:23">
      <c r="A312" s="13">
        <v>41071</v>
      </c>
      <c r="B312" s="11">
        <v>4093.9426269999999</v>
      </c>
      <c r="C312" s="14">
        <f t="shared" si="2"/>
        <v>-1.1181494715303275E-3</v>
      </c>
      <c r="D312" s="15">
        <v>41071</v>
      </c>
      <c r="E312" s="16">
        <v>16949.830077999999</v>
      </c>
      <c r="F312" s="14">
        <f t="shared" si="3"/>
        <v>1.3814387507442794E-2</v>
      </c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</row>
    <row r="313" spans="1:23">
      <c r="A313" s="13">
        <v>41064</v>
      </c>
      <c r="B313" s="11">
        <v>4098.5253910000001</v>
      </c>
      <c r="C313" s="14">
        <f t="shared" si="2"/>
        <v>-1.4585086390070168E-2</v>
      </c>
      <c r="D313" s="15">
        <v>41064</v>
      </c>
      <c r="E313" s="16">
        <v>16718.869140999999</v>
      </c>
      <c r="F313" s="14">
        <f t="shared" si="3"/>
        <v>4.7209610028042359E-2</v>
      </c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</row>
    <row r="314" spans="1:23">
      <c r="A314" s="13">
        <v>41057</v>
      </c>
      <c r="B314" s="11">
        <v>4159.1875</v>
      </c>
      <c r="C314" s="14">
        <f t="shared" si="2"/>
        <v>1.2111811663616079E-2</v>
      </c>
      <c r="D314" s="15">
        <v>41057</v>
      </c>
      <c r="E314" s="16">
        <v>15965.160156</v>
      </c>
      <c r="F314" s="14">
        <f t="shared" si="3"/>
        <v>-1.5579168601188131E-2</v>
      </c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</row>
    <row r="315" spans="1:23">
      <c r="A315" s="13">
        <v>41050</v>
      </c>
      <c r="B315" s="11">
        <v>4109.4150390000004</v>
      </c>
      <c r="C315" s="14">
        <f t="shared" si="2"/>
        <v>-3.6427075188102176E-2</v>
      </c>
      <c r="D315" s="15">
        <v>41050</v>
      </c>
      <c r="E315" s="16">
        <v>16217.820313</v>
      </c>
      <c r="F315" s="14">
        <f t="shared" si="3"/>
        <v>4.02843559146282E-3</v>
      </c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</row>
    <row r="316" spans="1:23">
      <c r="A316" s="13">
        <v>41043</v>
      </c>
      <c r="B316" s="11">
        <v>4264.7680659999996</v>
      </c>
      <c r="C316" s="14">
        <f t="shared" si="2"/>
        <v>3.0781914566278212E-2</v>
      </c>
      <c r="D316" s="15">
        <v>41043</v>
      </c>
      <c r="E316" s="16">
        <v>16152.75</v>
      </c>
      <c r="F316" s="14">
        <f t="shared" si="3"/>
        <v>-8.6068027434765826E-3</v>
      </c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</row>
    <row r="317" spans="1:23">
      <c r="A317" s="13">
        <v>41036</v>
      </c>
      <c r="B317" s="11">
        <v>4137.4106449999999</v>
      </c>
      <c r="C317" s="14">
        <f t="shared" si="2"/>
        <v>-1.9588816270532661E-3</v>
      </c>
      <c r="D317" s="15">
        <v>41036</v>
      </c>
      <c r="E317" s="16">
        <v>16292.980469</v>
      </c>
      <c r="F317" s="14">
        <f t="shared" si="3"/>
        <v>-3.1970592885678939E-2</v>
      </c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</row>
    <row r="318" spans="1:23">
      <c r="A318" s="13">
        <v>41029</v>
      </c>
      <c r="B318" s="11">
        <v>4145.53125</v>
      </c>
      <c r="C318" s="14">
        <f t="shared" si="2"/>
        <v>-2.7182364721005214E-2</v>
      </c>
      <c r="D318" s="15">
        <v>41029</v>
      </c>
      <c r="E318" s="16">
        <v>16831.080077999999</v>
      </c>
      <c r="F318" s="14">
        <f t="shared" si="3"/>
        <v>-1.7693795876679852E-2</v>
      </c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</row>
    <row r="319" spans="1:23">
      <c r="A319" s="13">
        <v>41022</v>
      </c>
      <c r="B319" s="11">
        <v>4261.3652339999999</v>
      </c>
      <c r="C319" s="14">
        <f t="shared" si="2"/>
        <v>-5.6781126107802171E-2</v>
      </c>
      <c r="D319" s="15">
        <v>41022</v>
      </c>
      <c r="E319" s="16">
        <v>17134.25</v>
      </c>
      <c r="F319" s="14">
        <f t="shared" si="3"/>
        <v>-1.3790264337145919E-2</v>
      </c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</row>
    <row r="320" spans="1:23">
      <c r="A320" s="13">
        <v>41015</v>
      </c>
      <c r="B320" s="11">
        <v>4517.8964839999999</v>
      </c>
      <c r="C320" s="14">
        <f t="shared" si="2"/>
        <v>1.1395874895532732E-2</v>
      </c>
      <c r="D320" s="15">
        <v>41015</v>
      </c>
      <c r="E320" s="16">
        <v>17373.839843999998</v>
      </c>
      <c r="F320" s="14">
        <f t="shared" si="3"/>
        <v>1.6340338613018979E-2</v>
      </c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</row>
    <row r="321" spans="1:23">
      <c r="A321" s="13">
        <v>41008</v>
      </c>
      <c r="B321" s="11">
        <v>4466.9912109999996</v>
      </c>
      <c r="C321" s="14">
        <f t="shared" si="2"/>
        <v>5.0221669915246236E-2</v>
      </c>
      <c r="D321" s="15">
        <v>41008</v>
      </c>
      <c r="E321" s="16">
        <v>17094.509765999999</v>
      </c>
      <c r="F321" s="14">
        <f t="shared" si="3"/>
        <v>-2.2389873481835965E-2</v>
      </c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</row>
    <row r="322" spans="1:23">
      <c r="A322" s="13">
        <v>41001</v>
      </c>
      <c r="B322" s="11">
        <v>4253.3793949999999</v>
      </c>
      <c r="C322" s="14">
        <f t="shared" si="2"/>
        <v>1.2233835920909986E-2</v>
      </c>
      <c r="D322" s="15">
        <v>41001</v>
      </c>
      <c r="E322" s="16">
        <v>17486.019531000002</v>
      </c>
      <c r="F322" s="14">
        <f t="shared" si="3"/>
        <v>4.7011822244991119E-3</v>
      </c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</row>
    <row r="323" spans="1:23">
      <c r="A323" s="13">
        <v>40994</v>
      </c>
      <c r="B323" s="11">
        <v>4201.9731449999999</v>
      </c>
      <c r="C323" s="14">
        <f t="shared" si="2"/>
        <v>8.4813942502877104E-3</v>
      </c>
      <c r="D323" s="15">
        <v>40994</v>
      </c>
      <c r="E323" s="16">
        <v>17404.199218999998</v>
      </c>
      <c r="F323" s="14">
        <f t="shared" si="3"/>
        <v>2.445548915473772E-3</v>
      </c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</row>
    <row r="324" spans="1:23">
      <c r="A324" s="13">
        <v>40987</v>
      </c>
      <c r="B324" s="11">
        <v>4166.6342770000001</v>
      </c>
      <c r="C324" s="14">
        <f t="shared" si="2"/>
        <v>4.9432723841476012E-2</v>
      </c>
      <c r="D324" s="15">
        <v>40987</v>
      </c>
      <c r="E324" s="16">
        <v>17361.740234000001</v>
      </c>
      <c r="F324" s="14">
        <f t="shared" si="3"/>
        <v>-5.9806362958670922E-3</v>
      </c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</row>
    <row r="325" spans="1:23">
      <c r="A325" s="13">
        <v>40980</v>
      </c>
      <c r="B325" s="11">
        <v>3970.368164</v>
      </c>
      <c r="C325" s="14">
        <f t="shared" si="2"/>
        <v>-1.4077438716578294E-2</v>
      </c>
      <c r="D325" s="15">
        <v>40980</v>
      </c>
      <c r="E325" s="16">
        <v>17466.199218999998</v>
      </c>
      <c r="F325" s="14">
        <f t="shared" si="3"/>
        <v>-2.1162375939999256E-3</v>
      </c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</row>
    <row r="326" spans="1:23">
      <c r="A326" s="13">
        <v>40973</v>
      </c>
      <c r="B326" s="11">
        <v>4027.0588379999999</v>
      </c>
      <c r="C326" s="14">
        <f t="shared" si="2"/>
        <v>6.9117762650339198E-3</v>
      </c>
      <c r="D326" s="15">
        <v>40973</v>
      </c>
      <c r="E326" s="16">
        <v>17503.240234000001</v>
      </c>
      <c r="F326" s="14">
        <f t="shared" si="3"/>
        <v>-7.5728330017700296E-3</v>
      </c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</row>
    <row r="327" spans="1:23">
      <c r="A327" s="13">
        <v>40966</v>
      </c>
      <c r="B327" s="11">
        <v>3999.4157709999999</v>
      </c>
      <c r="C327" s="14">
        <f t="shared" si="2"/>
        <v>4.4658782708184575E-3</v>
      </c>
      <c r="D327" s="15">
        <v>40966</v>
      </c>
      <c r="E327" s="16">
        <v>17636.800781000002</v>
      </c>
      <c r="F327" s="14">
        <f t="shared" si="3"/>
        <v>-1.5999576367438539E-2</v>
      </c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</row>
    <row r="328" spans="1:23">
      <c r="A328" s="13">
        <v>40959</v>
      </c>
      <c r="B328" s="11">
        <v>3981.6342770000001</v>
      </c>
      <c r="C328" s="14">
        <f t="shared" si="2"/>
        <v>9.9151272335613605E-3</v>
      </c>
      <c r="D328" s="15">
        <v>40959</v>
      </c>
      <c r="E328" s="16">
        <v>17923.570313</v>
      </c>
      <c r="F328" s="14">
        <f t="shared" si="3"/>
        <v>-1.9999579198814343E-2</v>
      </c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</row>
    <row r="329" spans="1:23">
      <c r="A329" s="13">
        <v>40952</v>
      </c>
      <c r="B329" s="11">
        <v>3942.5434570000002</v>
      </c>
      <c r="C329" s="14">
        <f t="shared" si="2"/>
        <v>1.673156646525098E-2</v>
      </c>
      <c r="D329" s="15">
        <v>40952</v>
      </c>
      <c r="E329" s="16">
        <v>18289.349609000001</v>
      </c>
      <c r="F329" s="14">
        <f t="shared" si="3"/>
        <v>3.0461976216988651E-2</v>
      </c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</row>
    <row r="330" spans="1:23">
      <c r="A330" s="13">
        <v>40945</v>
      </c>
      <c r="B330" s="11">
        <v>3877.6640630000002</v>
      </c>
      <c r="C330" s="14">
        <f t="shared" si="2"/>
        <v>1.1065444795455237E-2</v>
      </c>
      <c r="D330" s="15">
        <v>40945</v>
      </c>
      <c r="E330" s="16">
        <v>17748.689452999999</v>
      </c>
      <c r="F330" s="14">
        <f t="shared" si="3"/>
        <v>8.1640916731466895E-3</v>
      </c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</row>
    <row r="331" spans="1:23">
      <c r="A331" s="13">
        <v>40938</v>
      </c>
      <c r="B331" s="11">
        <v>3835.225586</v>
      </c>
      <c r="C331" s="14">
        <f t="shared" si="2"/>
        <v>-9.997216420474575E-3</v>
      </c>
      <c r="D331" s="15">
        <v>40938</v>
      </c>
      <c r="E331" s="16">
        <v>17604.960938</v>
      </c>
      <c r="F331" s="14">
        <f t="shared" si="3"/>
        <v>2.1526104759565623E-2</v>
      </c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</row>
    <row r="332" spans="1:23">
      <c r="A332" s="13">
        <v>40931</v>
      </c>
      <c r="B332" s="11">
        <v>3873.954346</v>
      </c>
      <c r="C332" s="14">
        <f t="shared" si="2"/>
        <v>3.3282944788290747E-2</v>
      </c>
      <c r="D332" s="15">
        <v>40931</v>
      </c>
      <c r="E332" s="16">
        <v>17233.980468999998</v>
      </c>
      <c r="F332" s="14">
        <f t="shared" si="3"/>
        <v>2.9569891524012126E-2</v>
      </c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</row>
    <row r="333" spans="1:23">
      <c r="A333" s="13">
        <v>40924</v>
      </c>
      <c r="B333" s="11">
        <v>3749.1708979999999</v>
      </c>
      <c r="C333" s="14">
        <f t="shared" si="2"/>
        <v>5.0758909885266545E-2</v>
      </c>
      <c r="D333" s="15">
        <v>40924</v>
      </c>
      <c r="E333" s="16">
        <v>16739.009765999999</v>
      </c>
      <c r="F333" s="14">
        <f t="shared" si="3"/>
        <v>3.6174768875253616E-2</v>
      </c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</row>
    <row r="334" spans="1:23">
      <c r="A334" s="13">
        <v>40917</v>
      </c>
      <c r="B334" s="11">
        <v>3568.0600589999999</v>
      </c>
      <c r="C334" s="14">
        <f t="shared" si="2"/>
        <v>-4.5103625191985408E-2</v>
      </c>
      <c r="D334" s="15">
        <v>40917</v>
      </c>
      <c r="E334" s="16">
        <v>16154.620117</v>
      </c>
      <c r="F334" s="14">
        <f t="shared" si="3"/>
        <v>1.8080068133277338E-2</v>
      </c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</row>
    <row r="335" spans="1:23">
      <c r="A335" s="13">
        <v>40910</v>
      </c>
      <c r="B335" s="11">
        <v>3736.5939939999998</v>
      </c>
      <c r="C335" s="14">
        <f t="shared" si="2"/>
        <v>8.4374858064273361E-3</v>
      </c>
      <c r="D335" s="15">
        <v>40910</v>
      </c>
      <c r="E335" s="16">
        <v>15867.730469</v>
      </c>
      <c r="F335" s="14">
        <f t="shared" si="3"/>
        <v>2.6710623483229279E-2</v>
      </c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</row>
    <row r="336" spans="1:23">
      <c r="A336" s="13">
        <v>40903</v>
      </c>
      <c r="B336" s="11">
        <v>3705.3303219999998</v>
      </c>
      <c r="C336" s="14">
        <f t="shared" si="2"/>
        <v>1.810608409436254E-3</v>
      </c>
      <c r="D336" s="15">
        <v>40903</v>
      </c>
      <c r="E336" s="16">
        <v>15454.919921999999</v>
      </c>
      <c r="F336" s="14">
        <f t="shared" si="3"/>
        <v>-1.8030731222020147E-2</v>
      </c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</row>
    <row r="337" spans="1:23">
      <c r="A337" s="13">
        <v>40896</v>
      </c>
      <c r="B337" s="11">
        <v>3698.6335450000001</v>
      </c>
      <c r="C337" s="14">
        <f t="shared" si="2"/>
        <v>-2.2081462849302902E-2</v>
      </c>
      <c r="D337" s="15">
        <v>40896</v>
      </c>
      <c r="E337" s="16">
        <v>15738.700194999999</v>
      </c>
      <c r="F337" s="14">
        <f t="shared" si="3"/>
        <v>1.5967013348940018E-2</v>
      </c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</row>
    <row r="338" spans="1:23">
      <c r="A338" s="13">
        <v>40889</v>
      </c>
      <c r="B338" s="11">
        <v>3782.1489259999998</v>
      </c>
      <c r="C338" s="14">
        <f t="shared" si="2"/>
        <v>3.8897313446162318E-3</v>
      </c>
      <c r="D338" s="15">
        <v>40889</v>
      </c>
      <c r="E338" s="16">
        <v>15491.349609000001</v>
      </c>
      <c r="F338" s="14">
        <f t="shared" si="3"/>
        <v>-4.4537708406285237E-2</v>
      </c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</row>
    <row r="339" spans="1:23">
      <c r="A339" s="13">
        <v>40882</v>
      </c>
      <c r="B339" s="11">
        <v>3767.494385</v>
      </c>
      <c r="C339" s="14">
        <f t="shared" si="2"/>
        <v>-7.6136732633771409E-3</v>
      </c>
      <c r="D339" s="15">
        <v>40882</v>
      </c>
      <c r="E339" s="16">
        <v>16213.459961</v>
      </c>
      <c r="F339" s="14">
        <f t="shared" si="3"/>
        <v>-3.7595803724945642E-2</v>
      </c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</row>
    <row r="340" spans="1:23">
      <c r="A340" s="13">
        <v>40875</v>
      </c>
      <c r="B340" s="11">
        <v>3796.3989259999998</v>
      </c>
      <c r="C340" s="14">
        <f t="shared" si="2"/>
        <v>6.1950357093083497E-3</v>
      </c>
      <c r="D340" s="15">
        <v>40875</v>
      </c>
      <c r="E340" s="16">
        <v>16846.830077999999</v>
      </c>
      <c r="F340" s="14">
        <f t="shared" si="3"/>
        <v>7.3358959447940908E-2</v>
      </c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</row>
    <row r="341" spans="1:23">
      <c r="A341" s="13">
        <v>40868</v>
      </c>
      <c r="B341" s="11">
        <v>3773.0249020000001</v>
      </c>
      <c r="C341" s="14">
        <f t="shared" si="2"/>
        <v>-5.2235471886784235E-2</v>
      </c>
      <c r="D341" s="15">
        <v>40868</v>
      </c>
      <c r="E341" s="16">
        <v>15695.429688</v>
      </c>
      <c r="F341" s="14">
        <f t="shared" si="3"/>
        <v>-4.1296135033560999E-2</v>
      </c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</row>
    <row r="342" spans="1:23">
      <c r="A342" s="13">
        <v>40861</v>
      </c>
      <c r="B342" s="11">
        <v>3980.9729000000002</v>
      </c>
      <c r="C342" s="14">
        <f t="shared" si="2"/>
        <v>-1.3490192675342572E-2</v>
      </c>
      <c r="D342" s="15">
        <v>40861</v>
      </c>
      <c r="E342" s="16">
        <v>16371.509765999999</v>
      </c>
      <c r="F342" s="14">
        <f t="shared" si="3"/>
        <v>-4.7770553757197298E-2</v>
      </c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</row>
    <row r="343" spans="1:23">
      <c r="A343" s="13">
        <v>40854</v>
      </c>
      <c r="B343" s="11">
        <v>4035.4113769999999</v>
      </c>
      <c r="C343" s="14">
        <f t="shared" si="2"/>
        <v>-1.9788287260018578E-3</v>
      </c>
      <c r="D343" s="15">
        <v>40854</v>
      </c>
      <c r="E343" s="16">
        <v>17192.820313</v>
      </c>
      <c r="F343" s="14">
        <f t="shared" si="3"/>
        <v>-2.1055473825340898E-2</v>
      </c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</row>
    <row r="344" spans="1:23">
      <c r="A344" s="13">
        <v>40847</v>
      </c>
      <c r="B344" s="11">
        <v>4043.4125979999999</v>
      </c>
      <c r="C344" s="14">
        <f t="shared" si="2"/>
        <v>5.6657619209246723E-2</v>
      </c>
      <c r="D344" s="15">
        <v>40847</v>
      </c>
      <c r="E344" s="16">
        <v>17562.609375</v>
      </c>
      <c r="F344" s="14">
        <f t="shared" si="3"/>
        <v>-1.3602590053040653E-2</v>
      </c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</row>
    <row r="345" spans="1:23">
      <c r="A345" s="13">
        <v>40840</v>
      </c>
      <c r="B345" s="11">
        <v>3826.6062010000001</v>
      </c>
      <c r="C345" s="14">
        <f t="shared" si="2"/>
        <v>-1.1668267470398397E-2</v>
      </c>
      <c r="D345" s="15">
        <v>40840</v>
      </c>
      <c r="E345" s="16">
        <v>17804.800781000002</v>
      </c>
      <c r="F345" s="14">
        <f t="shared" si="3"/>
        <v>6.0716190627964295E-2</v>
      </c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</row>
    <row r="346" spans="1:23">
      <c r="A346" s="13">
        <v>40833</v>
      </c>
      <c r="B346" s="11">
        <v>3871.783203</v>
      </c>
      <c r="C346" s="14">
        <f t="shared" si="2"/>
        <v>2.9880570548437735E-2</v>
      </c>
      <c r="D346" s="15">
        <v>40833</v>
      </c>
      <c r="E346" s="16">
        <v>16785.640625</v>
      </c>
      <c r="F346" s="14">
        <f t="shared" si="3"/>
        <v>-1.7388879474586005E-2</v>
      </c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</row>
    <row r="347" spans="1:23">
      <c r="A347" s="13">
        <v>40826</v>
      </c>
      <c r="B347" s="11">
        <v>3759.4487300000001</v>
      </c>
      <c r="C347" s="14">
        <f t="shared" si="2"/>
        <v>-7.7473755515609088E-3</v>
      </c>
      <c r="D347" s="15">
        <v>40826</v>
      </c>
      <c r="E347" s="16">
        <v>17082.689452999999</v>
      </c>
      <c r="F347" s="14">
        <f t="shared" si="3"/>
        <v>5.2373159835580108E-2</v>
      </c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</row>
    <row r="348" spans="1:23">
      <c r="A348" s="13">
        <v>40819</v>
      </c>
      <c r="B348" s="11">
        <v>3788.8020019999999</v>
      </c>
      <c r="C348" s="14">
        <f t="shared" si="2"/>
        <v>-8.9017850441883706E-3</v>
      </c>
      <c r="D348" s="15">
        <v>40819</v>
      </c>
      <c r="E348" s="16">
        <v>16232.540039</v>
      </c>
      <c r="F348" s="14">
        <f t="shared" si="3"/>
        <v>-1.3444934783667373E-2</v>
      </c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</row>
    <row r="349" spans="1:23">
      <c r="A349" s="13">
        <v>40812</v>
      </c>
      <c r="B349" s="11">
        <v>3822.8320309999999</v>
      </c>
      <c r="C349" s="14">
        <f t="shared" si="2"/>
        <v>-1.3708218336152989E-2</v>
      </c>
      <c r="D349" s="15">
        <v>40812</v>
      </c>
      <c r="E349" s="16">
        <v>16453.759765999999</v>
      </c>
      <c r="F349" s="14">
        <f t="shared" si="3"/>
        <v>1.804845445202119E-2</v>
      </c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</row>
    <row r="350" spans="1:23">
      <c r="A350" s="13">
        <v>40805</v>
      </c>
      <c r="B350" s="11">
        <v>3875.9645999999998</v>
      </c>
      <c r="C350" s="14">
        <f t="shared" si="2"/>
        <v>3.1399641628459429E-2</v>
      </c>
      <c r="D350" s="15">
        <v>40805</v>
      </c>
      <c r="E350" s="16">
        <v>16162.059569999999</v>
      </c>
      <c r="F350" s="14">
        <f t="shared" si="3"/>
        <v>-4.5575661527551548E-2</v>
      </c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</row>
    <row r="351" spans="1:23">
      <c r="A351" s="13">
        <v>40798</v>
      </c>
      <c r="B351" s="11">
        <v>3757.9658199999999</v>
      </c>
      <c r="C351" s="14">
        <f t="shared" si="2"/>
        <v>-4.7228477765592247E-2</v>
      </c>
      <c r="D351" s="15">
        <v>40798</v>
      </c>
      <c r="E351" s="16">
        <v>16933.830077999999</v>
      </c>
      <c r="F351" s="14">
        <f t="shared" si="3"/>
        <v>3.963923112056511E-3</v>
      </c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</row>
    <row r="352" spans="1:23">
      <c r="A352" s="13">
        <v>40791</v>
      </c>
      <c r="B352" s="11">
        <v>3944.2465820000002</v>
      </c>
      <c r="C352" s="14">
        <f t="shared" si="2"/>
        <v>-2.3385655820549855E-2</v>
      </c>
      <c r="D352" s="15">
        <v>40791</v>
      </c>
      <c r="E352" s="16">
        <v>16866.970702999999</v>
      </c>
      <c r="F352" s="14">
        <f t="shared" si="3"/>
        <v>2.7054585310835044E-3</v>
      </c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</row>
    <row r="353" spans="1:23">
      <c r="A353" s="13">
        <v>40784</v>
      </c>
      <c r="B353" s="11">
        <v>4038.6940920000002</v>
      </c>
      <c r="C353" s="14">
        <f t="shared" si="2"/>
        <v>2.56052717009847E-2</v>
      </c>
      <c r="D353" s="15">
        <v>40784</v>
      </c>
      <c r="E353" s="16">
        <v>16821.460938</v>
      </c>
      <c r="F353" s="14">
        <f t="shared" si="3"/>
        <v>6.1369252822649933E-2</v>
      </c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</row>
    <row r="354" spans="1:23">
      <c r="A354" s="13">
        <v>40777</v>
      </c>
      <c r="B354" s="11">
        <v>3937.8640140000002</v>
      </c>
      <c r="C354" s="14">
        <f t="shared" si="2"/>
        <v>4.6344603532856965E-2</v>
      </c>
      <c r="D354" s="15">
        <v>40777</v>
      </c>
      <c r="E354" s="16">
        <v>15848.830078000001</v>
      </c>
      <c r="F354" s="14">
        <f t="shared" si="3"/>
        <v>-1.8141855546239261E-2</v>
      </c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</row>
    <row r="355" spans="1:23">
      <c r="A355" s="13">
        <v>40770</v>
      </c>
      <c r="B355" s="11">
        <v>3763.4484859999998</v>
      </c>
      <c r="C355" s="14">
        <f t="shared" si="2"/>
        <v>1.423447019472257E-2</v>
      </c>
      <c r="D355" s="15">
        <v>40770</v>
      </c>
      <c r="E355" s="16">
        <v>16141.669921999999</v>
      </c>
      <c r="F355" s="14">
        <f t="shared" si="3"/>
        <v>-4.1447520010628569E-2</v>
      </c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</row>
    <row r="356" spans="1:23">
      <c r="A356" s="13">
        <v>40763</v>
      </c>
      <c r="B356" s="11">
        <v>3710.6296390000002</v>
      </c>
      <c r="C356" s="14">
        <f t="shared" si="2"/>
        <v>-2.6201454563965387E-2</v>
      </c>
      <c r="D356" s="15">
        <v>40763</v>
      </c>
      <c r="E356" s="16">
        <v>16839.630859000001</v>
      </c>
      <c r="F356" s="14">
        <f t="shared" si="3"/>
        <v>-2.6941049779199755E-2</v>
      </c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</row>
    <row r="357" spans="1:23">
      <c r="A357" s="13">
        <v>40756</v>
      </c>
      <c r="B357" s="11">
        <v>3810.469482</v>
      </c>
      <c r="C357" s="14">
        <f t="shared" si="2"/>
        <v>-2.7923720017210218E-2</v>
      </c>
      <c r="D357" s="15">
        <v>40756</v>
      </c>
      <c r="E357" s="16">
        <v>17305.869140999999</v>
      </c>
      <c r="F357" s="14">
        <f t="shared" si="3"/>
        <v>-4.8981717860699492E-2</v>
      </c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</row>
    <row r="358" spans="1:23">
      <c r="A358" s="13">
        <v>40749</v>
      </c>
      <c r="B358" s="11">
        <v>3919.9284670000002</v>
      </c>
      <c r="C358" s="14">
        <f t="shared" si="2"/>
        <v>1.1753230651415203E-2</v>
      </c>
      <c r="D358" s="15">
        <v>40749</v>
      </c>
      <c r="E358" s="16">
        <v>18197.199218999998</v>
      </c>
      <c r="F358" s="14">
        <f t="shared" si="3"/>
        <v>-2.8046850018182301E-2</v>
      </c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</row>
    <row r="359" spans="1:23">
      <c r="A359" s="13">
        <v>40742</v>
      </c>
      <c r="B359" s="11">
        <v>3874.391846</v>
      </c>
      <c r="C359" s="14">
        <f t="shared" si="2"/>
        <v>-2.0022480252046893E-2</v>
      </c>
      <c r="D359" s="15">
        <v>40742</v>
      </c>
      <c r="E359" s="16">
        <v>18722.300781000002</v>
      </c>
      <c r="F359" s="14">
        <f t="shared" si="3"/>
        <v>8.6403162859201021E-3</v>
      </c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</row>
    <row r="360" spans="1:23">
      <c r="A360" s="13">
        <v>40735</v>
      </c>
      <c r="B360" s="11">
        <v>3953.5517580000001</v>
      </c>
      <c r="C360" s="14">
        <f t="shared" si="2"/>
        <v>3.168357606399419E-2</v>
      </c>
      <c r="D360" s="15">
        <v>40735</v>
      </c>
      <c r="E360" s="16">
        <v>18561.919922000001</v>
      </c>
      <c r="F360" s="14">
        <f t="shared" si="3"/>
        <v>-1.5702541500244971E-2</v>
      </c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</row>
    <row r="361" spans="1:23">
      <c r="A361" s="13">
        <v>40728</v>
      </c>
      <c r="B361" s="11">
        <v>3832.1359859999998</v>
      </c>
      <c r="C361" s="14">
        <f t="shared" si="2"/>
        <v>-9.9758480914552417E-3</v>
      </c>
      <c r="D361" s="15">
        <v>40728</v>
      </c>
      <c r="E361" s="16">
        <v>18858.039063</v>
      </c>
      <c r="F361" s="14">
        <f t="shared" si="3"/>
        <v>5.0759096742336585E-3</v>
      </c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</row>
    <row r="362" spans="1:23">
      <c r="A362" s="13">
        <v>40721</v>
      </c>
      <c r="B362" s="11">
        <v>3870.75</v>
      </c>
      <c r="C362" s="14">
        <f t="shared" si="2"/>
        <v>7.6578807389352077E-2</v>
      </c>
      <c r="D362" s="15">
        <v>40721</v>
      </c>
      <c r="E362" s="16">
        <v>18762.800781000002</v>
      </c>
      <c r="F362" s="14">
        <f t="shared" si="3"/>
        <v>2.8623993290309846E-2</v>
      </c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</row>
    <row r="363" spans="1:23">
      <c r="A363" s="13">
        <v>40714</v>
      </c>
      <c r="B363" s="11">
        <v>3595.4172359999998</v>
      </c>
      <c r="C363" s="14">
        <f t="shared" si="2"/>
        <v>1.5657038076098972E-2</v>
      </c>
      <c r="D363" s="15">
        <v>40714</v>
      </c>
      <c r="E363" s="16">
        <v>18240.679688</v>
      </c>
      <c r="F363" s="14">
        <f t="shared" si="3"/>
        <v>2.0712894668549975E-2</v>
      </c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</row>
    <row r="364" spans="1:23">
      <c r="A364" s="13">
        <v>40707</v>
      </c>
      <c r="B364" s="11">
        <v>3539.9914549999999</v>
      </c>
      <c r="C364" s="14">
        <f t="shared" si="2"/>
        <v>-5.7935412283432242E-2</v>
      </c>
      <c r="D364" s="15">
        <v>40707</v>
      </c>
      <c r="E364" s="16">
        <v>17870.529297000001</v>
      </c>
      <c r="F364" s="14">
        <f t="shared" si="3"/>
        <v>-2.1786622598963246E-2</v>
      </c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</row>
    <row r="365" spans="1:23">
      <c r="A365" s="13">
        <v>40700</v>
      </c>
      <c r="B365" s="11">
        <v>3757.695068</v>
      </c>
      <c r="C365" s="14">
        <f t="shared" si="2"/>
        <v>2.110777735513425E-2</v>
      </c>
      <c r="D365" s="15">
        <v>40700</v>
      </c>
      <c r="E365" s="16">
        <v>18268.539063</v>
      </c>
      <c r="F365" s="14">
        <f t="shared" si="3"/>
        <v>-5.8738889735762134E-3</v>
      </c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</row>
    <row r="366" spans="1:23">
      <c r="A366" s="13">
        <v>40693</v>
      </c>
      <c r="B366" s="11">
        <v>3680.0180660000001</v>
      </c>
      <c r="C366" s="14">
        <f t="shared" si="2"/>
        <v>2.486265323235326E-2</v>
      </c>
      <c r="D366" s="15">
        <v>40693</v>
      </c>
      <c r="E366" s="16">
        <v>18376.480468999998</v>
      </c>
      <c r="F366" s="14">
        <f t="shared" si="3"/>
        <v>6.0429354028930238E-3</v>
      </c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</row>
    <row r="367" spans="1:23">
      <c r="A367" s="13">
        <v>40686</v>
      </c>
      <c r="B367" s="11">
        <v>3590.7426759999998</v>
      </c>
      <c r="C367" s="14">
        <f t="shared" si="2"/>
        <v>-1.5456159550889192E-2</v>
      </c>
      <c r="D367" s="15">
        <v>40686</v>
      </c>
      <c r="E367" s="16">
        <v>18266.099609000001</v>
      </c>
      <c r="F367" s="14">
        <f t="shared" si="3"/>
        <v>-3.2734879895636171E-3</v>
      </c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</row>
    <row r="368" spans="1:23">
      <c r="A368" s="13">
        <v>40679</v>
      </c>
      <c r="B368" s="11">
        <v>3647.1130370000001</v>
      </c>
      <c r="C368" s="14">
        <f t="shared" si="2"/>
        <v>-1.6080905657525846E-2</v>
      </c>
      <c r="D368" s="15">
        <v>40679</v>
      </c>
      <c r="E368" s="16">
        <v>18326.089843999998</v>
      </c>
      <c r="F368" s="14">
        <f t="shared" si="3"/>
        <v>-1.1072600531859655E-2</v>
      </c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</row>
    <row r="369" spans="1:23">
      <c r="A369" s="13">
        <v>40672</v>
      </c>
      <c r="B369" s="11">
        <v>3706.7204590000001</v>
      </c>
      <c r="C369" s="14">
        <f t="shared" si="2"/>
        <v>2.8410947591325231E-2</v>
      </c>
      <c r="D369" s="15">
        <v>40672</v>
      </c>
      <c r="E369" s="16">
        <v>18531.279297000001</v>
      </c>
      <c r="F369" s="14">
        <f t="shared" si="3"/>
        <v>6.7330188234038246E-4</v>
      </c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</row>
    <row r="370" spans="1:23">
      <c r="A370" s="13">
        <v>40665</v>
      </c>
      <c r="B370" s="11">
        <v>3604.3183589999999</v>
      </c>
      <c r="C370" s="14">
        <f t="shared" si="2"/>
        <v>4.0447324996770728E-3</v>
      </c>
      <c r="D370" s="15">
        <v>40665</v>
      </c>
      <c r="E370" s="16">
        <v>18518.810547000001</v>
      </c>
      <c r="F370" s="14">
        <f t="shared" si="3"/>
        <v>-3.2250817871104065E-2</v>
      </c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</row>
    <row r="371" spans="1:23">
      <c r="A371" s="13">
        <v>40658</v>
      </c>
      <c r="B371" s="11">
        <v>3589.7985840000001</v>
      </c>
      <c r="C371" s="14">
        <f t="shared" si="2"/>
        <v>4.9202238859455738E-2</v>
      </c>
      <c r="D371" s="15">
        <v>40658</v>
      </c>
      <c r="E371" s="16">
        <v>19135.960938</v>
      </c>
      <c r="F371" s="14">
        <f t="shared" si="3"/>
        <v>-2.3786554889117406E-2</v>
      </c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</row>
    <row r="372" spans="1:23">
      <c r="A372" s="13">
        <v>40651</v>
      </c>
      <c r="B372" s="11">
        <v>3421.4553219999998</v>
      </c>
      <c r="C372" s="14">
        <f t="shared" si="2"/>
        <v>2.8510164526238446E-2</v>
      </c>
      <c r="D372" s="15">
        <v>40651</v>
      </c>
      <c r="E372" s="16">
        <v>19602.230468999998</v>
      </c>
      <c r="F372" s="14">
        <f t="shared" si="3"/>
        <v>1.1111164828589981E-2</v>
      </c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</row>
    <row r="373" spans="1:23">
      <c r="A373" s="13">
        <v>40644</v>
      </c>
      <c r="B373" s="11">
        <v>3326.6130370000001</v>
      </c>
      <c r="C373" s="14">
        <f t="shared" si="2"/>
        <v>3.7488257446760542E-3</v>
      </c>
      <c r="D373" s="15">
        <v>40644</v>
      </c>
      <c r="E373" s="16">
        <v>19386.820313</v>
      </c>
      <c r="F373" s="14">
        <f t="shared" si="3"/>
        <v>-3.3225753655861112E-3</v>
      </c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</row>
    <row r="374" spans="1:23">
      <c r="A374" s="13">
        <v>40637</v>
      </c>
      <c r="B374" s="11">
        <v>3314.188721</v>
      </c>
      <c r="C374" s="14">
        <f t="shared" si="2"/>
        <v>7.6097827703149878E-3</v>
      </c>
      <c r="D374" s="15">
        <v>40637</v>
      </c>
      <c r="E374" s="16">
        <v>19451.449218999998</v>
      </c>
      <c r="F374" s="14">
        <f t="shared" si="3"/>
        <v>1.599277511957764E-3</v>
      </c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</row>
    <row r="375" spans="1:23">
      <c r="A375" s="13">
        <v>40630</v>
      </c>
      <c r="B375" s="11">
        <v>3289.1589359999998</v>
      </c>
      <c r="C375" s="14">
        <f t="shared" si="2"/>
        <v>-2.5753705975704033E-3</v>
      </c>
      <c r="D375" s="15">
        <v>40630</v>
      </c>
      <c r="E375" s="16">
        <v>19420.390625</v>
      </c>
      <c r="F375" s="14">
        <f t="shared" si="3"/>
        <v>3.2140813701367232E-2</v>
      </c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</row>
    <row r="376" spans="1:23">
      <c r="A376" s="13">
        <v>40623</v>
      </c>
      <c r="B376" s="11">
        <v>3297.6516109999998</v>
      </c>
      <c r="C376" s="14">
        <f t="shared" si="2"/>
        <v>4.440514239054183E-2</v>
      </c>
      <c r="D376" s="15">
        <v>40623</v>
      </c>
      <c r="E376" s="16">
        <v>18815.640625</v>
      </c>
      <c r="F376" s="14">
        <f t="shared" si="3"/>
        <v>5.2398904028724491E-2</v>
      </c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</row>
    <row r="377" spans="1:23">
      <c r="A377" s="13">
        <v>40616</v>
      </c>
      <c r="B377" s="11">
        <v>3157.4448240000002</v>
      </c>
      <c r="C377" s="14">
        <f t="shared" si="2"/>
        <v>-8.7320882805587585E-2</v>
      </c>
      <c r="D377" s="15">
        <v>40616</v>
      </c>
      <c r="E377" s="16">
        <v>17878.810547000001</v>
      </c>
      <c r="F377" s="14">
        <f t="shared" si="3"/>
        <v>-1.6247267375399277E-2</v>
      </c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</row>
    <row r="378" spans="1:23">
      <c r="A378" s="13">
        <v>40609</v>
      </c>
      <c r="B378" s="11">
        <v>3459.5344239999999</v>
      </c>
      <c r="C378" s="14">
        <f t="shared" si="2"/>
        <v>5.4464225744175421E-2</v>
      </c>
      <c r="D378" s="15">
        <v>40609</v>
      </c>
      <c r="E378" s="16">
        <v>18174.089843999998</v>
      </c>
      <c r="F378" s="14">
        <f t="shared" si="3"/>
        <v>-1.6896666920706571E-2</v>
      </c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</row>
    <row r="379" spans="1:23">
      <c r="A379" s="13">
        <v>40602</v>
      </c>
      <c r="B379" s="11">
        <v>3280.845703</v>
      </c>
      <c r="C379" s="14">
        <f t="shared" si="2"/>
        <v>3.6719913800530968E-2</v>
      </c>
      <c r="D379" s="15">
        <v>40602</v>
      </c>
      <c r="E379" s="16">
        <v>18486.449218999998</v>
      </c>
      <c r="F379" s="14">
        <f t="shared" si="3"/>
        <v>4.4378456027230007E-2</v>
      </c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</row>
    <row r="380" spans="1:23">
      <c r="A380" s="13">
        <v>40595</v>
      </c>
      <c r="B380" s="11">
        <v>3164.6403810000002</v>
      </c>
      <c r="C380" s="14">
        <f t="shared" si="2"/>
        <v>2.6010311110595596E-2</v>
      </c>
      <c r="D380" s="15">
        <v>40595</v>
      </c>
      <c r="E380" s="16">
        <v>17700.910156000002</v>
      </c>
      <c r="F380" s="14">
        <f t="shared" si="3"/>
        <v>-2.8037713938742548E-2</v>
      </c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</row>
    <row r="381" spans="1:23">
      <c r="A381" s="13">
        <v>40588</v>
      </c>
      <c r="B381" s="11">
        <v>3084.413818</v>
      </c>
      <c r="C381" s="14">
        <f t="shared" si="2"/>
        <v>7.2248923300943124E-2</v>
      </c>
      <c r="D381" s="15">
        <v>40588</v>
      </c>
      <c r="E381" s="16">
        <v>18211.519531000002</v>
      </c>
      <c r="F381" s="14">
        <f t="shared" si="3"/>
        <v>2.7239031882612119E-2</v>
      </c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</row>
    <row r="382" spans="1:23">
      <c r="A382" s="13">
        <v>40581</v>
      </c>
      <c r="B382" s="11">
        <v>2876.58374</v>
      </c>
      <c r="C382" s="14">
        <f t="shared" si="2"/>
        <v>-9.0077156943630943E-3</v>
      </c>
      <c r="D382" s="15">
        <v>40581</v>
      </c>
      <c r="E382" s="16">
        <v>17728.609375</v>
      </c>
      <c r="F382" s="14">
        <f t="shared" si="3"/>
        <v>-1.5523027625297225E-2</v>
      </c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</row>
    <row r="383" spans="1:23">
      <c r="A383" s="13">
        <v>40574</v>
      </c>
      <c r="B383" s="11">
        <v>2902.7307129999999</v>
      </c>
      <c r="C383" s="14">
        <f t="shared" si="2"/>
        <v>-7.0234177717056645E-2</v>
      </c>
      <c r="D383" s="15">
        <v>40574</v>
      </c>
      <c r="E383" s="16">
        <v>18008.150390999999</v>
      </c>
      <c r="F383" s="14">
        <f t="shared" si="3"/>
        <v>-2.1081807438231848E-2</v>
      </c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</row>
    <row r="384" spans="1:23">
      <c r="A384" s="13">
        <v>40567</v>
      </c>
      <c r="B384" s="11">
        <v>3122.001953</v>
      </c>
      <c r="C384" s="14">
        <f t="shared" si="2"/>
        <v>-3.261449597379551E-2</v>
      </c>
      <c r="D384" s="15">
        <v>40567</v>
      </c>
      <c r="E384" s="16">
        <v>18395.970702999999</v>
      </c>
      <c r="F384" s="14">
        <f t="shared" si="3"/>
        <v>-3.2174544331573185E-2</v>
      </c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</row>
    <row r="385" spans="1:23">
      <c r="A385" s="13">
        <v>40560</v>
      </c>
      <c r="B385" s="11">
        <v>3227.2573240000002</v>
      </c>
      <c r="C385" s="14">
        <f t="shared" si="2"/>
        <v>-3.0908577748438026E-2</v>
      </c>
      <c r="D385" s="15">
        <v>40560</v>
      </c>
      <c r="E385" s="16">
        <v>19007.529297000001</v>
      </c>
      <c r="F385" s="14">
        <f t="shared" si="3"/>
        <v>7.7988556081394211E-3</v>
      </c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</row>
    <row r="386" spans="1:23">
      <c r="A386" s="13">
        <v>40553</v>
      </c>
      <c r="B386" s="11">
        <v>3330.188721</v>
      </c>
      <c r="C386" s="14">
        <f t="shared" si="2"/>
        <v>-1.7005527825352473E-2</v>
      </c>
      <c r="D386" s="15">
        <v>40553</v>
      </c>
      <c r="E386" s="16">
        <v>18860.439452999999</v>
      </c>
      <c r="F386" s="14">
        <f t="shared" si="3"/>
        <v>-4.2219129216975904E-2</v>
      </c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</row>
    <row r="387" spans="1:23">
      <c r="A387" s="13">
        <v>40546</v>
      </c>
      <c r="B387" s="11">
        <v>3387.8000489999999</v>
      </c>
      <c r="C387" s="14">
        <f t="shared" si="2"/>
        <v>-6.2408093867940551E-3</v>
      </c>
      <c r="D387" s="15">
        <v>40546</v>
      </c>
      <c r="E387" s="16">
        <v>19691.810547000001</v>
      </c>
      <c r="F387" s="14">
        <f t="shared" si="3"/>
        <v>-3.9849613182083465E-2</v>
      </c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</row>
    <row r="388" spans="1:23">
      <c r="A388" s="13">
        <v>40539</v>
      </c>
      <c r="B388" s="11">
        <v>3409.0754390000002</v>
      </c>
      <c r="C388" s="14">
        <f t="shared" si="2"/>
        <v>3.7374328494750308E-2</v>
      </c>
      <c r="D388" s="15">
        <v>40539</v>
      </c>
      <c r="E388" s="16">
        <v>20509.089843999998</v>
      </c>
      <c r="F388" s="14">
        <f t="shared" si="3"/>
        <v>2.1691594089772837E-2</v>
      </c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</row>
    <row r="389" spans="1:23">
      <c r="A389" s="13">
        <v>40532</v>
      </c>
      <c r="B389" s="11">
        <v>3286.2539059999999</v>
      </c>
      <c r="C389" s="14">
        <f t="shared" si="2"/>
        <v>3.0771689393692903E-2</v>
      </c>
      <c r="D389" s="15">
        <v>40532</v>
      </c>
      <c r="E389" s="16">
        <v>20073.660156000002</v>
      </c>
      <c r="F389" s="14">
        <f t="shared" si="3"/>
        <v>1.0511559418270089E-2</v>
      </c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</row>
    <row r="390" spans="1:23">
      <c r="A390" s="13">
        <v>40525</v>
      </c>
      <c r="B390" s="11">
        <v>3188.1491700000001</v>
      </c>
      <c r="C390" s="14">
        <f t="shared" si="2"/>
        <v>-5.7900689041063158E-2</v>
      </c>
      <c r="D390" s="15">
        <v>40525</v>
      </c>
      <c r="E390" s="16">
        <v>19864.849609000001</v>
      </c>
      <c r="F390" s="14">
        <f t="shared" si="3"/>
        <v>1.8245987987848489E-2</v>
      </c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</row>
    <row r="391" spans="1:23">
      <c r="A391" s="13">
        <v>40518</v>
      </c>
      <c r="B391" s="11">
        <v>3384.0903320000002</v>
      </c>
      <c r="C391" s="14">
        <f t="shared" si="2"/>
        <v>3.1244062172380183E-2</v>
      </c>
      <c r="D391" s="15">
        <v>40518</v>
      </c>
      <c r="E391" s="16">
        <v>19508.890625</v>
      </c>
      <c r="F391" s="14">
        <f t="shared" si="3"/>
        <v>-2.2939884607059979E-2</v>
      </c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</row>
    <row r="392" spans="1:23">
      <c r="A392" s="13">
        <v>40511</v>
      </c>
      <c r="B392" s="11">
        <v>3281.5610350000002</v>
      </c>
      <c r="C392" s="14">
        <f t="shared" si="2"/>
        <v>3.0773573630530793E-2</v>
      </c>
      <c r="D392" s="15">
        <v>40511</v>
      </c>
      <c r="E392" s="16">
        <v>19966.929688</v>
      </c>
      <c r="F392" s="14">
        <f t="shared" si="3"/>
        <v>4.3389102882808839E-2</v>
      </c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</row>
    <row r="393" spans="1:23">
      <c r="A393" s="13">
        <v>40504</v>
      </c>
      <c r="B393" s="11">
        <v>3183.5905760000001</v>
      </c>
      <c r="C393" s="14">
        <f t="shared" si="2"/>
        <v>-1.7476651537801202E-2</v>
      </c>
      <c r="D393" s="15">
        <v>40504</v>
      </c>
      <c r="E393" s="16">
        <v>19136.609375</v>
      </c>
      <c r="F393" s="14">
        <f t="shared" si="3"/>
        <v>-2.2916518114238671E-2</v>
      </c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</row>
    <row r="394" spans="1:23">
      <c r="A394" s="13">
        <v>40497</v>
      </c>
      <c r="B394" s="11">
        <v>3240.21875</v>
      </c>
      <c r="C394" s="14">
        <f t="shared" si="2"/>
        <v>-5.3600808980922232E-2</v>
      </c>
      <c r="D394" s="15">
        <v>40497</v>
      </c>
      <c r="E394" s="16">
        <v>19585.439452999999</v>
      </c>
      <c r="F394" s="14">
        <f t="shared" si="3"/>
        <v>-2.8350164845923564E-2</v>
      </c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</row>
    <row r="395" spans="1:23">
      <c r="A395" s="13">
        <v>40490</v>
      </c>
      <c r="B395" s="11">
        <v>3423.733643</v>
      </c>
      <c r="C395" s="14">
        <f t="shared" si="2"/>
        <v>5.4215252151592397E-2</v>
      </c>
      <c r="D395" s="15">
        <v>40490</v>
      </c>
      <c r="E395" s="16">
        <v>20156.890625</v>
      </c>
      <c r="F395" s="14">
        <f t="shared" si="3"/>
        <v>-4.0374762681217757E-2</v>
      </c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</row>
    <row r="396" spans="1:23">
      <c r="A396" s="13">
        <v>40483</v>
      </c>
      <c r="B396" s="11">
        <v>3247.6608890000002</v>
      </c>
      <c r="C396" s="14">
        <f t="shared" si="2"/>
        <v>5.0667645068925404E-2</v>
      </c>
      <c r="D396" s="15">
        <v>40483</v>
      </c>
      <c r="E396" s="16">
        <v>21004.960938</v>
      </c>
      <c r="F396" s="14">
        <f t="shared" si="3"/>
        <v>4.8552545612454701E-2</v>
      </c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</row>
    <row r="397" spans="1:23">
      <c r="A397" s="13">
        <v>40476</v>
      </c>
      <c r="B397" s="11">
        <v>3091.044922</v>
      </c>
      <c r="C397" s="14">
        <f t="shared" si="2"/>
        <v>2.3679313341554042E-2</v>
      </c>
      <c r="D397" s="15">
        <v>40476</v>
      </c>
      <c r="E397" s="16">
        <v>20032.339843999998</v>
      </c>
      <c r="F397" s="14">
        <f t="shared" si="3"/>
        <v>-6.6210682380106745E-3</v>
      </c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</row>
    <row r="398" spans="1:23">
      <c r="A398" s="13">
        <v>40469</v>
      </c>
      <c r="B398" s="11">
        <v>3019.5441890000002</v>
      </c>
      <c r="C398" s="14">
        <f t="shared" si="2"/>
        <v>6.4368456169161981E-2</v>
      </c>
      <c r="D398" s="15">
        <v>40469</v>
      </c>
      <c r="E398" s="16">
        <v>20165.859375</v>
      </c>
      <c r="F398" s="14">
        <f t="shared" si="3"/>
        <v>2.027751107019693E-3</v>
      </c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</row>
    <row r="399" spans="1:23">
      <c r="A399" s="13">
        <v>40462</v>
      </c>
      <c r="B399" s="11">
        <v>2836.9350589999999</v>
      </c>
      <c r="C399" s="14">
        <f t="shared" si="2"/>
        <v>-1.6408920061977916E-2</v>
      </c>
      <c r="D399" s="15">
        <v>40462</v>
      </c>
      <c r="E399" s="16">
        <v>20125.050781000002</v>
      </c>
      <c r="F399" s="14">
        <f t="shared" si="3"/>
        <v>-6.1830804368357972E-3</v>
      </c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</row>
    <row r="400" spans="1:23">
      <c r="A400" s="13">
        <v>40455</v>
      </c>
      <c r="B400" s="11">
        <v>2884.2626949999999</v>
      </c>
      <c r="C400" s="14">
        <f t="shared" si="2"/>
        <v>-3.2480136057614573E-2</v>
      </c>
      <c r="D400" s="15">
        <v>40455</v>
      </c>
      <c r="E400" s="16">
        <v>20250.259765999999</v>
      </c>
      <c r="F400" s="14">
        <f t="shared" si="3"/>
        <v>-9.5269711346503971E-3</v>
      </c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</row>
    <row r="401" spans="1:23">
      <c r="A401" s="13">
        <v>40448</v>
      </c>
      <c r="B401" s="11">
        <v>2981.0888669999999</v>
      </c>
      <c r="C401" s="14">
        <f t="shared" si="2"/>
        <v>1.4261328980793797E-2</v>
      </c>
      <c r="D401" s="15">
        <v>40448</v>
      </c>
      <c r="E401" s="16">
        <v>20445.039063</v>
      </c>
      <c r="F401" s="14">
        <f t="shared" si="3"/>
        <v>1.994790673986202E-2</v>
      </c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</row>
    <row r="402" spans="1:23">
      <c r="A402" s="13">
        <v>40441</v>
      </c>
      <c r="B402" s="11">
        <v>2939.1723630000001</v>
      </c>
      <c r="C402" s="14">
        <f t="shared" si="2"/>
        <v>1.5306361960192749E-2</v>
      </c>
      <c r="D402" s="15">
        <v>40441</v>
      </c>
      <c r="E402" s="16">
        <v>20045.179688</v>
      </c>
      <c r="F402" s="14">
        <f t="shared" si="3"/>
        <v>2.2987263833424754E-2</v>
      </c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</row>
    <row r="403" spans="1:23">
      <c r="A403" s="13">
        <v>40434</v>
      </c>
      <c r="B403" s="11">
        <v>2894.8625489999999</v>
      </c>
      <c r="C403" s="14">
        <f t="shared" si="2"/>
        <v>2.9415819717436786E-2</v>
      </c>
      <c r="D403" s="15">
        <v>40434</v>
      </c>
      <c r="E403" s="16">
        <v>19594.75</v>
      </c>
      <c r="F403" s="14">
        <f t="shared" si="3"/>
        <v>4.2292777497163536E-2</v>
      </c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</row>
    <row r="404" spans="1:23">
      <c r="A404" s="13">
        <v>40427</v>
      </c>
      <c r="B404" s="11">
        <v>2812.1411130000001</v>
      </c>
      <c r="C404" s="14">
        <f t="shared" si="2"/>
        <v>-2.5801141869075117E-3</v>
      </c>
      <c r="D404" s="15">
        <v>40427</v>
      </c>
      <c r="E404" s="16">
        <v>18799.660156000002</v>
      </c>
      <c r="F404" s="14">
        <f t="shared" si="3"/>
        <v>3.1733540007609973E-2</v>
      </c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</row>
    <row r="405" spans="1:23">
      <c r="A405" s="13">
        <v>40420</v>
      </c>
      <c r="B405" s="11">
        <v>2819.4155270000001</v>
      </c>
      <c r="C405" s="14">
        <f t="shared" si="2"/>
        <v>3.8067171176904502E-2</v>
      </c>
      <c r="D405" s="15">
        <v>40420</v>
      </c>
      <c r="E405" s="16">
        <v>18221.429688</v>
      </c>
      <c r="F405" s="14">
        <f t="shared" si="3"/>
        <v>1.2391068436989228E-2</v>
      </c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</row>
    <row r="406" spans="1:23">
      <c r="A406" s="13">
        <v>40413</v>
      </c>
      <c r="B406" s="11">
        <v>2716.0241700000001</v>
      </c>
      <c r="C406" s="14">
        <f t="shared" si="2"/>
        <v>6.3108895852655555E-2</v>
      </c>
      <c r="D406" s="15">
        <v>40413</v>
      </c>
      <c r="E406" s="16">
        <v>17998.410156000002</v>
      </c>
      <c r="F406" s="14">
        <f t="shared" si="3"/>
        <v>-2.1922296280385334E-2</v>
      </c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</row>
    <row r="407" spans="1:23">
      <c r="A407" s="13">
        <v>40406</v>
      </c>
      <c r="B407" s="11">
        <v>2554.7939449999999</v>
      </c>
      <c r="C407" s="14">
        <f t="shared" si="2"/>
        <v>2.8406683486767115E-2</v>
      </c>
      <c r="D407" s="15">
        <v>40406</v>
      </c>
      <c r="E407" s="16">
        <v>18401.820313</v>
      </c>
      <c r="F407" s="14">
        <f t="shared" si="3"/>
        <v>1.292401812985311E-2</v>
      </c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</row>
    <row r="408" spans="1:23">
      <c r="A408" s="13">
        <v>40399</v>
      </c>
      <c r="B408" s="11">
        <v>2484.2253420000002</v>
      </c>
      <c r="C408" s="14">
        <f t="shared" si="2"/>
        <v>1.1011408242247445E-2</v>
      </c>
      <c r="D408" s="15">
        <v>40399</v>
      </c>
      <c r="E408" s="16">
        <v>18167.029297000001</v>
      </c>
      <c r="F408" s="14">
        <f t="shared" si="3"/>
        <v>1.2697903108891406E-3</v>
      </c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</row>
    <row r="409" spans="1:23">
      <c r="A409" s="13">
        <v>40392</v>
      </c>
      <c r="B409" s="11">
        <v>2457.1684570000002</v>
      </c>
      <c r="C409" s="14">
        <f t="shared" si="2"/>
        <v>-8.3012107726645357E-2</v>
      </c>
      <c r="D409" s="15">
        <v>40392</v>
      </c>
      <c r="E409" s="16">
        <v>18143.990234000001</v>
      </c>
      <c r="F409" s="14">
        <f t="shared" si="3"/>
        <v>1.5429634590526931E-2</v>
      </c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</row>
    <row r="410" spans="1:23">
      <c r="A410" s="13">
        <v>40385</v>
      </c>
      <c r="B410" s="11">
        <v>2679.6083979999999</v>
      </c>
      <c r="C410" s="14">
        <f t="shared" si="2"/>
        <v>2.2995141504507988E-2</v>
      </c>
      <c r="D410" s="15">
        <v>40385</v>
      </c>
      <c r="E410" s="16">
        <v>17868.289063</v>
      </c>
      <c r="F410" s="14">
        <f t="shared" si="3"/>
        <v>-1.4488538358371938E-2</v>
      </c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</row>
    <row r="411" spans="1:23">
      <c r="A411" s="13">
        <v>40378</v>
      </c>
      <c r="B411" s="11">
        <v>2619.3754880000001</v>
      </c>
      <c r="C411" s="14">
        <f t="shared" si="2"/>
        <v>-2.3205884456729886E-2</v>
      </c>
      <c r="D411" s="15">
        <v>40378</v>
      </c>
      <c r="E411" s="16">
        <v>18130.980468999998</v>
      </c>
      <c r="F411" s="14">
        <f t="shared" si="3"/>
        <v>9.7550628680096452E-3</v>
      </c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</row>
    <row r="412" spans="1:23">
      <c r="A412" s="13">
        <v>40371</v>
      </c>
      <c r="B412" s="11">
        <v>2681.6044919999999</v>
      </c>
      <c r="C412" s="14">
        <f t="shared" si="2"/>
        <v>1.3036191477838521E-2</v>
      </c>
      <c r="D412" s="15">
        <v>40371</v>
      </c>
      <c r="E412" s="16">
        <v>17955.820313</v>
      </c>
      <c r="F412" s="14">
        <f t="shared" si="3"/>
        <v>6.8568134214987975E-3</v>
      </c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</row>
    <row r="413" spans="1:23">
      <c r="A413" s="13">
        <v>40364</v>
      </c>
      <c r="B413" s="11">
        <v>2647.0964359999998</v>
      </c>
      <c r="C413" s="14">
        <f t="shared" si="2"/>
        <v>1.8465198063561949E-3</v>
      </c>
      <c r="D413" s="15">
        <v>40364</v>
      </c>
      <c r="E413" s="16">
        <v>17833.539063</v>
      </c>
      <c r="F413" s="14">
        <f t="shared" si="3"/>
        <v>2.1338464440098681E-2</v>
      </c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</row>
    <row r="414" spans="1:23">
      <c r="A414" s="13">
        <v>40357</v>
      </c>
      <c r="B414" s="11">
        <v>2642.217529</v>
      </c>
      <c r="C414" s="14">
        <f t="shared" si="2"/>
        <v>2.4401867961267643E-2</v>
      </c>
      <c r="D414" s="15">
        <v>40357</v>
      </c>
      <c r="E414" s="16">
        <v>17460.949218999998</v>
      </c>
      <c r="F414" s="14">
        <f t="shared" si="3"/>
        <v>-6.4627664320654477E-3</v>
      </c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</row>
    <row r="415" spans="1:23">
      <c r="A415" s="13">
        <v>40350</v>
      </c>
      <c r="B415" s="11">
        <v>2579.2783199999999</v>
      </c>
      <c r="C415" s="14">
        <f t="shared" si="2"/>
        <v>-1.5024324986998239E-2</v>
      </c>
      <c r="D415" s="15">
        <v>40350</v>
      </c>
      <c r="E415" s="16">
        <v>17574.529297000001</v>
      </c>
      <c r="F415" s="14">
        <f t="shared" si="3"/>
        <v>2.1108769732602894E-4</v>
      </c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</row>
    <row r="416" spans="1:23">
      <c r="A416" s="13">
        <v>40343</v>
      </c>
      <c r="B416" s="11">
        <v>2618.6213379999999</v>
      </c>
      <c r="C416" s="14">
        <f t="shared" si="2"/>
        <v>1.8704552795405061E-2</v>
      </c>
      <c r="D416" s="15">
        <v>40343</v>
      </c>
      <c r="E416" s="16">
        <v>17570.820313</v>
      </c>
      <c r="F416" s="14">
        <f t="shared" si="3"/>
        <v>2.9643867526823353E-2</v>
      </c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</row>
    <row r="417" spans="1:23">
      <c r="A417" s="13">
        <v>40336</v>
      </c>
      <c r="B417" s="11">
        <v>2570.5405270000001</v>
      </c>
      <c r="C417" s="14">
        <f t="shared" si="2"/>
        <v>3.1099967680529694E-2</v>
      </c>
      <c r="D417" s="15">
        <v>40336</v>
      </c>
      <c r="E417" s="16">
        <v>17064.949218999998</v>
      </c>
      <c r="F417" s="14">
        <f t="shared" si="3"/>
        <v>-3.0810369673319737E-3</v>
      </c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</row>
    <row r="418" spans="1:23">
      <c r="A418" s="13">
        <v>40329</v>
      </c>
      <c r="B418" s="11">
        <v>2493.008057</v>
      </c>
      <c r="C418" s="14">
        <f t="shared" si="2"/>
        <v>-1.7600879630945698E-2</v>
      </c>
      <c r="D418" s="15">
        <v>40329</v>
      </c>
      <c r="E418" s="16">
        <v>17117.689452999999</v>
      </c>
      <c r="F418" s="14">
        <f t="shared" si="3"/>
        <v>1.5099803816176038E-2</v>
      </c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</row>
    <row r="419" spans="1:23">
      <c r="A419" s="13">
        <v>40322</v>
      </c>
      <c r="B419" s="11">
        <v>2537.6733399999998</v>
      </c>
      <c r="C419" s="14">
        <f t="shared" si="2"/>
        <v>2.6021109537299303E-2</v>
      </c>
      <c r="D419" s="15">
        <v>40322</v>
      </c>
      <c r="E419" s="16">
        <v>16863.060547000001</v>
      </c>
      <c r="F419" s="14">
        <f t="shared" si="3"/>
        <v>2.5383746049240097E-2</v>
      </c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</row>
    <row r="420" spans="1:23">
      <c r="A420" s="13">
        <v>40315</v>
      </c>
      <c r="B420" s="11">
        <v>2473.3149410000001</v>
      </c>
      <c r="C420" s="14">
        <f t="shared" si="2"/>
        <v>-6.5912495339014443E-3</v>
      </c>
      <c r="D420" s="15">
        <v>40315</v>
      </c>
      <c r="E420" s="16">
        <v>16445.609375</v>
      </c>
      <c r="F420" s="14">
        <f t="shared" si="3"/>
        <v>-3.2303805128145902E-2</v>
      </c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</row>
    <row r="421" spans="1:23">
      <c r="A421" s="13">
        <v>40308</v>
      </c>
      <c r="B421" s="11">
        <v>2489.7253420000002</v>
      </c>
      <c r="C421" s="14">
        <f t="shared" si="2"/>
        <v>2.7474854382271152E-2</v>
      </c>
      <c r="D421" s="15">
        <v>40308</v>
      </c>
      <c r="E421" s="16">
        <v>16994.599609000001</v>
      </c>
      <c r="F421" s="14">
        <f t="shared" si="3"/>
        <v>1.3446762672808976E-2</v>
      </c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</row>
    <row r="422" spans="1:23">
      <c r="A422" s="13">
        <v>40301</v>
      </c>
      <c r="B422" s="11">
        <v>2423.1496579999998</v>
      </c>
      <c r="C422" s="14">
        <f t="shared" si="2"/>
        <v>-1.1417992632992813E-2</v>
      </c>
      <c r="D422" s="15">
        <v>40301</v>
      </c>
      <c r="E422" s="16">
        <v>16769.109375</v>
      </c>
      <c r="F422" s="14">
        <f t="shared" si="3"/>
        <v>-4.4969221589676645E-2</v>
      </c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</row>
    <row r="423" spans="1:23">
      <c r="A423" s="13">
        <v>40294</v>
      </c>
      <c r="B423" s="11">
        <v>2451.1367190000001</v>
      </c>
      <c r="C423" s="14">
        <f t="shared" si="2"/>
        <v>2.2703737515561873E-2</v>
      </c>
      <c r="D423" s="15">
        <v>40294</v>
      </c>
      <c r="E423" s="16">
        <v>17558.710938</v>
      </c>
      <c r="F423" s="14">
        <f t="shared" si="3"/>
        <v>-7.65721462288671E-3</v>
      </c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</row>
    <row r="424" spans="1:23">
      <c r="A424" s="13">
        <v>40287</v>
      </c>
      <c r="B424" s="11">
        <v>2396.7221679999998</v>
      </c>
      <c r="C424" s="14">
        <f t="shared" si="2"/>
        <v>-9.1191160050682063E-3</v>
      </c>
      <c r="D424" s="15">
        <v>40287</v>
      </c>
      <c r="E424" s="16">
        <v>17694.199218999998</v>
      </c>
      <c r="F424" s="14">
        <f t="shared" si="3"/>
        <v>5.856317360584562E-3</v>
      </c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</row>
    <row r="425" spans="1:23">
      <c r="A425" s="13">
        <v>40280</v>
      </c>
      <c r="B425" s="11">
        <v>2418.779297</v>
      </c>
      <c r="C425" s="14">
        <f t="shared" si="2"/>
        <v>1.7105128995703822E-2</v>
      </c>
      <c r="D425" s="15">
        <v>40280</v>
      </c>
      <c r="E425" s="16">
        <v>17591.179688</v>
      </c>
      <c r="F425" s="14">
        <f t="shared" si="3"/>
        <v>-1.9068658644391778E-2</v>
      </c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</row>
    <row r="426" spans="1:23">
      <c r="A426" s="13">
        <v>40273</v>
      </c>
      <c r="B426" s="11">
        <v>2378.1015630000002</v>
      </c>
      <c r="C426" s="14">
        <f t="shared" si="2"/>
        <v>-3.1553885900497125E-3</v>
      </c>
      <c r="D426" s="15">
        <v>40273</v>
      </c>
      <c r="E426" s="16">
        <v>17933.140625</v>
      </c>
      <c r="F426" s="14">
        <f t="shared" si="3"/>
        <v>1.3594453262300021E-2</v>
      </c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</row>
    <row r="427" spans="1:23">
      <c r="A427" s="13">
        <v>40266</v>
      </c>
      <c r="B427" s="11">
        <v>2385.6291500000002</v>
      </c>
      <c r="C427" s="14">
        <f t="shared" si="2"/>
        <v>8.2238311849294199E-3</v>
      </c>
      <c r="D427" s="15">
        <v>40266</v>
      </c>
      <c r="E427" s="16">
        <v>17692.619140999999</v>
      </c>
      <c r="F427" s="14">
        <f t="shared" si="3"/>
        <v>2.7123846192693701E-3</v>
      </c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</row>
    <row r="428" spans="1:23">
      <c r="A428" s="13">
        <v>40259</v>
      </c>
      <c r="B428" s="11">
        <v>2366.1701659999999</v>
      </c>
      <c r="C428" s="14">
        <f t="shared" si="2"/>
        <v>1.5511652388211949E-2</v>
      </c>
      <c r="D428" s="15">
        <v>40259</v>
      </c>
      <c r="E428" s="16">
        <v>17644.759765999999</v>
      </c>
      <c r="F428" s="14">
        <f t="shared" si="3"/>
        <v>3.7847550763046023E-3</v>
      </c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</row>
    <row r="429" spans="1:23">
      <c r="A429" s="13">
        <v>40252</v>
      </c>
      <c r="B429" s="11">
        <v>2330.0275879999999</v>
      </c>
      <c r="C429" s="14">
        <f t="shared" si="2"/>
        <v>-2.5447064340934578E-2</v>
      </c>
      <c r="D429" s="15">
        <v>40252</v>
      </c>
      <c r="E429" s="16">
        <v>17578.230468999998</v>
      </c>
      <c r="F429" s="14">
        <f t="shared" si="3"/>
        <v>2.3977425293774113E-2</v>
      </c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</row>
    <row r="430" spans="1:23">
      <c r="A430" s="13">
        <v>40245</v>
      </c>
      <c r="B430" s="11">
        <v>2390.868164</v>
      </c>
      <c r="C430" s="14">
        <f t="shared" si="2"/>
        <v>5.2944022330125851E-3</v>
      </c>
      <c r="D430" s="15">
        <v>40245</v>
      </c>
      <c r="E430" s="16">
        <v>17166.619140999999</v>
      </c>
      <c r="F430" s="14">
        <f t="shared" si="3"/>
        <v>1.012851251375757E-2</v>
      </c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</row>
    <row r="431" spans="1:23">
      <c r="A431" s="13">
        <v>40238</v>
      </c>
      <c r="B431" s="11">
        <v>2378.2766109999998</v>
      </c>
      <c r="C431" s="14">
        <f t="shared" si="2"/>
        <v>2.8265035560014029E-2</v>
      </c>
      <c r="D431" s="15">
        <v>40238</v>
      </c>
      <c r="E431" s="16">
        <v>16994.490234000001</v>
      </c>
      <c r="F431" s="14">
        <f t="shared" si="3"/>
        <v>3.4385569059704579E-2</v>
      </c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</row>
    <row r="432" spans="1:23">
      <c r="A432" s="13">
        <v>40231</v>
      </c>
      <c r="B432" s="11">
        <v>2312.9023440000001</v>
      </c>
      <c r="C432" s="14">
        <f t="shared" si="2"/>
        <v>-5.0183636905304363E-3</v>
      </c>
      <c r="D432" s="15">
        <v>40231</v>
      </c>
      <c r="E432" s="16">
        <v>16429.550781000002</v>
      </c>
      <c r="F432" s="14">
        <f t="shared" si="3"/>
        <v>1.4694067226042495E-2</v>
      </c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</row>
    <row r="433" spans="1:23">
      <c r="A433" s="13">
        <v>40224</v>
      </c>
      <c r="B433" s="11">
        <v>2324.5678710000002</v>
      </c>
      <c r="C433" s="14">
        <f t="shared" si="2"/>
        <v>-3.5473736870631045E-2</v>
      </c>
      <c r="D433" s="15">
        <v>40224</v>
      </c>
      <c r="E433" s="16">
        <v>16191.629883</v>
      </c>
      <c r="F433" s="14">
        <f t="shared" si="3"/>
        <v>2.4169522892021345E-3</v>
      </c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</row>
    <row r="434" spans="1:23">
      <c r="A434" s="13">
        <v>40217</v>
      </c>
      <c r="B434" s="11">
        <v>2410.061768</v>
      </c>
      <c r="C434" s="14">
        <f t="shared" si="2"/>
        <v>7.3810272715177261E-2</v>
      </c>
      <c r="D434" s="15">
        <v>40217</v>
      </c>
      <c r="E434" s="16">
        <v>16152.589844</v>
      </c>
      <c r="F434" s="14">
        <f t="shared" si="3"/>
        <v>2.2903031242982319E-2</v>
      </c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</row>
    <row r="435" spans="1:23">
      <c r="A435" s="13">
        <v>40210</v>
      </c>
      <c r="B435" s="11">
        <v>2244.4018550000001</v>
      </c>
      <c r="C435" s="14">
        <f t="shared" si="2"/>
        <v>6.3562080836832013E-3</v>
      </c>
      <c r="D435" s="15">
        <v>40210</v>
      </c>
      <c r="E435" s="16">
        <v>15790.929688</v>
      </c>
      <c r="F435" s="14">
        <f t="shared" si="3"/>
        <v>-3.4663874612231083E-2</v>
      </c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</row>
    <row r="436" spans="1:23">
      <c r="A436" s="13">
        <v>40203</v>
      </c>
      <c r="B436" s="11">
        <v>2230.2260740000002</v>
      </c>
      <c r="C436" s="14">
        <f t="shared" si="2"/>
        <v>1.5814778555787168E-3</v>
      </c>
      <c r="D436" s="15">
        <v>40203</v>
      </c>
      <c r="E436" s="16">
        <v>16357.959961</v>
      </c>
      <c r="F436" s="14">
        <f t="shared" si="3"/>
        <v>-2.9758556288415283E-2</v>
      </c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</row>
    <row r="437" spans="1:23">
      <c r="A437" s="13">
        <v>40196</v>
      </c>
      <c r="B437" s="11">
        <v>2226.7045899999998</v>
      </c>
      <c r="C437" s="14">
        <f t="shared" si="2"/>
        <v>6.1669020315309186E-3</v>
      </c>
      <c r="D437" s="15">
        <v>40196</v>
      </c>
      <c r="E437" s="16">
        <v>16859.679688</v>
      </c>
      <c r="F437" s="14">
        <f t="shared" si="3"/>
        <v>-3.956985252023415E-2</v>
      </c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</row>
    <row r="438" spans="1:23">
      <c r="A438" s="13">
        <v>40189</v>
      </c>
      <c r="B438" s="11">
        <v>2213.056885</v>
      </c>
      <c r="C438" s="14">
        <f t="shared" si="2"/>
        <v>7.5559912802234397E-3</v>
      </c>
      <c r="D438" s="15">
        <v>40189</v>
      </c>
      <c r="E438" s="16">
        <v>17554.300781000002</v>
      </c>
      <c r="F438" s="14">
        <f t="shared" si="3"/>
        <v>7.9883050670792599E-4</v>
      </c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</row>
    <row r="439" spans="1:23">
      <c r="A439" s="13">
        <v>40182</v>
      </c>
      <c r="B439" s="11">
        <v>2196.4604490000002</v>
      </c>
      <c r="C439" s="14">
        <f t="shared" si="2"/>
        <v>3.5369656838949712</v>
      </c>
      <c r="D439" s="15">
        <v>40182</v>
      </c>
      <c r="E439" s="16">
        <v>17540.289063</v>
      </c>
      <c r="F439" s="14">
        <f t="shared" si="3"/>
        <v>4.3217483405775248E-3</v>
      </c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</row>
    <row r="440" spans="1:23">
      <c r="A440" s="13">
        <v>40175</v>
      </c>
      <c r="B440" s="11">
        <v>484.125427</v>
      </c>
      <c r="C440" s="14">
        <f t="shared" si="2"/>
        <v>0</v>
      </c>
      <c r="D440" s="15">
        <v>40175</v>
      </c>
      <c r="E440" s="16">
        <v>17464.810547000001</v>
      </c>
      <c r="F440" s="14">
        <f t="shared" si="3"/>
        <v>6.002160969652115E-3</v>
      </c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</row>
    <row r="441" spans="1:23">
      <c r="A441" s="13">
        <v>40168</v>
      </c>
      <c r="B441" s="11">
        <v>484.125427</v>
      </c>
      <c r="C441" s="14">
        <f t="shared" si="2"/>
        <v>0</v>
      </c>
      <c r="D441" s="15">
        <v>40168</v>
      </c>
      <c r="E441" s="16">
        <v>17360.609375</v>
      </c>
      <c r="F441" s="14">
        <f t="shared" si="3"/>
        <v>3.8324510118266097E-2</v>
      </c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</row>
    <row r="442" spans="1:23">
      <c r="A442" s="13">
        <v>40161</v>
      </c>
      <c r="B442" s="11">
        <v>484.125427</v>
      </c>
      <c r="C442" s="14">
        <f t="shared" si="2"/>
        <v>0</v>
      </c>
      <c r="D442" s="15">
        <v>40161</v>
      </c>
      <c r="E442" s="16">
        <v>16719.830077999999</v>
      </c>
      <c r="F442" s="14">
        <f t="shared" si="3"/>
        <v>-2.3319033578028781E-2</v>
      </c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</row>
    <row r="443" spans="1:23">
      <c r="A443" s="13">
        <v>40154</v>
      </c>
      <c r="B443" s="11">
        <v>484.125427</v>
      </c>
      <c r="C443" s="14">
        <f t="shared" si="2"/>
        <v>0</v>
      </c>
      <c r="D443" s="15">
        <v>40154</v>
      </c>
      <c r="E443" s="16">
        <v>17119.029297000001</v>
      </c>
      <c r="F443" s="14">
        <f t="shared" si="3"/>
        <v>1.0227286524078227E-3</v>
      </c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</row>
    <row r="444" spans="1:23">
      <c r="A444" s="13">
        <v>40147</v>
      </c>
      <c r="B444" s="11">
        <v>484.125427</v>
      </c>
      <c r="C444" s="14">
        <f t="shared" si="2"/>
        <v>0</v>
      </c>
      <c r="D444" s="15">
        <v>40147</v>
      </c>
      <c r="E444" s="16">
        <v>17101.539063</v>
      </c>
      <c r="F444" s="14">
        <f t="shared" si="3"/>
        <v>2.8230460636202714E-2</v>
      </c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</row>
    <row r="445" spans="1:23">
      <c r="A445" s="13">
        <v>40140</v>
      </c>
      <c r="B445" s="11">
        <v>484.125427</v>
      </c>
      <c r="C445" s="14">
        <f t="shared" si="2"/>
        <v>0</v>
      </c>
      <c r="D445" s="15">
        <v>40140</v>
      </c>
      <c r="E445" s="16">
        <v>16632.009765999999</v>
      </c>
      <c r="F445" s="14">
        <f t="shared" si="3"/>
        <v>-2.2902319780447433E-2</v>
      </c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</row>
    <row r="446" spans="1:23">
      <c r="A446" s="13">
        <v>40133</v>
      </c>
      <c r="B446" s="11">
        <v>484.125427</v>
      </c>
      <c r="C446" s="14">
        <f t="shared" si="2"/>
        <v>0</v>
      </c>
      <c r="D446" s="15">
        <v>40133</v>
      </c>
      <c r="E446" s="16">
        <v>17021.849609000001</v>
      </c>
      <c r="F446" s="14">
        <f t="shared" si="3"/>
        <v>1.0268934412598574E-2</v>
      </c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</row>
    <row r="447" spans="1:23">
      <c r="A447" s="13">
        <v>40126</v>
      </c>
      <c r="B447" s="11">
        <v>484.125427</v>
      </c>
      <c r="C447" s="14">
        <f t="shared" si="2"/>
        <v>5.1639846932638456E-2</v>
      </c>
      <c r="D447" s="15">
        <v>40126</v>
      </c>
      <c r="E447" s="16">
        <v>16848.830077999999</v>
      </c>
      <c r="F447" s="14">
        <f t="shared" si="3"/>
        <v>4.2736590363139593E-2</v>
      </c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</row>
    <row r="448" spans="1:23">
      <c r="A448" s="13">
        <v>40119</v>
      </c>
      <c r="B448" s="11">
        <v>460.35287499999998</v>
      </c>
      <c r="C448" s="14">
        <f t="shared" si="2"/>
        <v>0</v>
      </c>
      <c r="D448" s="15">
        <v>40119</v>
      </c>
      <c r="E448" s="16">
        <v>16158.280273</v>
      </c>
      <c r="F448" s="14">
        <f t="shared" si="3"/>
        <v>1.6481843267761809E-2</v>
      </c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</row>
    <row r="449" spans="1:23">
      <c r="A449" s="13">
        <v>40112</v>
      </c>
      <c r="B449" s="11">
        <v>460.35287499999998</v>
      </c>
      <c r="C449" s="14">
        <f t="shared" si="2"/>
        <v>0</v>
      </c>
      <c r="D449" s="15">
        <v>40112</v>
      </c>
      <c r="E449" s="16">
        <v>15896.280273</v>
      </c>
      <c r="F449" s="14">
        <f t="shared" si="3"/>
        <v>-5.4401319403555193E-2</v>
      </c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</row>
    <row r="450" spans="1:23">
      <c r="A450" s="13">
        <v>40105</v>
      </c>
      <c r="B450" s="11">
        <v>460.35287499999998</v>
      </c>
      <c r="C450" s="14">
        <f t="shared" si="2"/>
        <v>0</v>
      </c>
      <c r="D450" s="15">
        <v>40105</v>
      </c>
      <c r="E450" s="16">
        <v>16810.810547000001</v>
      </c>
      <c r="F450" s="14">
        <f t="shared" si="3"/>
        <v>-2.9556951855914559E-2</v>
      </c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</row>
    <row r="451" spans="1:23">
      <c r="A451" s="13">
        <v>40098</v>
      </c>
      <c r="B451" s="11">
        <v>460.35287499999998</v>
      </c>
      <c r="C451" s="14">
        <f t="shared" si="2"/>
        <v>0</v>
      </c>
      <c r="D451" s="15">
        <v>40098</v>
      </c>
      <c r="E451" s="16">
        <v>17322.820313</v>
      </c>
      <c r="F451" s="14">
        <f t="shared" si="3"/>
        <v>4.0868475990287312E-2</v>
      </c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</row>
    <row r="452" spans="1:23">
      <c r="A452" s="13">
        <v>40091</v>
      </c>
      <c r="B452" s="11">
        <v>460.35287499999998</v>
      </c>
      <c r="C452" s="14">
        <f t="shared" si="2"/>
        <v>0</v>
      </c>
      <c r="D452" s="15">
        <v>40091</v>
      </c>
      <c r="E452" s="16">
        <v>16642.660156000002</v>
      </c>
      <c r="F452" s="14">
        <f t="shared" si="3"/>
        <v>-2.8707529674220744E-2</v>
      </c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</row>
    <row r="453" spans="1:23">
      <c r="A453" s="13">
        <v>40084</v>
      </c>
      <c r="B453" s="11">
        <v>460.35287499999998</v>
      </c>
      <c r="C453" s="14">
        <f t="shared" si="2"/>
        <v>0</v>
      </c>
      <c r="D453" s="15">
        <v>40084</v>
      </c>
      <c r="E453" s="16">
        <v>17134.550781000002</v>
      </c>
      <c r="F453" s="14">
        <f t="shared" si="3"/>
        <v>2.6451253878871483E-2</v>
      </c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</row>
    <row r="454" spans="1:23">
      <c r="A454" s="13">
        <v>40077</v>
      </c>
      <c r="B454" s="11">
        <v>460.35287499999998</v>
      </c>
      <c r="C454" s="14">
        <f t="shared" si="2"/>
        <v>0</v>
      </c>
      <c r="D454" s="15">
        <v>40077</v>
      </c>
      <c r="E454" s="16">
        <v>16693</v>
      </c>
      <c r="F454" s="14">
        <f t="shared" si="3"/>
        <v>-2.8851271255349031E-3</v>
      </c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</row>
    <row r="455" spans="1:23">
      <c r="A455" s="13">
        <v>40070</v>
      </c>
      <c r="B455" s="11">
        <v>460.35287499999998</v>
      </c>
      <c r="C455" s="14">
        <f t="shared" si="2"/>
        <v>0</v>
      </c>
      <c r="D455" s="15">
        <v>40070</v>
      </c>
      <c r="E455" s="16">
        <v>16741.300781000002</v>
      </c>
      <c r="F455" s="14">
        <f t="shared" si="3"/>
        <v>2.932809784122159E-2</v>
      </c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</row>
    <row r="456" spans="1:23">
      <c r="A456" s="13">
        <v>40063</v>
      </c>
      <c r="B456" s="11">
        <v>460.35287499999998</v>
      </c>
      <c r="C456" s="14">
        <f t="shared" si="2"/>
        <v>0</v>
      </c>
      <c r="D456" s="15">
        <v>40063</v>
      </c>
      <c r="E456" s="16">
        <v>16264.299805000001</v>
      </c>
      <c r="F456" s="14">
        <f t="shared" si="3"/>
        <v>3.6661054521264225E-2</v>
      </c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</row>
    <row r="457" spans="1:23">
      <c r="A457" s="13">
        <v>40056</v>
      </c>
      <c r="B457" s="11">
        <v>460.35287499999998</v>
      </c>
      <c r="C457" s="14">
        <f t="shared" si="2"/>
        <v>0</v>
      </c>
      <c r="D457" s="15">
        <v>40056</v>
      </c>
      <c r="E457" s="16">
        <v>15689.120117</v>
      </c>
      <c r="F457" s="14">
        <f t="shared" si="3"/>
        <v>-1.4647327546389755E-2</v>
      </c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</row>
    <row r="458" spans="1:23">
      <c r="A458" s="13">
        <v>40049</v>
      </c>
      <c r="B458" s="11">
        <v>460.35287499999998</v>
      </c>
      <c r="C458" s="14">
        <f t="shared" si="2"/>
        <v>0</v>
      </c>
      <c r="D458" s="15">
        <v>40049</v>
      </c>
      <c r="E458" s="16">
        <v>15922.339844</v>
      </c>
      <c r="F458" s="14">
        <f t="shared" si="3"/>
        <v>4.4716053030717351E-2</v>
      </c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</row>
    <row r="459" spans="1:23">
      <c r="A459" s="13">
        <v>40042</v>
      </c>
      <c r="B459" s="11">
        <v>460.35287499999998</v>
      </c>
      <c r="C459" s="14">
        <f t="shared" si="2"/>
        <v>0</v>
      </c>
      <c r="D459" s="15">
        <v>40042</v>
      </c>
      <c r="E459" s="16">
        <v>15240.830078000001</v>
      </c>
      <c r="F459" s="14">
        <f t="shared" si="3"/>
        <v>-1.1082527045916279E-2</v>
      </c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</row>
    <row r="460" spans="1:23">
      <c r="A460" s="13">
        <v>40035</v>
      </c>
      <c r="B460" s="11">
        <v>460.35287499999998</v>
      </c>
      <c r="C460" s="14">
        <f t="shared" si="2"/>
        <v>0</v>
      </c>
      <c r="D460" s="15">
        <v>40035</v>
      </c>
      <c r="E460" s="16">
        <v>15411.629883</v>
      </c>
      <c r="F460" s="14">
        <f t="shared" si="3"/>
        <v>1.6582167902340128E-2</v>
      </c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</row>
    <row r="461" spans="1:23">
      <c r="A461" s="13">
        <v>40028</v>
      </c>
      <c r="B461" s="11">
        <v>460.35287499999998</v>
      </c>
      <c r="C461" s="14">
        <f t="shared" si="2"/>
        <v>0</v>
      </c>
      <c r="D461" s="15">
        <v>40028</v>
      </c>
      <c r="E461" s="16">
        <v>15160.240234000001</v>
      </c>
      <c r="F461" s="14">
        <f t="shared" si="3"/>
        <v>-3.2550048467230086E-2</v>
      </c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</row>
    <row r="462" spans="1:23">
      <c r="A462" s="13">
        <v>40021</v>
      </c>
      <c r="B462" s="11">
        <v>460.35287499999998</v>
      </c>
      <c r="C462" s="14">
        <f t="shared" si="2"/>
        <v>0</v>
      </c>
      <c r="D462" s="15">
        <v>40021</v>
      </c>
      <c r="E462" s="16">
        <v>15670.309569999999</v>
      </c>
      <c r="F462" s="14">
        <f t="shared" si="3"/>
        <v>1.8944688700591072E-2</v>
      </c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</row>
    <row r="463" spans="1:23">
      <c r="A463" s="13">
        <v>40014</v>
      </c>
      <c r="B463" s="11">
        <v>460.35287499999998</v>
      </c>
      <c r="C463" s="14">
        <f t="shared" si="2"/>
        <v>0</v>
      </c>
      <c r="D463" s="15">
        <v>40014</v>
      </c>
      <c r="E463" s="16">
        <v>15378.959961</v>
      </c>
      <c r="F463" s="14">
        <f t="shared" si="3"/>
        <v>4.3000575272978514E-2</v>
      </c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</row>
    <row r="464" spans="1:23">
      <c r="A464" s="13">
        <v>40007</v>
      </c>
      <c r="B464" s="11">
        <v>460.35287499999998</v>
      </c>
      <c r="C464" s="14">
        <f t="shared" si="2"/>
        <v>0</v>
      </c>
      <c r="D464" s="15">
        <v>40007</v>
      </c>
      <c r="E464" s="16">
        <v>14744.919921999999</v>
      </c>
      <c r="F464" s="14">
        <f t="shared" si="3"/>
        <v>9.187500056144482E-2</v>
      </c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</row>
    <row r="465" spans="1:23">
      <c r="A465" s="13">
        <v>40000</v>
      </c>
      <c r="B465" s="11">
        <v>460.35287499999998</v>
      </c>
      <c r="C465" s="14">
        <f t="shared" si="2"/>
        <v>0</v>
      </c>
      <c r="D465" s="15">
        <v>40000</v>
      </c>
      <c r="E465" s="16">
        <v>13504.219727</v>
      </c>
      <c r="F465" s="14">
        <f t="shared" si="3"/>
        <v>-9.4469615298116483E-2</v>
      </c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</row>
    <row r="466" spans="1:23">
      <c r="A466" s="13">
        <v>39993</v>
      </c>
      <c r="B466" s="11">
        <v>460.35287499999998</v>
      </c>
      <c r="C466" s="14">
        <f t="shared" si="2"/>
        <v>0</v>
      </c>
      <c r="D466" s="15">
        <v>39993</v>
      </c>
      <c r="E466" s="16">
        <v>14913.049805000001</v>
      </c>
      <c r="F466" s="14">
        <f t="shared" si="3"/>
        <v>1.0051729032215295E-2</v>
      </c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</row>
    <row r="467" spans="1:23">
      <c r="A467" s="13">
        <v>39986</v>
      </c>
      <c r="B467" s="11">
        <v>460.35287499999998</v>
      </c>
      <c r="C467" s="14">
        <f t="shared" si="2"/>
        <v>0</v>
      </c>
      <c r="D467" s="15">
        <v>39986</v>
      </c>
      <c r="E467" s="16">
        <v>14764.639648</v>
      </c>
      <c r="F467" s="14">
        <f t="shared" si="3"/>
        <v>1.6716144102736141E-2</v>
      </c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</row>
    <row r="468" spans="1:23">
      <c r="A468" s="13">
        <v>39979</v>
      </c>
      <c r="B468" s="11">
        <v>460.35287499999998</v>
      </c>
      <c r="C468" s="14">
        <f t="shared" si="2"/>
        <v>0</v>
      </c>
      <c r="D468" s="15">
        <v>39979</v>
      </c>
      <c r="E468" s="16">
        <v>14521.889648</v>
      </c>
      <c r="F468" s="14">
        <f t="shared" si="3"/>
        <v>-4.6991309966684325E-2</v>
      </c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</row>
    <row r="469" spans="1:23">
      <c r="A469" s="13">
        <v>39972</v>
      </c>
      <c r="B469" s="11">
        <v>460.35287499999998</v>
      </c>
      <c r="C469" s="14">
        <f t="shared" si="2"/>
        <v>0</v>
      </c>
      <c r="D469" s="15">
        <v>39972</v>
      </c>
      <c r="E469" s="16">
        <v>15237.940430000001</v>
      </c>
      <c r="F469" s="14">
        <f t="shared" si="3"/>
        <v>8.8979496035765937E-3</v>
      </c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</row>
    <row r="470" spans="1:23">
      <c r="A470" s="13">
        <v>39965</v>
      </c>
      <c r="B470" s="11">
        <v>460.35287499999998</v>
      </c>
      <c r="C470" s="14">
        <f t="shared" si="2"/>
        <v>0</v>
      </c>
      <c r="D470" s="15">
        <v>39965</v>
      </c>
      <c r="E470" s="16">
        <v>15103.549805000001</v>
      </c>
      <c r="F470" s="14">
        <f t="shared" si="3"/>
        <v>3.2703701133314E-2</v>
      </c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</row>
    <row r="471" spans="1:23">
      <c r="A471" s="13">
        <v>39958</v>
      </c>
      <c r="B471" s="11">
        <v>460.35287499999998</v>
      </c>
      <c r="C471" s="14">
        <f t="shared" si="2"/>
        <v>0</v>
      </c>
      <c r="D471" s="15">
        <v>39958</v>
      </c>
      <c r="E471" s="16">
        <v>14625.25</v>
      </c>
      <c r="F471" s="14">
        <f t="shared" si="3"/>
        <v>5.3149824709779914E-2</v>
      </c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</row>
    <row r="472" spans="1:23">
      <c r="A472" s="13">
        <v>39951</v>
      </c>
      <c r="B472" s="11">
        <v>460.35287499999998</v>
      </c>
      <c r="C472" s="14">
        <f t="shared" si="2"/>
        <v>0</v>
      </c>
      <c r="D472" s="15">
        <v>39951</v>
      </c>
      <c r="E472" s="16">
        <v>13887.150390999999</v>
      </c>
      <c r="F472" s="14">
        <f t="shared" si="3"/>
        <v>0.1407764194433907</v>
      </c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</row>
    <row r="473" spans="1:23">
      <c r="A473" s="13">
        <v>39944</v>
      </c>
      <c r="B473" s="11">
        <v>460.35287499999998</v>
      </c>
      <c r="C473" s="14">
        <f t="shared" si="2"/>
        <v>0</v>
      </c>
      <c r="D473" s="15">
        <v>39944</v>
      </c>
      <c r="E473" s="16">
        <v>12173.419921999999</v>
      </c>
      <c r="F473" s="14">
        <f t="shared" si="3"/>
        <v>2.5006693240484434E-2</v>
      </c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</row>
    <row r="474" spans="1:23">
      <c r="A474" s="13">
        <v>39937</v>
      </c>
      <c r="B474" s="11">
        <v>460.35287499999998</v>
      </c>
      <c r="C474" s="14">
        <f t="shared" si="2"/>
        <v>3.9708741446108586E-2</v>
      </c>
      <c r="D474" s="15">
        <v>39937</v>
      </c>
      <c r="E474" s="16">
        <v>11876.429688</v>
      </c>
      <c r="F474" s="14">
        <f t="shared" si="3"/>
        <v>4.1495160414793952E-2</v>
      </c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</row>
    <row r="475" spans="1:23">
      <c r="A475" s="13">
        <v>39930</v>
      </c>
      <c r="B475" s="11">
        <v>442.77099600000003</v>
      </c>
      <c r="C475" s="14">
        <f t="shared" si="2"/>
        <v>0</v>
      </c>
      <c r="D475" s="15">
        <v>39930</v>
      </c>
      <c r="E475" s="16">
        <v>11403.25</v>
      </c>
      <c r="F475" s="14">
        <f t="shared" si="3"/>
        <v>6.5495514872970784E-3</v>
      </c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</row>
    <row r="476" spans="1:23">
      <c r="A476" s="13">
        <v>39923</v>
      </c>
      <c r="B476" s="11">
        <v>442.77099600000003</v>
      </c>
      <c r="C476" s="14">
        <f t="shared" si="2"/>
        <v>0</v>
      </c>
      <c r="D476" s="15">
        <v>39923</v>
      </c>
      <c r="E476" s="16">
        <v>11329.049805000001</v>
      </c>
      <c r="F476" s="14">
        <f t="shared" si="3"/>
        <v>2.7756279349073543E-2</v>
      </c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</row>
    <row r="477" spans="1:23">
      <c r="A477" s="13">
        <v>39916</v>
      </c>
      <c r="B477" s="11">
        <v>442.77099600000003</v>
      </c>
      <c r="C477" s="14">
        <f t="shared" si="2"/>
        <v>0</v>
      </c>
      <c r="D477" s="15">
        <v>39916</v>
      </c>
      <c r="E477" s="16">
        <v>11023.089844</v>
      </c>
      <c r="F477" s="14">
        <f t="shared" si="3"/>
        <v>9.698858973976221E-2</v>
      </c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</row>
    <row r="478" spans="1:23">
      <c r="A478" s="13">
        <v>39909</v>
      </c>
      <c r="B478" s="11">
        <v>442.77099600000003</v>
      </c>
      <c r="C478" s="14">
        <f t="shared" si="2"/>
        <v>0</v>
      </c>
      <c r="D478" s="15">
        <v>39909</v>
      </c>
      <c r="E478" s="16">
        <v>10048.5</v>
      </c>
      <c r="F478" s="14">
        <f t="shared" si="3"/>
        <v>-2.9020679220393752E-2</v>
      </c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</row>
    <row r="479" spans="1:23">
      <c r="A479" s="13">
        <v>39902</v>
      </c>
      <c r="B479" s="11">
        <v>442.77099600000003</v>
      </c>
      <c r="C479" s="14">
        <f t="shared" si="2"/>
        <v>0</v>
      </c>
      <c r="D479" s="15">
        <v>39902</v>
      </c>
      <c r="E479" s="16">
        <v>10348.830078000001</v>
      </c>
      <c r="F479" s="14">
        <f t="shared" si="3"/>
        <v>2.9889051688956503E-2</v>
      </c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</row>
    <row r="480" spans="1:23">
      <c r="A480" s="13">
        <v>39895</v>
      </c>
      <c r="B480" s="11">
        <v>442.77099600000003</v>
      </c>
      <c r="C480" s="14">
        <f t="shared" si="2"/>
        <v>0</v>
      </c>
      <c r="D480" s="15">
        <v>39895</v>
      </c>
      <c r="E480" s="16">
        <v>10048.490234000001</v>
      </c>
      <c r="F480" s="14">
        <f t="shared" si="3"/>
        <v>0.12064784107854054</v>
      </c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</row>
    <row r="481" spans="1:23">
      <c r="A481" s="13">
        <v>39888</v>
      </c>
      <c r="B481" s="11">
        <v>442.77099600000003</v>
      </c>
      <c r="C481" s="14">
        <f t="shared" si="2"/>
        <v>0</v>
      </c>
      <c r="D481" s="15">
        <v>39888</v>
      </c>
      <c r="E481" s="16">
        <v>8966.6796880000002</v>
      </c>
      <c r="F481" s="14">
        <f t="shared" si="3"/>
        <v>2.3989800568438024E-2</v>
      </c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</row>
    <row r="482" spans="1:23">
      <c r="A482" s="13">
        <v>39881</v>
      </c>
      <c r="B482" s="11">
        <v>442.77099600000003</v>
      </c>
      <c r="C482" s="14">
        <f t="shared" si="2"/>
        <v>0</v>
      </c>
      <c r="D482" s="15">
        <v>39881</v>
      </c>
      <c r="E482" s="16">
        <v>8756.6103519999997</v>
      </c>
      <c r="F482" s="14">
        <f t="shared" si="3"/>
        <v>5.1741452830462942E-2</v>
      </c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</row>
    <row r="483" spans="1:23">
      <c r="A483" s="13">
        <v>39874</v>
      </c>
      <c r="B483" s="11">
        <v>442.77099600000003</v>
      </c>
      <c r="C483" s="14">
        <f t="shared" si="2"/>
        <v>0</v>
      </c>
      <c r="D483" s="15">
        <v>39874</v>
      </c>
      <c r="E483" s="16">
        <v>8325.8203130000002</v>
      </c>
      <c r="F483" s="14">
        <f t="shared" si="3"/>
        <v>-6.363189755303833E-2</v>
      </c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</row>
    <row r="484" spans="1:23">
      <c r="A484" s="13">
        <v>39867</v>
      </c>
      <c r="B484" s="11">
        <v>442.77099600000003</v>
      </c>
      <c r="C484" s="14">
        <f t="shared" si="2"/>
        <v>0</v>
      </c>
      <c r="D484" s="15">
        <v>39867</v>
      </c>
      <c r="E484" s="16">
        <v>8891.6103519999997</v>
      </c>
      <c r="F484" s="14">
        <f t="shared" si="3"/>
        <v>5.4731699477286178E-3</v>
      </c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</row>
    <row r="485" spans="1:23">
      <c r="A485" s="13">
        <v>39860</v>
      </c>
      <c r="B485" s="11">
        <v>442.77099600000003</v>
      </c>
      <c r="C485" s="14">
        <f t="shared" si="2"/>
        <v>0</v>
      </c>
      <c r="D485" s="15">
        <v>39860</v>
      </c>
      <c r="E485" s="16">
        <v>8843.2099610000005</v>
      </c>
      <c r="F485" s="14">
        <f t="shared" si="3"/>
        <v>-8.2153774131530022E-2</v>
      </c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</row>
    <row r="486" spans="1:23">
      <c r="A486" s="13">
        <v>39853</v>
      </c>
      <c r="B486" s="11">
        <v>442.77099600000003</v>
      </c>
      <c r="C486" s="14">
        <f t="shared" si="2"/>
        <v>0</v>
      </c>
      <c r="D486" s="15">
        <v>39853</v>
      </c>
      <c r="E486" s="16">
        <v>9634.7402340000008</v>
      </c>
      <c r="F486" s="14">
        <f t="shared" si="3"/>
        <v>3.5897741645825931E-2</v>
      </c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</row>
    <row r="487" spans="1:23">
      <c r="A487" s="13">
        <v>39846</v>
      </c>
      <c r="B487" s="11">
        <v>442.77099600000003</v>
      </c>
      <c r="C487" s="14">
        <f t="shared" si="2"/>
        <v>0</v>
      </c>
      <c r="D487" s="15">
        <v>39846</v>
      </c>
      <c r="E487" s="16">
        <v>9300.8603519999997</v>
      </c>
      <c r="F487" s="14">
        <f t="shared" si="3"/>
        <v>-1.3091759010437909E-2</v>
      </c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</row>
    <row r="488" spans="1:23">
      <c r="A488" s="13">
        <v>39839</v>
      </c>
      <c r="B488" s="11">
        <v>442.77099600000003</v>
      </c>
      <c r="C488" s="14">
        <f t="shared" si="2"/>
        <v>0</v>
      </c>
      <c r="D488" s="15">
        <v>39839</v>
      </c>
      <c r="E488" s="16">
        <v>9424.2402340000008</v>
      </c>
      <c r="F488" s="14">
        <f t="shared" si="3"/>
        <v>8.6449204701405824E-2</v>
      </c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</row>
    <row r="489" spans="1:23">
      <c r="A489" s="13">
        <v>39832</v>
      </c>
      <c r="B489" s="11">
        <v>442.77099600000003</v>
      </c>
      <c r="C489" s="14">
        <f t="shared" si="2"/>
        <v>0</v>
      </c>
      <c r="D489" s="15">
        <v>39832</v>
      </c>
      <c r="E489" s="16">
        <v>8674.3496090000008</v>
      </c>
      <c r="F489" s="14">
        <f t="shared" si="3"/>
        <v>-6.9634147990519368E-2</v>
      </c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</row>
    <row r="490" spans="1:23">
      <c r="A490" s="13">
        <v>39825</v>
      </c>
      <c r="B490" s="11">
        <v>442.77099600000003</v>
      </c>
      <c r="C490" s="14">
        <f t="shared" si="2"/>
        <v>0</v>
      </c>
      <c r="D490" s="15">
        <v>39825</v>
      </c>
      <c r="E490" s="16">
        <v>9323.5898440000001</v>
      </c>
      <c r="F490" s="14">
        <f t="shared" si="3"/>
        <v>-8.8109445313052648E-3</v>
      </c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</row>
    <row r="491" spans="1:23">
      <c r="A491" s="13">
        <v>39818</v>
      </c>
      <c r="B491" s="11">
        <v>442.77099600000003</v>
      </c>
      <c r="C491" s="14">
        <f t="shared" si="2"/>
        <v>0</v>
      </c>
      <c r="D491" s="15">
        <v>39818</v>
      </c>
      <c r="E491" s="16">
        <v>9406.4697269999997</v>
      </c>
      <c r="F491" s="14">
        <f t="shared" si="3"/>
        <v>-5.5406489827094729E-2</v>
      </c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</row>
    <row r="492" spans="1:23">
      <c r="A492" s="13">
        <v>39811</v>
      </c>
      <c r="B492" s="11">
        <v>442.77099600000003</v>
      </c>
      <c r="C492" s="14">
        <f t="shared" si="2"/>
        <v>0</v>
      </c>
      <c r="D492" s="15">
        <v>39811</v>
      </c>
      <c r="E492" s="16">
        <v>9958.2197269999997</v>
      </c>
      <c r="F492" s="14">
        <f t="shared" si="3"/>
        <v>6.7456877137078708E-2</v>
      </c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</row>
    <row r="493" spans="1:23">
      <c r="A493" s="13">
        <v>39804</v>
      </c>
      <c r="B493" s="11">
        <v>442.77099600000003</v>
      </c>
      <c r="C493" s="14">
        <f t="shared" si="2"/>
        <v>0</v>
      </c>
      <c r="D493" s="15">
        <v>39804</v>
      </c>
      <c r="E493" s="16">
        <v>9328.9199219999991</v>
      </c>
      <c r="F493" s="14">
        <f t="shared" si="3"/>
        <v>-7.6336345778480252E-2</v>
      </c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</row>
    <row r="494" spans="1:23">
      <c r="A494" s="13">
        <v>39797</v>
      </c>
      <c r="B494" s="11">
        <v>442.77099600000003</v>
      </c>
      <c r="C494" s="14"/>
      <c r="D494" s="15">
        <v>39797</v>
      </c>
      <c r="E494" s="16">
        <v>10099.910156</v>
      </c>
      <c r="F494" s="14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</row>
    <row r="495" spans="1:23">
      <c r="A495" s="12"/>
      <c r="B495" s="12"/>
      <c r="C495" s="12"/>
      <c r="D495" s="15"/>
      <c r="E495" s="16"/>
      <c r="F495" s="14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</row>
    <row r="496" spans="1:23">
      <c r="A496" s="12"/>
      <c r="B496" s="12"/>
      <c r="C496" s="12"/>
      <c r="D496" s="15"/>
      <c r="E496" s="16"/>
      <c r="F496" s="14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</row>
    <row r="497" spans="1:23">
      <c r="A497" s="12"/>
      <c r="B497" s="12"/>
      <c r="C497" s="12"/>
      <c r="D497" s="15"/>
      <c r="E497" s="16"/>
      <c r="F497" s="14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</row>
    <row r="498" spans="1:23">
      <c r="A498" s="12"/>
      <c r="B498" s="12"/>
      <c r="C498" s="12"/>
      <c r="D498" s="15"/>
      <c r="E498" s="16"/>
      <c r="F498" s="14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</row>
    <row r="499" spans="1:23">
      <c r="A499" s="12"/>
      <c r="B499" s="12"/>
      <c r="C499" s="12"/>
      <c r="D499" s="15"/>
      <c r="E499" s="16"/>
      <c r="F499" s="14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</row>
    <row r="500" spans="1:23">
      <c r="A500" s="12"/>
      <c r="B500" s="12"/>
      <c r="C500" s="12"/>
      <c r="D500" s="15"/>
      <c r="E500" s="16"/>
      <c r="F500" s="14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</row>
    <row r="501" spans="1:23">
      <c r="A501" s="12"/>
      <c r="B501" s="12"/>
      <c r="C501" s="12"/>
      <c r="D501" s="15"/>
      <c r="E501" s="16"/>
      <c r="F501" s="14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</row>
    <row r="502" spans="1:23">
      <c r="A502" s="12"/>
      <c r="B502" s="12"/>
      <c r="C502" s="12"/>
      <c r="D502" s="15"/>
      <c r="E502" s="16"/>
      <c r="F502" s="14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</row>
    <row r="503" spans="1:23">
      <c r="A503" s="12"/>
      <c r="B503" s="12"/>
      <c r="C503" s="12"/>
      <c r="D503" s="15"/>
      <c r="E503" s="16"/>
      <c r="F503" s="14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</row>
    <row r="504" spans="1:23">
      <c r="A504" s="12"/>
      <c r="B504" s="12"/>
      <c r="C504" s="12"/>
      <c r="D504" s="15"/>
      <c r="E504" s="16"/>
      <c r="F504" s="14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</row>
    <row r="505" spans="1:23">
      <c r="A505" s="12"/>
      <c r="B505" s="12"/>
      <c r="C505" s="12"/>
      <c r="D505" s="15"/>
      <c r="E505" s="16"/>
      <c r="F505" s="14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</row>
    <row r="506" spans="1:23">
      <c r="A506" s="12"/>
      <c r="B506" s="12"/>
      <c r="C506" s="12"/>
      <c r="D506" s="15"/>
      <c r="E506" s="16"/>
      <c r="F506" s="14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</row>
    <row r="507" spans="1:23">
      <c r="A507" s="12"/>
      <c r="B507" s="12"/>
      <c r="C507" s="12"/>
      <c r="D507" s="15"/>
      <c r="E507" s="16"/>
      <c r="F507" s="14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</row>
    <row r="508" spans="1:23">
      <c r="A508" s="12"/>
      <c r="B508" s="12"/>
      <c r="C508" s="12"/>
      <c r="D508" s="15"/>
      <c r="E508" s="16"/>
      <c r="F508" s="14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</row>
    <row r="509" spans="1:23">
      <c r="A509" s="12"/>
      <c r="B509" s="12"/>
      <c r="C509" s="12"/>
      <c r="D509" s="15"/>
      <c r="E509" s="16"/>
      <c r="F509" s="14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</row>
    <row r="510" spans="1:23">
      <c r="A510" s="12"/>
      <c r="B510" s="12"/>
      <c r="C510" s="12"/>
      <c r="D510" s="15"/>
      <c r="E510" s="16"/>
      <c r="F510" s="14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</row>
    <row r="511" spans="1:23">
      <c r="A511" s="12"/>
      <c r="B511" s="12"/>
      <c r="C511" s="12"/>
      <c r="D511" s="15"/>
      <c r="E511" s="16"/>
      <c r="F511" s="14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</row>
    <row r="512" spans="1:23">
      <c r="A512" s="12"/>
      <c r="B512" s="12"/>
      <c r="C512" s="12"/>
      <c r="D512" s="15"/>
      <c r="E512" s="16"/>
      <c r="F512" s="14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</row>
    <row r="513" spans="1:23">
      <c r="A513" s="12"/>
      <c r="B513" s="12"/>
      <c r="C513" s="12"/>
      <c r="D513" s="15"/>
      <c r="E513" s="16"/>
      <c r="F513" s="14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</row>
    <row r="514" spans="1:23">
      <c r="A514" s="12"/>
      <c r="B514" s="12"/>
      <c r="C514" s="12"/>
      <c r="D514" s="15"/>
      <c r="E514" s="16"/>
      <c r="F514" s="14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</row>
    <row r="515" spans="1:23">
      <c r="A515" s="12"/>
      <c r="B515" s="12"/>
      <c r="C515" s="12"/>
      <c r="D515" s="15"/>
      <c r="E515" s="16"/>
      <c r="F515" s="14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</row>
    <row r="516" spans="1:23">
      <c r="A516" s="12"/>
      <c r="B516" s="12"/>
      <c r="C516" s="12"/>
      <c r="D516" s="15"/>
      <c r="E516" s="16"/>
      <c r="F516" s="14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</row>
    <row r="517" spans="1:23">
      <c r="A517" s="12"/>
      <c r="B517" s="12"/>
      <c r="C517" s="12"/>
      <c r="D517" s="15"/>
      <c r="E517" s="16"/>
      <c r="F517" s="14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</row>
    <row r="518" spans="1:23">
      <c r="A518" s="12"/>
      <c r="B518" s="12"/>
      <c r="C518" s="12"/>
      <c r="D518" s="15"/>
      <c r="E518" s="16"/>
      <c r="F518" s="14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</row>
    <row r="519" spans="1:23">
      <c r="A519" s="12"/>
      <c r="B519" s="12"/>
      <c r="C519" s="12"/>
      <c r="D519" s="15"/>
      <c r="E519" s="16"/>
      <c r="F519" s="14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</row>
    <row r="520" spans="1:23">
      <c r="A520" s="12"/>
      <c r="B520" s="12"/>
      <c r="C520" s="12"/>
      <c r="D520" s="15"/>
      <c r="E520" s="16"/>
      <c r="F520" s="14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</row>
    <row r="521" spans="1:23">
      <c r="A521" s="12"/>
      <c r="B521" s="12"/>
      <c r="C521" s="12"/>
      <c r="D521" s="15"/>
      <c r="E521" s="16"/>
      <c r="F521" s="14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</row>
    <row r="522" spans="1:23">
      <c r="A522" s="12"/>
      <c r="B522" s="12"/>
      <c r="C522" s="12"/>
      <c r="D522" s="15"/>
      <c r="E522" s="16"/>
      <c r="F522" s="14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</row>
    <row r="523" spans="1:23">
      <c r="A523" s="12"/>
      <c r="B523" s="12"/>
      <c r="C523" s="12"/>
      <c r="D523" s="15"/>
      <c r="E523" s="16"/>
      <c r="F523" s="14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</row>
    <row r="524" spans="1:23">
      <c r="A524" s="12"/>
      <c r="B524" s="12"/>
      <c r="C524" s="12"/>
      <c r="D524" s="15"/>
      <c r="E524" s="16"/>
      <c r="F524" s="14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</row>
    <row r="525" spans="1:23">
      <c r="A525" s="12"/>
      <c r="B525" s="12"/>
      <c r="C525" s="12"/>
      <c r="D525" s="11"/>
      <c r="E525" s="11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</row>
    <row r="526" spans="1:23">
      <c r="A526" s="12"/>
      <c r="B526" s="12"/>
      <c r="C526" s="12"/>
      <c r="D526" s="11"/>
      <c r="E526" s="11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</row>
    <row r="527" spans="1:23">
      <c r="A527" s="12"/>
      <c r="B527" s="12"/>
      <c r="C527" s="12"/>
      <c r="D527" s="11"/>
      <c r="E527" s="11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</row>
    <row r="528" spans="1:23">
      <c r="A528" s="12"/>
      <c r="B528" s="12"/>
      <c r="C528" s="12"/>
      <c r="D528" s="11"/>
      <c r="E528" s="11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</row>
    <row r="529" spans="1:23">
      <c r="A529" s="12"/>
      <c r="B529" s="12"/>
      <c r="C529" s="12"/>
      <c r="D529" s="11"/>
      <c r="E529" s="11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</row>
    <row r="530" spans="1:23">
      <c r="A530" s="12"/>
      <c r="B530" s="12"/>
      <c r="C530" s="12"/>
      <c r="D530" s="11"/>
      <c r="E530" s="11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</row>
    <row r="531" spans="1:23">
      <c r="A531" s="12"/>
      <c r="B531" s="12"/>
      <c r="C531" s="12"/>
      <c r="D531" s="11"/>
      <c r="E531" s="11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</row>
    <row r="532" spans="1:23">
      <c r="A532" s="12"/>
      <c r="B532" s="12"/>
      <c r="C532" s="12"/>
      <c r="D532" s="11"/>
      <c r="E532" s="11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</row>
    <row r="533" spans="1:23">
      <c r="A533" s="12"/>
      <c r="B533" s="12"/>
      <c r="C533" s="12"/>
      <c r="D533" s="11"/>
      <c r="E533" s="11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</row>
    <row r="534" spans="1:23">
      <c r="A534" s="12"/>
      <c r="B534" s="12"/>
      <c r="C534" s="12"/>
      <c r="D534" s="11"/>
      <c r="E534" s="11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</row>
    <row r="535" spans="1:23">
      <c r="A535" s="12"/>
      <c r="B535" s="12"/>
      <c r="C535" s="12"/>
      <c r="D535" s="11"/>
      <c r="E535" s="11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</row>
    <row r="536" spans="1:23">
      <c r="A536" s="12"/>
      <c r="B536" s="12"/>
      <c r="C536" s="12"/>
      <c r="D536" s="11"/>
      <c r="E536" s="11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</row>
    <row r="537" spans="1:23">
      <c r="A537" s="12"/>
      <c r="B537" s="12"/>
      <c r="C537" s="12"/>
      <c r="D537" s="11"/>
      <c r="E537" s="11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</row>
    <row r="538" spans="1:23">
      <c r="A538" s="12"/>
      <c r="B538" s="12"/>
      <c r="C538" s="12"/>
      <c r="D538" s="11"/>
      <c r="E538" s="11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</row>
    <row r="539" spans="1:23">
      <c r="A539" s="12"/>
      <c r="B539" s="12"/>
      <c r="C539" s="12"/>
      <c r="D539" s="11"/>
      <c r="E539" s="11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</row>
    <row r="540" spans="1:23">
      <c r="A540" s="12"/>
      <c r="B540" s="12"/>
      <c r="C540" s="12"/>
      <c r="D540" s="11"/>
      <c r="E540" s="11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</row>
    <row r="541" spans="1:23">
      <c r="A541" s="12"/>
      <c r="B541" s="12"/>
      <c r="C541" s="12"/>
      <c r="D541" s="11"/>
      <c r="E541" s="11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</row>
    <row r="542" spans="1:23">
      <c r="A542" s="12"/>
      <c r="B542" s="12"/>
      <c r="C542" s="12"/>
      <c r="D542" s="11"/>
      <c r="E542" s="11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</row>
    <row r="543" spans="1:23">
      <c r="A543" s="12"/>
      <c r="B543" s="12"/>
      <c r="C543" s="12"/>
      <c r="D543" s="11"/>
      <c r="E543" s="11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</row>
    <row r="544" spans="1:23">
      <c r="A544" s="12"/>
      <c r="B544" s="12"/>
      <c r="C544" s="12"/>
      <c r="D544" s="11"/>
      <c r="E544" s="11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</row>
    <row r="545" spans="1:23">
      <c r="A545" s="12"/>
      <c r="B545" s="12"/>
      <c r="C545" s="12"/>
      <c r="D545" s="11"/>
      <c r="E545" s="11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</row>
    <row r="546" spans="1:23">
      <c r="A546" s="12"/>
      <c r="B546" s="12"/>
      <c r="C546" s="12"/>
      <c r="D546" s="11"/>
      <c r="E546" s="11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</row>
    <row r="547" spans="1:23">
      <c r="A547" s="12"/>
      <c r="B547" s="12"/>
      <c r="C547" s="12"/>
      <c r="D547" s="11"/>
      <c r="E547" s="11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</row>
    <row r="548" spans="1:23">
      <c r="A548" s="12"/>
      <c r="B548" s="12"/>
      <c r="C548" s="12"/>
      <c r="D548" s="11"/>
      <c r="E548" s="11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</row>
    <row r="549" spans="1:23">
      <c r="A549" s="12"/>
      <c r="B549" s="12"/>
      <c r="C549" s="12"/>
      <c r="D549" s="11"/>
      <c r="E549" s="11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</row>
    <row r="550" spans="1:23">
      <c r="A550" s="12"/>
      <c r="B550" s="12"/>
      <c r="C550" s="12"/>
      <c r="D550" s="11"/>
      <c r="E550" s="11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</row>
    <row r="551" spans="1:23">
      <c r="A551" s="12"/>
      <c r="B551" s="12"/>
      <c r="C551" s="12"/>
      <c r="D551" s="11"/>
      <c r="E551" s="11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</row>
    <row r="552" spans="1:23">
      <c r="A552" s="12"/>
      <c r="B552" s="12"/>
      <c r="C552" s="12"/>
      <c r="D552" s="11"/>
      <c r="E552" s="11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</row>
    <row r="553" spans="1:23">
      <c r="A553" s="12"/>
      <c r="B553" s="12"/>
      <c r="C553" s="12"/>
      <c r="D553" s="11"/>
      <c r="E553" s="11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</row>
    <row r="554" spans="1:23">
      <c r="A554" s="12"/>
      <c r="B554" s="12"/>
      <c r="C554" s="12"/>
      <c r="D554" s="11"/>
      <c r="E554" s="11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</row>
    <row r="555" spans="1:23">
      <c r="A555" s="12"/>
      <c r="B555" s="12"/>
      <c r="C555" s="12"/>
      <c r="D555" s="11"/>
      <c r="E555" s="11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</row>
    <row r="556" spans="1:23">
      <c r="A556" s="12"/>
      <c r="B556" s="12"/>
      <c r="C556" s="12"/>
      <c r="D556" s="11"/>
      <c r="E556" s="11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</row>
    <row r="557" spans="1:23">
      <c r="A557" s="12"/>
      <c r="B557" s="12"/>
      <c r="C557" s="12"/>
      <c r="D557" s="11"/>
      <c r="E557" s="11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</row>
    <row r="558" spans="1:23">
      <c r="A558" s="12"/>
      <c r="B558" s="12"/>
      <c r="C558" s="12"/>
      <c r="D558" s="11"/>
      <c r="E558" s="11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</row>
    <row r="559" spans="1:23">
      <c r="A559" s="12"/>
      <c r="B559" s="12"/>
      <c r="C559" s="12"/>
      <c r="D559" s="11"/>
      <c r="E559" s="11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</row>
    <row r="560" spans="1:23">
      <c r="A560" s="12"/>
      <c r="B560" s="12"/>
      <c r="C560" s="12"/>
      <c r="D560" s="11"/>
      <c r="E560" s="11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topLeftCell="A15" workbookViewId="0">
      <selection activeCell="F18" sqref="F18"/>
    </sheetView>
  </sheetViews>
  <sheetFormatPr defaultColWidth="14.42578125" defaultRowHeight="15.75" customHeight="1"/>
  <cols>
    <col min="1" max="16384" width="14.42578125" style="12"/>
  </cols>
  <sheetData>
    <row r="1" spans="1:7" s="10" customFormat="1" ht="12.75">
      <c r="C1" s="9"/>
    </row>
    <row r="2" spans="1:7" ht="15">
      <c r="A2" s="9"/>
      <c r="B2" s="10"/>
      <c r="C2" s="9">
        <v>2018</v>
      </c>
    </row>
    <row r="3" spans="1:7" ht="15">
      <c r="B3" s="11" t="s">
        <v>66</v>
      </c>
      <c r="C3" s="11">
        <v>351400</v>
      </c>
      <c r="E3" s="11" t="s">
        <v>56</v>
      </c>
      <c r="F3" s="11">
        <v>0.65</v>
      </c>
      <c r="G3" s="11" t="s">
        <v>67</v>
      </c>
    </row>
    <row r="4" spans="1:7" ht="15">
      <c r="B4" s="11" t="s">
        <v>68</v>
      </c>
      <c r="C4" s="11">
        <v>1166200</v>
      </c>
      <c r="E4" s="11" t="s">
        <v>69</v>
      </c>
      <c r="F4" s="11">
        <v>6.5000000000000002E-2</v>
      </c>
      <c r="G4" s="11" t="s">
        <v>70</v>
      </c>
    </row>
    <row r="5" spans="1:7" ht="15">
      <c r="E5" s="11" t="s">
        <v>71</v>
      </c>
      <c r="F5" s="11">
        <v>0.14399999999999999</v>
      </c>
      <c r="G5" s="11" t="s">
        <v>72</v>
      </c>
    </row>
    <row r="6" spans="1:7" ht="15">
      <c r="B6" s="9" t="s">
        <v>87</v>
      </c>
      <c r="C6" s="97">
        <f>C4/C3</f>
        <v>3.3187250996015938</v>
      </c>
      <c r="E6" s="9" t="s">
        <v>73</v>
      </c>
      <c r="F6" s="96">
        <f>F4+F3*(F5-F4)</f>
        <v>0.11635</v>
      </c>
    </row>
    <row r="7" spans="1:7" ht="15"/>
    <row r="8" spans="1:7" ht="15">
      <c r="B8" s="11" t="s">
        <v>74</v>
      </c>
      <c r="C8" s="11">
        <v>25825700</v>
      </c>
      <c r="E8" s="9" t="s">
        <v>75</v>
      </c>
    </row>
    <row r="9" spans="1:7" ht="15">
      <c r="B9" s="11" t="s">
        <v>76</v>
      </c>
      <c r="C9" s="11">
        <v>8209851</v>
      </c>
      <c r="E9" s="9" t="s">
        <v>77</v>
      </c>
    </row>
    <row r="10" spans="1:7" ht="15">
      <c r="B10" s="11" t="s">
        <v>78</v>
      </c>
      <c r="C10" s="14">
        <f t="shared" ref="C10" si="0">C9/C8</f>
        <v>0.31789461660284135</v>
      </c>
      <c r="E10" s="9" t="s">
        <v>79</v>
      </c>
    </row>
    <row r="11" spans="1:7" ht="15"/>
    <row r="12" spans="1:7" ht="15">
      <c r="B12" s="11" t="s">
        <v>80</v>
      </c>
      <c r="C12" s="11">
        <v>96420</v>
      </c>
    </row>
    <row r="13" spans="1:7" ht="15">
      <c r="B13" s="11" t="s">
        <v>81</v>
      </c>
      <c r="C13" s="18">
        <v>10800</v>
      </c>
    </row>
    <row r="14" spans="1:7" ht="15">
      <c r="B14" s="11" t="s">
        <v>82</v>
      </c>
      <c r="C14" s="12">
        <f>C12*C13</f>
        <v>1041336000</v>
      </c>
    </row>
    <row r="15" spans="1:7" ht="15"/>
    <row r="16" spans="1:7" ht="15">
      <c r="B16" s="11" t="s">
        <v>83</v>
      </c>
      <c r="C16" s="11">
        <v>351400</v>
      </c>
    </row>
    <row r="17" spans="2:3" ht="15"/>
    <row r="18" spans="2:3" ht="15">
      <c r="B18" s="11" t="s">
        <v>84</v>
      </c>
      <c r="C18" s="12">
        <f>C14+C16</f>
        <v>1041687400</v>
      </c>
    </row>
    <row r="19" spans="2:3" ht="15"/>
    <row r="20" spans="2:3" ht="15">
      <c r="B20" s="11" t="s">
        <v>85</v>
      </c>
      <c r="C20" s="12">
        <f>C14/C18</f>
        <v>0.99966266271436133</v>
      </c>
    </row>
    <row r="21" spans="2:3" ht="15">
      <c r="B21" s="11" t="s">
        <v>86</v>
      </c>
      <c r="C21" s="12">
        <f>C16/C18</f>
        <v>3.3733728563866664E-4</v>
      </c>
    </row>
    <row r="22" spans="2:3" ht="15"/>
    <row r="24" spans="2:3" ht="15">
      <c r="B24" s="9" t="s">
        <v>37</v>
      </c>
      <c r="C24" s="96">
        <f>C6*C21*(1-C10)+F6*C20</f>
        <v>0.11707438805357323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topLeftCell="A10" zoomScaleNormal="100" workbookViewId="0">
      <selection activeCell="R37" sqref="R37"/>
    </sheetView>
  </sheetViews>
  <sheetFormatPr defaultRowHeight="15"/>
  <cols>
    <col min="1" max="1" width="13.5703125" style="2" bestFit="1" customWidth="1"/>
    <col min="2" max="2" width="13.5703125" style="2" customWidth="1"/>
    <col min="3" max="3" width="14.85546875" style="1" bestFit="1" customWidth="1"/>
    <col min="8" max="8" width="10.85546875" customWidth="1"/>
    <col min="9" max="9" width="10.5703125" customWidth="1"/>
    <col min="10" max="10" width="18.7109375" customWidth="1"/>
    <col min="13" max="13" width="18.42578125" style="1" customWidth="1"/>
    <col min="14" max="14" width="9.140625" customWidth="1"/>
    <col min="16" max="16" width="12" bestFit="1" customWidth="1"/>
  </cols>
  <sheetData>
    <row r="1" spans="1:21">
      <c r="A1" s="7" t="s">
        <v>35</v>
      </c>
    </row>
    <row r="2" spans="1:21">
      <c r="A2" s="7" t="s">
        <v>36</v>
      </c>
    </row>
    <row r="3" spans="1:21" s="1" customFormat="1">
      <c r="A3" s="2"/>
      <c r="B3" s="2"/>
      <c r="C3" s="1" t="s">
        <v>0</v>
      </c>
      <c r="D3" s="1">
        <v>2013</v>
      </c>
      <c r="E3" s="1">
        <v>2014</v>
      </c>
      <c r="F3" s="1">
        <v>2015</v>
      </c>
      <c r="G3" s="1">
        <v>2016</v>
      </c>
      <c r="H3" s="1">
        <v>2017</v>
      </c>
      <c r="I3" s="1">
        <v>2018</v>
      </c>
      <c r="J3" s="1" t="s">
        <v>33</v>
      </c>
      <c r="N3" s="1">
        <v>2019</v>
      </c>
      <c r="O3" s="1">
        <v>2020</v>
      </c>
      <c r="P3" s="1">
        <v>2021</v>
      </c>
      <c r="Q3" s="1">
        <v>2022</v>
      </c>
      <c r="R3" s="1">
        <v>2023</v>
      </c>
      <c r="S3" s="1">
        <v>2024</v>
      </c>
      <c r="T3" s="1">
        <v>2025</v>
      </c>
      <c r="U3" s="1">
        <v>2026</v>
      </c>
    </row>
    <row r="4" spans="1:21" s="1" customFormat="1">
      <c r="A4" s="2"/>
      <c r="B4" s="2"/>
      <c r="D4" s="1">
        <v>1</v>
      </c>
      <c r="E4" s="1">
        <v>2</v>
      </c>
      <c r="F4" s="1">
        <v>3</v>
      </c>
      <c r="G4" s="1">
        <v>4</v>
      </c>
      <c r="H4" s="1">
        <v>5</v>
      </c>
      <c r="I4" s="1">
        <v>6</v>
      </c>
      <c r="J4" s="1">
        <v>7</v>
      </c>
    </row>
    <row r="5" spans="1:21" s="1" customFormat="1">
      <c r="C5" s="1" t="s">
        <v>12</v>
      </c>
      <c r="D5" s="4">
        <v>90619</v>
      </c>
      <c r="E5" s="4">
        <v>98062.7</v>
      </c>
      <c r="F5" s="1">
        <v>81232.72</v>
      </c>
      <c r="G5" s="1">
        <v>91592.8</v>
      </c>
      <c r="H5" s="1">
        <v>101351.1</v>
      </c>
      <c r="I5" s="1">
        <v>112162.3</v>
      </c>
      <c r="M5" s="1" t="s">
        <v>25</v>
      </c>
      <c r="N5" s="2">
        <v>0.106</v>
      </c>
      <c r="P5" s="2">
        <f>N5/2</f>
        <v>5.2999999999999999E-2</v>
      </c>
      <c r="Q5" s="2">
        <f>N5</f>
        <v>0.106</v>
      </c>
      <c r="R5" s="2">
        <f>N5</f>
        <v>0.106</v>
      </c>
      <c r="S5" s="2">
        <f>N5</f>
        <v>0.106</v>
      </c>
      <c r="T5" s="2">
        <f>N5</f>
        <v>0.106</v>
      </c>
      <c r="U5" s="2">
        <f>N5</f>
        <v>0.106</v>
      </c>
    </row>
    <row r="6" spans="1:21">
      <c r="C6" s="2" t="s">
        <v>1</v>
      </c>
      <c r="D6">
        <v>391.5</v>
      </c>
      <c r="E6">
        <v>485.7</v>
      </c>
      <c r="F6">
        <v>520.4</v>
      </c>
      <c r="G6">
        <v>645.20000000000005</v>
      </c>
      <c r="H6">
        <v>570.70000000000005</v>
      </c>
      <c r="I6">
        <v>760.4</v>
      </c>
      <c r="M6" s="1" t="s">
        <v>26</v>
      </c>
      <c r="N6">
        <f>I8*(1+N5)</f>
        <v>127756.1614</v>
      </c>
      <c r="O6">
        <f>N6*0.6</f>
        <v>76653.69683999999</v>
      </c>
      <c r="P6">
        <f>(1+P5)*O6</f>
        <v>80716.342772519987</v>
      </c>
      <c r="Q6">
        <f t="shared" ref="Q6:U6" si="0">(1+Q5)*P6</f>
        <v>89272.27510640712</v>
      </c>
      <c r="R6">
        <f t="shared" si="0"/>
        <v>98735.136267686277</v>
      </c>
      <c r="S6">
        <f t="shared" si="0"/>
        <v>109201.06071206104</v>
      </c>
      <c r="T6">
        <f t="shared" si="0"/>
        <v>120776.37314753952</v>
      </c>
      <c r="U6">
        <f t="shared" si="0"/>
        <v>133578.66870117871</v>
      </c>
    </row>
    <row r="7" spans="1:21">
      <c r="C7" s="2" t="s">
        <v>27</v>
      </c>
      <c r="D7">
        <v>830.9</v>
      </c>
      <c r="E7">
        <v>873.2</v>
      </c>
      <c r="F7">
        <v>1100.9000000000001</v>
      </c>
      <c r="G7">
        <v>1493.9</v>
      </c>
      <c r="H7">
        <v>1769.2</v>
      </c>
      <c r="I7">
        <v>2589.1999999999998</v>
      </c>
    </row>
    <row r="8" spans="1:21">
      <c r="C8" s="1" t="s">
        <v>2</v>
      </c>
      <c r="D8" s="3">
        <f>D5+D6+D7</f>
        <v>91841.4</v>
      </c>
      <c r="E8" s="3">
        <f t="shared" ref="E8:I8" si="1">E5+E6+E7</f>
        <v>99421.599999999991</v>
      </c>
      <c r="F8" s="3">
        <f t="shared" si="1"/>
        <v>82854.01999999999</v>
      </c>
      <c r="G8" s="3">
        <f t="shared" si="1"/>
        <v>93731.9</v>
      </c>
      <c r="H8" s="3">
        <f t="shared" si="1"/>
        <v>103691</v>
      </c>
      <c r="I8" s="3">
        <f t="shared" si="1"/>
        <v>115511.9</v>
      </c>
      <c r="J8" s="1">
        <v>127721.5</v>
      </c>
      <c r="M8" s="1" t="s">
        <v>3</v>
      </c>
      <c r="N8">
        <f>0.47*N6</f>
        <v>60045.395857999996</v>
      </c>
      <c r="O8">
        <f>0.47*O6</f>
        <v>36027.237514799992</v>
      </c>
      <c r="P8">
        <f>0.47*P6</f>
        <v>37936.681103084389</v>
      </c>
      <c r="Q8">
        <f t="shared" ref="Q8:U8" si="2">0.47*Q6</f>
        <v>41957.969300011348</v>
      </c>
      <c r="R8">
        <f t="shared" si="2"/>
        <v>46405.514045812546</v>
      </c>
      <c r="S8">
        <f t="shared" si="2"/>
        <v>51324.498534668681</v>
      </c>
      <c r="T8">
        <f t="shared" si="2"/>
        <v>56764.895379343572</v>
      </c>
      <c r="U8">
        <f t="shared" si="2"/>
        <v>62781.974289553989</v>
      </c>
    </row>
    <row r="9" spans="1:21">
      <c r="M9" s="1" t="s">
        <v>20</v>
      </c>
      <c r="N9">
        <f>0.31*N6</f>
        <v>39604.410034</v>
      </c>
      <c r="O9">
        <f>0.34*O6</f>
        <v>26062.256925599999</v>
      </c>
      <c r="P9">
        <f>0.31*P6</f>
        <v>25022.066259481195</v>
      </c>
      <c r="Q9">
        <f t="shared" ref="Q9:U9" si="3">0.31*Q6</f>
        <v>27674.405282986208</v>
      </c>
      <c r="R9">
        <f t="shared" si="3"/>
        <v>30607.892242982747</v>
      </c>
      <c r="S9">
        <f t="shared" si="3"/>
        <v>33852.32882073892</v>
      </c>
      <c r="T9">
        <f t="shared" si="3"/>
        <v>37440.67567573725</v>
      </c>
      <c r="U9">
        <f t="shared" si="3"/>
        <v>41409.3872973654</v>
      </c>
    </row>
    <row r="10" spans="1:21">
      <c r="C10" s="1" t="s">
        <v>4</v>
      </c>
      <c r="D10" s="3"/>
      <c r="M10" s="1" t="s">
        <v>21</v>
      </c>
      <c r="N10">
        <f>N8+N9</f>
        <v>99649.805892000004</v>
      </c>
      <c r="O10">
        <f>O8+O9</f>
        <v>62089.494440399991</v>
      </c>
      <c r="P10">
        <f>P8+P9</f>
        <v>62958.747362565584</v>
      </c>
      <c r="Q10">
        <f t="shared" ref="Q10:U10" si="4">Q8+Q9</f>
        <v>69632.374582997552</v>
      </c>
      <c r="R10">
        <f t="shared" si="4"/>
        <v>77013.40628879529</v>
      </c>
      <c r="S10">
        <f t="shared" si="4"/>
        <v>85176.8273554076</v>
      </c>
      <c r="T10">
        <f t="shared" si="4"/>
        <v>94205.571055080829</v>
      </c>
      <c r="U10">
        <f t="shared" si="4"/>
        <v>104191.36158691939</v>
      </c>
    </row>
    <row r="11" spans="1:21">
      <c r="C11" s="2" t="s">
        <v>5</v>
      </c>
      <c r="D11" s="3">
        <v>39069.9</v>
      </c>
      <c r="E11" s="3">
        <v>44285.4</v>
      </c>
      <c r="F11" s="3">
        <v>33588.699999999997</v>
      </c>
      <c r="G11" s="3">
        <v>37750.9</v>
      </c>
      <c r="H11" s="3">
        <v>42316.6</v>
      </c>
      <c r="I11" s="3">
        <v>43656.800000000003</v>
      </c>
      <c r="M11" s="1" t="s">
        <v>16</v>
      </c>
      <c r="N11">
        <f>N6-N10</f>
        <v>28106.355507999993</v>
      </c>
      <c r="O11">
        <f>O6-O10</f>
        <v>14564.202399599999</v>
      </c>
      <c r="P11">
        <f t="shared" ref="P11:U11" si="5">P6-P10</f>
        <v>17757.595409954403</v>
      </c>
      <c r="Q11">
        <f t="shared" si="5"/>
        <v>19639.900523409568</v>
      </c>
      <c r="R11">
        <f t="shared" si="5"/>
        <v>21721.729978890988</v>
      </c>
      <c r="S11">
        <f t="shared" si="5"/>
        <v>24024.233356653436</v>
      </c>
      <c r="T11">
        <f t="shared" si="5"/>
        <v>26570.802092458689</v>
      </c>
      <c r="U11">
        <f t="shared" si="5"/>
        <v>29387.307114259325</v>
      </c>
    </row>
    <row r="12" spans="1:21">
      <c r="C12" s="2" t="s">
        <v>6</v>
      </c>
      <c r="D12">
        <v>4373.5</v>
      </c>
      <c r="E12">
        <v>4794.5</v>
      </c>
      <c r="F12">
        <v>3869.9</v>
      </c>
      <c r="G12">
        <v>4555.6000000000004</v>
      </c>
      <c r="H12">
        <v>4772.5</v>
      </c>
      <c r="I12">
        <v>5256</v>
      </c>
      <c r="M12" s="1" t="s">
        <v>28</v>
      </c>
      <c r="N12">
        <v>0.33800000000000002</v>
      </c>
      <c r="O12">
        <v>0.318</v>
      </c>
      <c r="P12">
        <v>0.318</v>
      </c>
      <c r="Q12">
        <v>0.33800000000000002</v>
      </c>
      <c r="R12">
        <v>0.33800000000000002</v>
      </c>
      <c r="S12">
        <v>0.33800000000000002</v>
      </c>
      <c r="T12">
        <v>0.33800000000000002</v>
      </c>
      <c r="U12">
        <v>0.33800000000000002</v>
      </c>
    </row>
    <row r="13" spans="1:21">
      <c r="C13" s="2" t="s">
        <v>7</v>
      </c>
      <c r="D13">
        <v>3853.8</v>
      </c>
      <c r="E13">
        <v>3843.3</v>
      </c>
      <c r="F13">
        <v>2219.9</v>
      </c>
      <c r="G13">
        <v>2327.9</v>
      </c>
      <c r="H13">
        <v>2884.4</v>
      </c>
      <c r="I13">
        <v>3441.8</v>
      </c>
    </row>
    <row r="14" spans="1:21">
      <c r="C14" s="2" t="s">
        <v>8</v>
      </c>
      <c r="D14">
        <v>422.6</v>
      </c>
      <c r="E14">
        <v>490.7</v>
      </c>
      <c r="F14">
        <v>412.7</v>
      </c>
      <c r="G14">
        <v>452.6</v>
      </c>
      <c r="H14">
        <v>503.8</v>
      </c>
      <c r="I14">
        <v>538.79999999999995</v>
      </c>
    </row>
    <row r="15" spans="1:21">
      <c r="C15" s="2" t="s">
        <v>9</v>
      </c>
      <c r="D15">
        <v>714.7</v>
      </c>
      <c r="E15">
        <v>661.8</v>
      </c>
      <c r="F15">
        <v>397.5</v>
      </c>
      <c r="G15">
        <v>378</v>
      </c>
      <c r="H15">
        <v>374.7</v>
      </c>
      <c r="I15">
        <v>364.3</v>
      </c>
      <c r="L15" s="1"/>
      <c r="M15" s="1" t="s">
        <v>17</v>
      </c>
      <c r="N15" s="2">
        <f>(1-N12)*N11</f>
        <v>18606.407346295993</v>
      </c>
      <c r="O15" s="2">
        <f>(1-O12)*O11</f>
        <v>9932.786036527199</v>
      </c>
      <c r="P15" s="2">
        <f t="shared" ref="P15:U15" si="6">(1-P12)*P11</f>
        <v>12110.680069588901</v>
      </c>
      <c r="Q15" s="2">
        <f t="shared" si="6"/>
        <v>13001.614146497132</v>
      </c>
      <c r="R15" s="2">
        <f t="shared" si="6"/>
        <v>14379.785246025833</v>
      </c>
      <c r="S15" s="2">
        <f t="shared" si="6"/>
        <v>15904.042482104573</v>
      </c>
      <c r="T15" s="2">
        <f t="shared" si="6"/>
        <v>17589.87098520765</v>
      </c>
      <c r="U15" s="2">
        <f t="shared" si="6"/>
        <v>19454.397309639669</v>
      </c>
    </row>
    <row r="16" spans="1:21">
      <c r="C16" s="2" t="s">
        <v>10</v>
      </c>
      <c r="D16">
        <v>786</v>
      </c>
      <c r="E16">
        <v>869.5</v>
      </c>
      <c r="F16">
        <v>895.9</v>
      </c>
      <c r="G16">
        <v>1045.8</v>
      </c>
      <c r="H16">
        <v>1005.6</v>
      </c>
      <c r="I16">
        <v>925.6</v>
      </c>
      <c r="M16" s="1" t="s">
        <v>29</v>
      </c>
      <c r="N16">
        <v>3409.6</v>
      </c>
      <c r="O16">
        <f>N16+0.2*(O19-N19)</f>
        <v>3267.2925692559998</v>
      </c>
      <c r="P16">
        <f t="shared" ref="P16:U16" si="7">O16+0.2*(P19-O19)</f>
        <v>3260.1193163057123</v>
      </c>
      <c r="Q16">
        <f t="shared" si="7"/>
        <v>3286.984943834118</v>
      </c>
      <c r="R16">
        <f t="shared" si="7"/>
        <v>3316.6983278805346</v>
      </c>
      <c r="S16">
        <f t="shared" si="7"/>
        <v>3349.5613306358714</v>
      </c>
      <c r="T16">
        <f t="shared" si="7"/>
        <v>3385.9078116832738</v>
      </c>
      <c r="U16">
        <f t="shared" si="7"/>
        <v>3426.1070197217009</v>
      </c>
    </row>
    <row r="17" spans="3:21">
      <c r="C17" s="2" t="s">
        <v>11</v>
      </c>
      <c r="D17">
        <v>704.2</v>
      </c>
      <c r="E17">
        <v>686</v>
      </c>
      <c r="F17">
        <v>744</v>
      </c>
      <c r="G17">
        <v>773.6</v>
      </c>
      <c r="H17">
        <v>780.3</v>
      </c>
      <c r="I17">
        <v>799.3</v>
      </c>
      <c r="M17" s="1" t="s">
        <v>34</v>
      </c>
      <c r="N17">
        <v>31930.375</v>
      </c>
      <c r="O17">
        <f>0.8*N17</f>
        <v>25544.300000000003</v>
      </c>
      <c r="P17">
        <f>O17*(1+P5)</f>
        <v>26898.1479</v>
      </c>
      <c r="Q17">
        <f t="shared" ref="Q17:U17" si="8">P17*(1+Q5)</f>
        <v>29749.351577400001</v>
      </c>
      <c r="R17">
        <f t="shared" si="8"/>
        <v>32902.7828446044</v>
      </c>
      <c r="S17">
        <f t="shared" si="8"/>
        <v>36390.477826132468</v>
      </c>
      <c r="T17">
        <f t="shared" si="8"/>
        <v>40247.868475702511</v>
      </c>
      <c r="U17">
        <f t="shared" si="8"/>
        <v>44514.142534126979</v>
      </c>
    </row>
    <row r="18" spans="3:21" s="1" customFormat="1">
      <c r="C18" s="1" t="s">
        <v>3</v>
      </c>
      <c r="D18" s="4">
        <f>SUM(D11:D17)</f>
        <v>49924.7</v>
      </c>
      <c r="E18" s="4">
        <f t="shared" ref="E18:I18" si="9">SUM(E11:E17)</f>
        <v>55631.200000000004</v>
      </c>
      <c r="F18" s="4">
        <f t="shared" si="9"/>
        <v>42128.6</v>
      </c>
      <c r="G18" s="4">
        <f t="shared" si="9"/>
        <v>47284.4</v>
      </c>
      <c r="H18" s="4">
        <f t="shared" si="9"/>
        <v>52637.9</v>
      </c>
      <c r="I18" s="4">
        <f t="shared" si="9"/>
        <v>54982.600000000013</v>
      </c>
      <c r="M18" s="1" t="s">
        <v>32</v>
      </c>
      <c r="N18">
        <v>3110.375</v>
      </c>
      <c r="O18" s="2">
        <f>O17-N17</f>
        <v>-6386.0749999999971</v>
      </c>
      <c r="P18" s="2">
        <f t="shared" ref="P18:U18" si="10">P17-O17</f>
        <v>1353.847899999997</v>
      </c>
      <c r="Q18" s="2">
        <f t="shared" si="10"/>
        <v>2851.2036774000007</v>
      </c>
      <c r="R18" s="2">
        <f t="shared" si="10"/>
        <v>3153.4312672043998</v>
      </c>
      <c r="S18" s="2">
        <f t="shared" si="10"/>
        <v>3487.6949815280677</v>
      </c>
      <c r="T18" s="2">
        <f t="shared" si="10"/>
        <v>3857.390649570043</v>
      </c>
      <c r="U18" s="2">
        <f t="shared" si="10"/>
        <v>4266.2740584244675</v>
      </c>
    </row>
    <row r="19" spans="3:21">
      <c r="L19" s="1"/>
      <c r="M19" s="1" t="s">
        <v>30</v>
      </c>
      <c r="N19" s="2">
        <v>2014.65</v>
      </c>
      <c r="O19">
        <f>0.017*O6</f>
        <v>1303.11284628</v>
      </c>
      <c r="P19">
        <f>0.0157*P6</f>
        <v>1267.2465815285636</v>
      </c>
      <c r="Q19">
        <f t="shared" ref="Q19:U19" si="11">0.0157*Q6</f>
        <v>1401.5747191705916</v>
      </c>
      <c r="R19">
        <f t="shared" si="11"/>
        <v>1550.1416394026744</v>
      </c>
      <c r="S19">
        <f t="shared" si="11"/>
        <v>1714.4566531793582</v>
      </c>
      <c r="T19">
        <f t="shared" si="11"/>
        <v>1896.1890584163702</v>
      </c>
      <c r="U19">
        <f t="shared" si="11"/>
        <v>2097.1850986085055</v>
      </c>
    </row>
    <row r="20" spans="3:21" s="1" customFormat="1">
      <c r="C20" s="1" t="s">
        <v>13</v>
      </c>
      <c r="D20" s="5">
        <f>D5-D18</f>
        <v>40694.300000000003</v>
      </c>
      <c r="E20" s="5">
        <f t="shared" ref="E20:I20" si="12">E5-E18</f>
        <v>42431.499999999993</v>
      </c>
      <c r="F20" s="5">
        <f t="shared" si="12"/>
        <v>39104.120000000003</v>
      </c>
      <c r="G20" s="5">
        <f t="shared" si="12"/>
        <v>44308.4</v>
      </c>
      <c r="H20" s="5">
        <f t="shared" si="12"/>
        <v>48713.200000000004</v>
      </c>
      <c r="I20" s="5">
        <f t="shared" si="12"/>
        <v>57179.69999999999</v>
      </c>
      <c r="J20" s="2"/>
      <c r="N20"/>
    </row>
    <row r="21" spans="3:21" s="1" customFormat="1">
      <c r="C21" s="1" t="s">
        <v>49</v>
      </c>
      <c r="D21" s="1">
        <v>75199.3</v>
      </c>
      <c r="E21" s="1">
        <v>81663</v>
      </c>
      <c r="F21" s="1">
        <v>74717.72</v>
      </c>
      <c r="G21" s="1">
        <v>79316.5</v>
      </c>
      <c r="H21" s="1">
        <v>85298</v>
      </c>
      <c r="I21" s="1">
        <v>91222.399999999994</v>
      </c>
      <c r="L21"/>
      <c r="M21" s="1" t="s">
        <v>31</v>
      </c>
      <c r="N21">
        <f>N15+N16-N18-N19</f>
        <v>16890.98234629599</v>
      </c>
      <c r="O21">
        <f>O15+O16-O18-O19</f>
        <v>18283.040759503197</v>
      </c>
      <c r="P21">
        <f t="shared" ref="P21:U21" si="13">P15+P16-P18-P19</f>
        <v>12749.704904366054</v>
      </c>
      <c r="Q21">
        <f t="shared" si="13"/>
        <v>12035.820693760656</v>
      </c>
      <c r="R21">
        <f t="shared" si="13"/>
        <v>12992.910667299293</v>
      </c>
      <c r="S21">
        <f t="shared" si="13"/>
        <v>14051.452178033016</v>
      </c>
      <c r="T21">
        <f t="shared" si="13"/>
        <v>15222.199088904512</v>
      </c>
      <c r="U21">
        <f t="shared" si="13"/>
        <v>16517.045172328399</v>
      </c>
    </row>
    <row r="22" spans="3:21" s="1" customFormat="1">
      <c r="C22" s="1" t="s">
        <v>14</v>
      </c>
      <c r="D22" s="4">
        <f t="shared" ref="D22:I22" si="14">D21-D18</f>
        <v>25274.600000000006</v>
      </c>
      <c r="E22" s="4">
        <f t="shared" si="14"/>
        <v>26031.799999999996</v>
      </c>
      <c r="F22" s="4">
        <f t="shared" si="14"/>
        <v>32589.120000000003</v>
      </c>
      <c r="G22" s="4">
        <f t="shared" si="14"/>
        <v>32032.1</v>
      </c>
      <c r="H22" s="4">
        <f t="shared" si="14"/>
        <v>32660.1</v>
      </c>
      <c r="I22" s="4">
        <f t="shared" si="14"/>
        <v>36239.799999999981</v>
      </c>
      <c r="L22"/>
      <c r="M22" s="1" t="s">
        <v>37</v>
      </c>
      <c r="N22" s="8">
        <v>0.11700000000000001</v>
      </c>
      <c r="O22" s="8">
        <v>0.11700000000000001</v>
      </c>
      <c r="P22" s="8">
        <v>0.11700000000000001</v>
      </c>
      <c r="Q22" s="8">
        <v>0.11700000000000001</v>
      </c>
      <c r="R22" s="8">
        <v>0.11700000000000001</v>
      </c>
      <c r="S22" s="8">
        <v>0.11700000000000001</v>
      </c>
      <c r="T22" s="8">
        <v>0.11700000000000001</v>
      </c>
      <c r="U22" s="8">
        <v>0.11700000000000001</v>
      </c>
    </row>
    <row r="23" spans="3:21">
      <c r="C23" s="1" t="s">
        <v>15</v>
      </c>
      <c r="D23">
        <v>3299.5</v>
      </c>
      <c r="E23">
        <v>3375.4</v>
      </c>
      <c r="F23">
        <v>3472.6</v>
      </c>
      <c r="G23">
        <v>3536.2</v>
      </c>
      <c r="H23">
        <v>3422.5</v>
      </c>
      <c r="I23">
        <v>3356.7</v>
      </c>
      <c r="J23">
        <f>GEOMEAN(D23:I23)</f>
        <v>3409.6004587947609</v>
      </c>
      <c r="N23">
        <v>1.117</v>
      </c>
      <c r="O23">
        <f>N23^2</f>
        <v>1.247689</v>
      </c>
      <c r="P23">
        <f>N23^3</f>
        <v>1.393668613</v>
      </c>
      <c r="Q23">
        <f>N23^4</f>
        <v>1.5567278407210001</v>
      </c>
      <c r="R23">
        <f>N23^5</f>
        <v>1.7388649980853572</v>
      </c>
      <c r="S23">
        <f>N23^6</f>
        <v>1.942312202861344</v>
      </c>
      <c r="T23">
        <f>N23^7</f>
        <v>2.1695627305961214</v>
      </c>
      <c r="U23">
        <f>N23^8</f>
        <v>2.4234015700758675</v>
      </c>
    </row>
    <row r="24" spans="3:21">
      <c r="M24" s="1" t="s">
        <v>47</v>
      </c>
      <c r="N24">
        <f>1/N23</f>
        <v>0.89525514771709935</v>
      </c>
      <c r="O24">
        <f t="shared" ref="O24:U24" si="15">1/O23</f>
        <v>0.80148177951396538</v>
      </c>
      <c r="P24">
        <f t="shared" si="15"/>
        <v>0.71753068891133875</v>
      </c>
      <c r="Q24">
        <f t="shared" si="15"/>
        <v>0.64237304289287267</v>
      </c>
      <c r="R24">
        <f t="shared" si="15"/>
        <v>0.57508777340454131</v>
      </c>
      <c r="S24">
        <f t="shared" si="15"/>
        <v>0.51485028952958034</v>
      </c>
      <c r="T24">
        <f t="shared" si="15"/>
        <v>0.46092237200499581</v>
      </c>
      <c r="U24">
        <f t="shared" si="15"/>
        <v>0.41264312623544835</v>
      </c>
    </row>
    <row r="25" spans="3:21">
      <c r="D25" s="3"/>
      <c r="E25" s="3"/>
      <c r="F25" s="3"/>
      <c r="G25" s="3"/>
      <c r="H25" s="3"/>
      <c r="I25" s="3"/>
      <c r="M25" s="1" t="s">
        <v>38</v>
      </c>
      <c r="N25">
        <f t="shared" ref="N25:U25" si="16">N21*N24</f>
        <v>15121.738895520135</v>
      </c>
      <c r="O25">
        <f t="shared" si="16"/>
        <v>14653.524042852983</v>
      </c>
      <c r="P25">
        <f t="shared" si="16"/>
        <v>9148.3045434460491</v>
      </c>
      <c r="Q25">
        <f t="shared" si="16"/>
        <v>7731.4867627640378</v>
      </c>
      <c r="R25">
        <f t="shared" si="16"/>
        <v>7472.0640657012636</v>
      </c>
      <c r="S25">
        <f t="shared" si="16"/>
        <v>7234.3942221713505</v>
      </c>
      <c r="T25">
        <f t="shared" si="16"/>
        <v>7016.2521111901533</v>
      </c>
      <c r="U25">
        <f t="shared" si="16"/>
        <v>6815.6451560817104</v>
      </c>
    </row>
    <row r="26" spans="3:21">
      <c r="C26" s="1" t="s">
        <v>16</v>
      </c>
      <c r="D26">
        <v>16642.099999999999</v>
      </c>
      <c r="E26">
        <v>17758.599999999999</v>
      </c>
      <c r="F26">
        <v>8136.3</v>
      </c>
      <c r="G26">
        <v>14415.4</v>
      </c>
      <c r="H26">
        <v>18393</v>
      </c>
      <c r="I26">
        <v>24289.5</v>
      </c>
      <c r="M26" s="1" t="s">
        <v>39</v>
      </c>
      <c r="N26">
        <f>SUM(N25:U25)</f>
        <v>75193.409799727684</v>
      </c>
    </row>
    <row r="27" spans="3:21">
      <c r="C27" s="1" t="s">
        <v>17</v>
      </c>
      <c r="D27">
        <v>11171.3</v>
      </c>
      <c r="E27">
        <v>11846.9</v>
      </c>
      <c r="F27">
        <v>5632.7</v>
      </c>
      <c r="G27">
        <v>9265.4</v>
      </c>
      <c r="H27">
        <v>12251.9</v>
      </c>
      <c r="I27">
        <v>16069.3</v>
      </c>
      <c r="M27" s="1" t="s">
        <v>40</v>
      </c>
      <c r="N27">
        <f>U21*1.106/(0.117-0.106)</f>
        <v>1660713.8145995631</v>
      </c>
    </row>
    <row r="28" spans="3:21">
      <c r="C28" s="1" t="s">
        <v>28</v>
      </c>
      <c r="D28">
        <f>1-(D27/D26)</f>
        <v>0.32873255178132565</v>
      </c>
      <c r="E28">
        <f t="shared" ref="E28:I28" si="17">1-(E27/E26)</f>
        <v>0.3328922324958048</v>
      </c>
      <c r="F28">
        <f t="shared" si="17"/>
        <v>0.30770743458328731</v>
      </c>
      <c r="G28">
        <f t="shared" si="17"/>
        <v>0.3572568225647571</v>
      </c>
      <c r="H28">
        <f t="shared" si="17"/>
        <v>0.33388245528190075</v>
      </c>
      <c r="I28">
        <f t="shared" si="17"/>
        <v>0.33842606887749849</v>
      </c>
      <c r="J28">
        <f>AVERAGE(D28:I28)</f>
        <v>0.33314959426409568</v>
      </c>
      <c r="M28" s="1" t="s">
        <v>41</v>
      </c>
      <c r="N28">
        <f>N27/N23^8</f>
        <v>685282.1402387605</v>
      </c>
    </row>
    <row r="29" spans="3:21">
      <c r="N29" s="6"/>
    </row>
    <row r="30" spans="3:21">
      <c r="M30" s="1" t="s">
        <v>42</v>
      </c>
      <c r="N30" s="6">
        <f>N28+N26</f>
        <v>760475.55003848823</v>
      </c>
    </row>
    <row r="31" spans="3:21">
      <c r="C31" s="1" t="s">
        <v>62</v>
      </c>
      <c r="D31">
        <f>D18/D8</f>
        <v>0.54359689638877451</v>
      </c>
      <c r="E31">
        <f t="shared" ref="E31:I31" si="18">E18/E8</f>
        <v>0.55954842810817784</v>
      </c>
      <c r="F31">
        <f t="shared" si="18"/>
        <v>0.50846778466512554</v>
      </c>
      <c r="G31">
        <f t="shared" si="18"/>
        <v>0.50446432857970447</v>
      </c>
      <c r="H31">
        <f t="shared" si="18"/>
        <v>0.50764193613717679</v>
      </c>
      <c r="I31">
        <f t="shared" si="18"/>
        <v>0.47599078536497119</v>
      </c>
      <c r="J31">
        <v>0.47</v>
      </c>
      <c r="M31" s="1" t="s">
        <v>43</v>
      </c>
      <c r="N31">
        <v>351.4</v>
      </c>
    </row>
    <row r="32" spans="3:21">
      <c r="C32" s="1" t="s">
        <v>63</v>
      </c>
      <c r="D32">
        <f>D22/D8</f>
        <v>0.27519833103589458</v>
      </c>
      <c r="E32">
        <f t="shared" ref="E32:I32" si="19">E22/E8</f>
        <v>0.26183243882617058</v>
      </c>
      <c r="F32">
        <f t="shared" si="19"/>
        <v>0.39333179005677704</v>
      </c>
      <c r="G32">
        <f t="shared" si="19"/>
        <v>0.34174171226658162</v>
      </c>
      <c r="H32">
        <f t="shared" si="19"/>
        <v>0.31497526304115109</v>
      </c>
      <c r="I32">
        <f t="shared" si="19"/>
        <v>0.31373217824310728</v>
      </c>
      <c r="J32">
        <v>0.31</v>
      </c>
      <c r="M32" s="1" t="s">
        <v>44</v>
      </c>
      <c r="N32" s="6">
        <f>N30-N31</f>
        <v>760124.15003848821</v>
      </c>
    </row>
    <row r="34" spans="3:14">
      <c r="C34" s="1" t="s">
        <v>18</v>
      </c>
      <c r="M34" s="1" t="s">
        <v>45</v>
      </c>
      <c r="N34">
        <v>96.42</v>
      </c>
    </row>
    <row r="35" spans="3:14">
      <c r="C35" s="1" t="s">
        <v>19</v>
      </c>
      <c r="E35">
        <f>(E5-D5)/D5</f>
        <v>8.214281773138081E-2</v>
      </c>
      <c r="F35">
        <f>(F5-E5)/E5</f>
        <v>-0.17162468502294956</v>
      </c>
      <c r="G35">
        <f>(G5-F5)/F5</f>
        <v>0.12753580084478278</v>
      </c>
      <c r="H35">
        <f>(H5-G5)/G5</f>
        <v>0.10654003371444047</v>
      </c>
      <c r="I35">
        <f>(I5-H5)/H5</f>
        <v>0.10667077121017923</v>
      </c>
      <c r="J35" s="2">
        <f>(E35+G35+H35+I35)/4</f>
        <v>0.10572235587519582</v>
      </c>
    </row>
    <row r="36" spans="3:14">
      <c r="M36" s="1" t="s">
        <v>46</v>
      </c>
      <c r="N36">
        <f>N32/N34</f>
        <v>7883.4697162257644</v>
      </c>
    </row>
    <row r="37" spans="3:14">
      <c r="C37" s="1" t="s">
        <v>22</v>
      </c>
      <c r="D37">
        <v>9546.2000000000007</v>
      </c>
      <c r="E37">
        <v>6082.7</v>
      </c>
      <c r="F37">
        <v>10038.799999999999</v>
      </c>
      <c r="G37">
        <v>19160</v>
      </c>
      <c r="H37">
        <v>24446.799999999999</v>
      </c>
      <c r="I37">
        <v>28820</v>
      </c>
      <c r="J37">
        <f>0.25*J8</f>
        <v>31930.375</v>
      </c>
      <c r="M37" s="1" t="s">
        <v>48</v>
      </c>
      <c r="N37">
        <v>10029</v>
      </c>
    </row>
    <row r="38" spans="3:14">
      <c r="C38" s="1" t="s">
        <v>23</v>
      </c>
      <c r="E38">
        <f>E37-D37</f>
        <v>-3463.5000000000009</v>
      </c>
      <c r="F38">
        <f t="shared" ref="F38:J38" si="20">F37-E37</f>
        <v>3956.0999999999995</v>
      </c>
      <c r="G38">
        <f t="shared" si="20"/>
        <v>9121.2000000000007</v>
      </c>
      <c r="H38">
        <f t="shared" si="20"/>
        <v>5286.7999999999993</v>
      </c>
      <c r="I38">
        <f t="shared" si="20"/>
        <v>4373.2000000000007</v>
      </c>
      <c r="J38">
        <f t="shared" si="20"/>
        <v>3110.375</v>
      </c>
    </row>
    <row r="39" spans="3:14">
      <c r="C39" s="1" t="s">
        <v>64</v>
      </c>
      <c r="D39">
        <f>D37/D8</f>
        <v>0.10394223084578416</v>
      </c>
      <c r="E39">
        <f t="shared" ref="E39:I39" si="21">E37/E8</f>
        <v>6.118087015296475E-2</v>
      </c>
      <c r="F39">
        <f t="shared" si="21"/>
        <v>0.12116249760723741</v>
      </c>
      <c r="G39">
        <f t="shared" si="21"/>
        <v>0.20441279863098905</v>
      </c>
      <c r="H39">
        <f t="shared" si="21"/>
        <v>0.23576588132046175</v>
      </c>
      <c r="I39">
        <f t="shared" si="21"/>
        <v>0.2494981036585841</v>
      </c>
    </row>
    <row r="41" spans="3:14">
      <c r="C41" s="1" t="s">
        <v>24</v>
      </c>
      <c r="D41">
        <v>3282.2</v>
      </c>
      <c r="E41">
        <v>4044.8</v>
      </c>
      <c r="F41">
        <v>1493.4</v>
      </c>
      <c r="G41">
        <v>1133.3</v>
      </c>
      <c r="H41">
        <v>1958.5</v>
      </c>
      <c r="I41">
        <v>1627.8</v>
      </c>
      <c r="J41">
        <f>J42*J8</f>
        <v>2014.6548072929916</v>
      </c>
    </row>
    <row r="42" spans="3:14">
      <c r="C42" s="1" t="s">
        <v>65</v>
      </c>
      <c r="D42">
        <f>D41/D8</f>
        <v>3.5737695636172795E-2</v>
      </c>
      <c r="E42">
        <f t="shared" ref="E42:I42" si="22">E41/E8</f>
        <v>4.0683312278217212E-2</v>
      </c>
      <c r="F42">
        <f t="shared" si="22"/>
        <v>1.8024472439599194E-2</v>
      </c>
      <c r="G42">
        <f t="shared" si="22"/>
        <v>1.2090867676852812E-2</v>
      </c>
      <c r="H42">
        <f t="shared" si="22"/>
        <v>1.8887849475846506E-2</v>
      </c>
      <c r="I42">
        <f t="shared" si="22"/>
        <v>1.4092054584852296E-2</v>
      </c>
      <c r="J42">
        <f>(F42+G42+H42+I42)/4</f>
        <v>1.5773811044287701E-2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opLeftCell="A8" workbookViewId="0">
      <selection activeCell="G49" sqref="G49"/>
    </sheetView>
  </sheetViews>
  <sheetFormatPr defaultColWidth="12.42578125" defaultRowHeight="15"/>
  <cols>
    <col min="1" max="1" width="12.42578125" style="48"/>
    <col min="2" max="2" width="25.140625" style="23" bestFit="1" customWidth="1"/>
    <col min="3" max="3" width="15.5703125" style="23" bestFit="1" customWidth="1"/>
    <col min="4" max="5" width="14.28515625" style="23" bestFit="1" customWidth="1"/>
    <col min="6" max="6" width="12.42578125" style="23"/>
    <col min="7" max="7" width="16.140625" style="24" bestFit="1" customWidth="1"/>
    <col min="8" max="9" width="8.7109375" style="23" customWidth="1"/>
    <col min="10" max="10" width="8.5703125" style="23" customWidth="1"/>
    <col min="11" max="16384" width="12.42578125" style="23"/>
  </cols>
  <sheetData>
    <row r="1" spans="1:13">
      <c r="A1" s="23"/>
      <c r="D1" s="23" t="s">
        <v>115</v>
      </c>
    </row>
    <row r="2" spans="1:13" ht="15.75">
      <c r="A2" s="23"/>
      <c r="C2" s="25">
        <v>2018</v>
      </c>
      <c r="D2" s="25">
        <v>2017</v>
      </c>
      <c r="E2" s="25">
        <v>2016</v>
      </c>
      <c r="F2" s="25"/>
      <c r="G2" s="26"/>
      <c r="H2" s="25">
        <v>2018</v>
      </c>
      <c r="I2" s="25">
        <v>2017</v>
      </c>
      <c r="J2" s="25">
        <v>2016</v>
      </c>
    </row>
    <row r="3" spans="1:13">
      <c r="A3" s="82" t="s">
        <v>116</v>
      </c>
      <c r="B3" s="27" t="s">
        <v>117</v>
      </c>
      <c r="C3" s="28">
        <v>47369500</v>
      </c>
      <c r="D3" s="28">
        <v>39373900</v>
      </c>
      <c r="E3" s="29">
        <v>32828000</v>
      </c>
      <c r="G3" s="88" t="s">
        <v>118</v>
      </c>
      <c r="H3" s="83">
        <f>C3/C4</f>
        <v>2.5536806922019459</v>
      </c>
      <c r="I3" s="83">
        <f t="shared" ref="I3:J3" si="0">D3/D4</f>
        <v>2.6377461127747521</v>
      </c>
      <c r="J3" s="85">
        <f t="shared" si="0"/>
        <v>2.4019023230290837</v>
      </c>
    </row>
    <row r="4" spans="1:13">
      <c r="A4" s="82"/>
      <c r="B4" s="30" t="s">
        <v>119</v>
      </c>
      <c r="C4" s="31">
        <v>18549500</v>
      </c>
      <c r="D4" s="31">
        <v>14927100</v>
      </c>
      <c r="E4" s="32">
        <v>13667500</v>
      </c>
      <c r="G4" s="89"/>
      <c r="H4" s="84"/>
      <c r="I4" s="84"/>
      <c r="J4" s="86"/>
    </row>
    <row r="6" spans="1:13" ht="15.75">
      <c r="A6" s="82"/>
      <c r="B6" s="33" t="s">
        <v>120</v>
      </c>
      <c r="C6" s="34">
        <v>37714000</v>
      </c>
      <c r="D6" s="34">
        <v>30348300</v>
      </c>
      <c r="E6" s="35">
        <v>23427400</v>
      </c>
      <c r="G6" s="88" t="s">
        <v>121</v>
      </c>
      <c r="H6" s="83">
        <f>C6/C7</f>
        <v>2.0331545324671825</v>
      </c>
      <c r="I6" s="83">
        <f t="shared" ref="I6:J6" si="1">D6/D7</f>
        <v>2.0331008702293145</v>
      </c>
      <c r="J6" s="85">
        <f t="shared" si="1"/>
        <v>1.714095481982806</v>
      </c>
    </row>
    <row r="7" spans="1:13">
      <c r="A7" s="82"/>
      <c r="B7" s="36" t="s">
        <v>119</v>
      </c>
      <c r="C7" s="37">
        <v>18549500</v>
      </c>
      <c r="D7" s="37">
        <v>14927100</v>
      </c>
      <c r="E7" s="38">
        <v>13667500</v>
      </c>
      <c r="G7" s="89"/>
      <c r="H7" s="84"/>
      <c r="I7" s="84"/>
      <c r="J7" s="86"/>
    </row>
    <row r="9" spans="1:13" ht="15.75">
      <c r="A9" s="82"/>
      <c r="B9" s="33" t="s">
        <v>26</v>
      </c>
      <c r="C9" s="39">
        <v>112922700</v>
      </c>
      <c r="D9" s="39">
        <v>101921800</v>
      </c>
      <c r="E9" s="40">
        <v>94745700</v>
      </c>
      <c r="G9" s="41" t="s">
        <v>122</v>
      </c>
      <c r="H9" s="83">
        <f>C9/C10</f>
        <v>1.4617191358044668</v>
      </c>
      <c r="I9" s="83">
        <f t="shared" ref="I9:J9" si="2">D9/D10</f>
        <v>1.4387037214791059</v>
      </c>
      <c r="J9" s="85">
        <f t="shared" si="2"/>
        <v>1.4692422087860795</v>
      </c>
    </row>
    <row r="10" spans="1:13" ht="15.75">
      <c r="A10" s="82"/>
      <c r="B10" s="36" t="s">
        <v>123</v>
      </c>
      <c r="C10" s="42">
        <v>77253350</v>
      </c>
      <c r="D10" s="42">
        <v>70842800</v>
      </c>
      <c r="E10" s="43">
        <v>64486100</v>
      </c>
      <c r="G10" s="44" t="s">
        <v>124</v>
      </c>
      <c r="H10" s="84"/>
      <c r="I10" s="84"/>
      <c r="J10" s="86"/>
    </row>
    <row r="12" spans="1:13" ht="15.75">
      <c r="A12" s="82"/>
      <c r="B12" s="33" t="s">
        <v>125</v>
      </c>
      <c r="C12" s="39">
        <v>16069300</v>
      </c>
      <c r="D12" s="39">
        <v>12251900</v>
      </c>
      <c r="E12" s="40">
        <v>10013600</v>
      </c>
      <c r="G12" s="41" t="s">
        <v>126</v>
      </c>
      <c r="H12" s="83">
        <f>C12/C13</f>
        <v>0.43740983303118891</v>
      </c>
      <c r="I12" s="83">
        <f t="shared" ref="I12:J12" si="3">D12/D13</f>
        <v>0.35818089861690527</v>
      </c>
      <c r="J12" s="85">
        <f t="shared" si="3"/>
        <v>0.33226930351395295</v>
      </c>
    </row>
    <row r="13" spans="1:13" ht="15.75">
      <c r="A13" s="82"/>
      <c r="B13" s="36" t="s">
        <v>127</v>
      </c>
      <c r="C13" s="42">
        <v>36737400</v>
      </c>
      <c r="D13" s="42">
        <v>34205900</v>
      </c>
      <c r="E13" s="43">
        <v>30137000</v>
      </c>
      <c r="G13" s="44" t="s">
        <v>127</v>
      </c>
      <c r="H13" s="84"/>
      <c r="I13" s="84"/>
      <c r="J13" s="86"/>
      <c r="K13" s="45"/>
      <c r="L13" s="45"/>
      <c r="M13" s="45"/>
    </row>
    <row r="15" spans="1:13">
      <c r="A15" s="82"/>
      <c r="B15" s="33" t="s">
        <v>128</v>
      </c>
      <c r="C15" s="46">
        <v>351400</v>
      </c>
      <c r="D15" s="46">
        <v>351400</v>
      </c>
      <c r="E15" s="47">
        <v>343000</v>
      </c>
      <c r="G15" s="88" t="s">
        <v>129</v>
      </c>
      <c r="H15" s="83">
        <f>C15/C16</f>
        <v>9.5651842536488701E-3</v>
      </c>
      <c r="I15" s="83">
        <f t="shared" ref="I15:J15" si="4">D15/D16</f>
        <v>1.0273081544411929E-2</v>
      </c>
      <c r="J15" s="85">
        <f t="shared" si="4"/>
        <v>1.138135846301888E-2</v>
      </c>
    </row>
    <row r="16" spans="1:13" ht="15.75">
      <c r="A16" s="82"/>
      <c r="B16" s="36" t="s">
        <v>130</v>
      </c>
      <c r="C16" s="42">
        <v>36737400</v>
      </c>
      <c r="D16" s="42">
        <v>34205900</v>
      </c>
      <c r="E16" s="43">
        <v>30137000</v>
      </c>
      <c r="G16" s="89"/>
      <c r="H16" s="84"/>
      <c r="I16" s="84"/>
      <c r="J16" s="86"/>
    </row>
    <row r="17" spans="1:14" ht="15.75">
      <c r="C17" s="45"/>
    </row>
    <row r="18" spans="1:14" ht="15.75">
      <c r="A18" s="82"/>
      <c r="B18" s="33" t="s">
        <v>125</v>
      </c>
      <c r="C18" s="39">
        <v>16069300</v>
      </c>
      <c r="D18" s="39">
        <v>12251900</v>
      </c>
      <c r="E18" s="40">
        <v>10013600</v>
      </c>
      <c r="G18" s="41" t="s">
        <v>131</v>
      </c>
      <c r="H18" s="83">
        <f>C18/C19</f>
        <v>0.14230354038647677</v>
      </c>
      <c r="I18" s="83">
        <f t="shared" ref="I18:J18" si="5">D18/D19</f>
        <v>0.12020882676718818</v>
      </c>
      <c r="J18" s="85">
        <f t="shared" si="5"/>
        <v>0.10568922916818388</v>
      </c>
      <c r="L18" s="45"/>
      <c r="M18" s="45"/>
      <c r="N18" s="45"/>
    </row>
    <row r="19" spans="1:14" ht="15.75">
      <c r="A19" s="82"/>
      <c r="B19" s="36" t="s">
        <v>26</v>
      </c>
      <c r="C19" s="42">
        <v>112922700</v>
      </c>
      <c r="D19" s="42">
        <v>101921800</v>
      </c>
      <c r="E19" s="43">
        <v>94745700</v>
      </c>
      <c r="G19" s="44" t="s">
        <v>132</v>
      </c>
      <c r="H19" s="84"/>
      <c r="I19" s="84"/>
      <c r="J19" s="86"/>
    </row>
    <row r="21" spans="1:14">
      <c r="A21" s="82"/>
      <c r="B21" s="33" t="s">
        <v>99</v>
      </c>
      <c r="C21" s="46">
        <f>26559500-C22</f>
        <v>25440000</v>
      </c>
      <c r="D21" s="46">
        <f>20228800-D22</f>
        <v>19309800</v>
      </c>
      <c r="E21" s="47">
        <f>17273800-E22</f>
        <v>16364700</v>
      </c>
      <c r="G21" s="41" t="s">
        <v>133</v>
      </c>
      <c r="H21" s="83">
        <f>C21/C22</f>
        <v>22.724430549352391</v>
      </c>
      <c r="I21" s="83">
        <f t="shared" ref="I21:J21" si="6">D21/D22</f>
        <v>21.011751904243742</v>
      </c>
      <c r="J21" s="85">
        <f t="shared" si="6"/>
        <v>18.000989990100098</v>
      </c>
    </row>
    <row r="22" spans="1:14">
      <c r="A22" s="82"/>
      <c r="B22" s="36" t="s">
        <v>134</v>
      </c>
      <c r="C22" s="37">
        <v>1119500</v>
      </c>
      <c r="D22" s="37">
        <v>919000</v>
      </c>
      <c r="E22" s="38">
        <v>909100</v>
      </c>
      <c r="G22" s="44" t="s">
        <v>135</v>
      </c>
      <c r="H22" s="84"/>
      <c r="I22" s="84"/>
      <c r="J22" s="86"/>
    </row>
    <row r="24" spans="1:14" ht="15.75">
      <c r="A24" s="82"/>
      <c r="B24" s="33" t="s">
        <v>26</v>
      </c>
      <c r="C24" s="39">
        <v>112922700</v>
      </c>
      <c r="D24" s="39">
        <v>101921800</v>
      </c>
      <c r="E24" s="40">
        <v>94745700</v>
      </c>
      <c r="G24" s="41" t="s">
        <v>136</v>
      </c>
      <c r="H24" s="83">
        <f>C24/C25</f>
        <v>12.09009539512425</v>
      </c>
      <c r="I24" s="83">
        <f t="shared" ref="I24" si="7">D24/D25</f>
        <v>11.063244560468487</v>
      </c>
      <c r="J24" s="85">
        <f>E24/E25</f>
        <v>10.76123734290436</v>
      </c>
    </row>
    <row r="25" spans="1:14">
      <c r="A25" s="82"/>
      <c r="B25" s="36" t="s">
        <v>137</v>
      </c>
      <c r="C25" s="37">
        <f>(9655500+9024700)/2</f>
        <v>9340100</v>
      </c>
      <c r="D25" s="37">
        <f>(9400600+9024700)/2</f>
        <v>9212650</v>
      </c>
      <c r="E25" s="38">
        <f>(9400600+8208100)/2</f>
        <v>8804350</v>
      </c>
      <c r="G25" s="44" t="s">
        <v>124</v>
      </c>
      <c r="H25" s="84"/>
      <c r="I25" s="84"/>
      <c r="J25" s="86"/>
    </row>
    <row r="26" spans="1:14">
      <c r="H26" s="24"/>
      <c r="I26" s="24"/>
      <c r="J26" s="24"/>
    </row>
    <row r="27" spans="1:14">
      <c r="B27" s="49" t="s">
        <v>138</v>
      </c>
      <c r="C27" s="50">
        <v>12.09009539512425</v>
      </c>
      <c r="D27" s="50">
        <v>11.063244560468487</v>
      </c>
      <c r="E27" s="51">
        <v>10.76123734290436</v>
      </c>
      <c r="G27" s="52" t="s">
        <v>139</v>
      </c>
      <c r="H27" s="53">
        <f>365/C27</f>
        <v>30.190001656000078</v>
      </c>
      <c r="I27" s="53">
        <f t="shared" ref="I27:J27" si="8">365/D27</f>
        <v>32.992129750455739</v>
      </c>
      <c r="J27" s="54">
        <f t="shared" si="8"/>
        <v>33.918032691721102</v>
      </c>
    </row>
    <row r="29" spans="1:14" ht="15.75">
      <c r="A29" s="82"/>
      <c r="B29" s="33" t="s">
        <v>26</v>
      </c>
      <c r="C29" s="39">
        <v>112922700</v>
      </c>
      <c r="D29" s="39">
        <v>101921800</v>
      </c>
      <c r="E29" s="40">
        <v>94745700</v>
      </c>
      <c r="G29" s="41" t="s">
        <v>22</v>
      </c>
      <c r="H29" s="83">
        <f>C29/C30</f>
        <v>3.9182061068702292</v>
      </c>
      <c r="I29" s="83">
        <f t="shared" ref="I29:J29" si="9">D29/D30</f>
        <v>4.1691264296349626</v>
      </c>
      <c r="J29" s="85">
        <f t="shared" si="9"/>
        <v>4.9448448631298767</v>
      </c>
    </row>
    <row r="30" spans="1:14">
      <c r="A30" s="82"/>
      <c r="B30" s="36" t="s">
        <v>140</v>
      </c>
      <c r="C30" s="37">
        <f>C3-C4</f>
        <v>28820000</v>
      </c>
      <c r="D30" s="37">
        <f>D3-D4</f>
        <v>24446800</v>
      </c>
      <c r="E30" s="38">
        <f>E3-E4</f>
        <v>19160500</v>
      </c>
      <c r="G30" s="44" t="s">
        <v>124</v>
      </c>
      <c r="H30" s="84"/>
      <c r="I30" s="84"/>
      <c r="J30" s="86"/>
    </row>
    <row r="32" spans="1:14" ht="16.5">
      <c r="A32" s="87"/>
      <c r="B32" s="33" t="s">
        <v>141</v>
      </c>
      <c r="C32" s="55">
        <v>16069300</v>
      </c>
      <c r="D32" s="55">
        <v>12251900</v>
      </c>
      <c r="E32" s="56">
        <v>9265400</v>
      </c>
      <c r="G32" s="88" t="s">
        <v>142</v>
      </c>
      <c r="H32" s="83">
        <f>C32/C33</f>
        <v>166.66632094258213</v>
      </c>
      <c r="I32" s="83">
        <f t="shared" ref="I32:J32" si="10">D32/D33</f>
        <v>127.07330733488217</v>
      </c>
      <c r="J32" s="85">
        <f t="shared" si="10"/>
        <v>96.098157982077666</v>
      </c>
    </row>
    <row r="33" spans="1:10" ht="16.5">
      <c r="A33" s="87"/>
      <c r="B33" s="36" t="s">
        <v>143</v>
      </c>
      <c r="C33" s="57">
        <v>96416</v>
      </c>
      <c r="D33" s="57">
        <v>96416</v>
      </c>
      <c r="E33" s="58">
        <v>96416</v>
      </c>
      <c r="G33" s="89"/>
      <c r="H33" s="84"/>
      <c r="I33" s="84"/>
      <c r="J33" s="86"/>
    </row>
    <row r="35" spans="1:10" ht="15.75">
      <c r="B35" s="33" t="s">
        <v>155</v>
      </c>
      <c r="C35" s="39">
        <v>77253350</v>
      </c>
      <c r="D35" s="39">
        <v>70842800</v>
      </c>
      <c r="E35" s="40">
        <v>64486100</v>
      </c>
      <c r="G35" s="41" t="s">
        <v>156</v>
      </c>
      <c r="H35" s="83">
        <f>C35/C36</f>
        <v>2.102852950943725</v>
      </c>
      <c r="I35" s="83">
        <f>D35/D36</f>
        <v>2.071069610798137</v>
      </c>
      <c r="J35" s="85">
        <f>E35/E36</f>
        <v>2.1397650728340576</v>
      </c>
    </row>
    <row r="36" spans="1:10" ht="15.75">
      <c r="B36" s="36" t="s">
        <v>130</v>
      </c>
      <c r="C36" s="42">
        <v>36737400</v>
      </c>
      <c r="D36" s="42">
        <v>34205900</v>
      </c>
      <c r="E36" s="43">
        <v>30137000</v>
      </c>
      <c r="G36" s="44" t="s">
        <v>157</v>
      </c>
      <c r="H36" s="84"/>
      <c r="I36" s="84"/>
      <c r="J36" s="86"/>
    </row>
  </sheetData>
  <mergeCells count="47">
    <mergeCell ref="H35:H36"/>
    <mergeCell ref="I35:I36"/>
    <mergeCell ref="J35:J36"/>
    <mergeCell ref="A6:A7"/>
    <mergeCell ref="G6:G7"/>
    <mergeCell ref="H6:H7"/>
    <mergeCell ref="I6:I7"/>
    <mergeCell ref="J6:J7"/>
    <mergeCell ref="A18:A19"/>
    <mergeCell ref="H18:H19"/>
    <mergeCell ref="I18:I19"/>
    <mergeCell ref="J18:J19"/>
    <mergeCell ref="A9:A10"/>
    <mergeCell ref="H9:H10"/>
    <mergeCell ref="I9:I10"/>
    <mergeCell ref="J9:J10"/>
    <mergeCell ref="A3:A4"/>
    <mergeCell ref="G3:G4"/>
    <mergeCell ref="H3:H4"/>
    <mergeCell ref="I3:I4"/>
    <mergeCell ref="J3:J4"/>
    <mergeCell ref="A12:A13"/>
    <mergeCell ref="H12:H13"/>
    <mergeCell ref="I12:I13"/>
    <mergeCell ref="J12:J13"/>
    <mergeCell ref="A15:A16"/>
    <mergeCell ref="G15:G16"/>
    <mergeCell ref="H15:H16"/>
    <mergeCell ref="I15:I16"/>
    <mergeCell ref="J15:J16"/>
    <mergeCell ref="A21:A22"/>
    <mergeCell ref="H21:H22"/>
    <mergeCell ref="I21:I22"/>
    <mergeCell ref="J21:J22"/>
    <mergeCell ref="A24:A25"/>
    <mergeCell ref="H24:H25"/>
    <mergeCell ref="I24:I25"/>
    <mergeCell ref="J24:J25"/>
    <mergeCell ref="A29:A30"/>
    <mergeCell ref="H29:H30"/>
    <mergeCell ref="I29:I30"/>
    <mergeCell ref="J29:J30"/>
    <mergeCell ref="A32:A33"/>
    <mergeCell ref="G32:G33"/>
    <mergeCell ref="H32:H33"/>
    <mergeCell ref="I32:I33"/>
    <mergeCell ref="J32:J3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AC26"/>
  <sheetViews>
    <sheetView topLeftCell="J1" workbookViewId="0">
      <selection activeCell="U19" sqref="U19"/>
    </sheetView>
  </sheetViews>
  <sheetFormatPr defaultColWidth="12.5703125" defaultRowHeight="15"/>
  <cols>
    <col min="4" max="4" width="55.42578125" bestFit="1" customWidth="1"/>
    <col min="5" max="10" width="10.42578125" bestFit="1" customWidth="1"/>
    <col min="11" max="16" width="9.28515625" bestFit="1" customWidth="1"/>
    <col min="17" max="18" width="10.42578125" bestFit="1" customWidth="1"/>
    <col min="19" max="22" width="9.28515625" bestFit="1" customWidth="1"/>
    <col min="28" max="28" width="34.42578125" bestFit="1" customWidth="1"/>
  </cols>
  <sheetData>
    <row r="2" spans="4:29" ht="15.75">
      <c r="D2" s="74"/>
      <c r="E2" s="90" t="s">
        <v>109</v>
      </c>
      <c r="F2" s="91"/>
      <c r="G2" s="92"/>
      <c r="H2" s="90" t="s">
        <v>144</v>
      </c>
      <c r="I2" s="91"/>
      <c r="J2" s="92"/>
      <c r="K2" s="93" t="s">
        <v>145</v>
      </c>
      <c r="L2" s="94"/>
      <c r="M2" s="95"/>
      <c r="N2" s="90" t="s">
        <v>146</v>
      </c>
      <c r="O2" s="91"/>
      <c r="P2" s="92"/>
      <c r="Q2" s="90" t="s">
        <v>147</v>
      </c>
      <c r="R2" s="91"/>
      <c r="S2" s="92"/>
      <c r="T2" s="90" t="s">
        <v>107</v>
      </c>
      <c r="U2" s="91"/>
      <c r="V2" s="92"/>
      <c r="W2" s="69"/>
      <c r="X2" s="90" t="s">
        <v>148</v>
      </c>
      <c r="Y2" s="91"/>
      <c r="Z2" s="92"/>
      <c r="AA2" s="63"/>
    </row>
    <row r="3" spans="4:29" ht="15.75">
      <c r="D3" s="78"/>
      <c r="E3" s="79">
        <v>2018</v>
      </c>
      <c r="F3" s="80">
        <v>2017</v>
      </c>
      <c r="G3" s="81">
        <v>2016</v>
      </c>
      <c r="H3" s="79">
        <v>2018</v>
      </c>
      <c r="I3" s="80">
        <v>2017</v>
      </c>
      <c r="J3" s="81">
        <v>2016</v>
      </c>
      <c r="K3" s="79">
        <v>2018</v>
      </c>
      <c r="L3" s="80">
        <v>2017</v>
      </c>
      <c r="M3" s="81">
        <v>2016</v>
      </c>
      <c r="N3" s="79">
        <v>2018</v>
      </c>
      <c r="O3" s="80">
        <v>2017</v>
      </c>
      <c r="P3" s="81">
        <v>2016</v>
      </c>
      <c r="Q3" s="79">
        <v>2018</v>
      </c>
      <c r="R3" s="80">
        <v>2017</v>
      </c>
      <c r="S3" s="81">
        <v>2016</v>
      </c>
      <c r="T3" s="79">
        <v>2018</v>
      </c>
      <c r="U3" s="80">
        <v>2017</v>
      </c>
      <c r="V3" s="81">
        <v>2016</v>
      </c>
      <c r="W3" s="69"/>
      <c r="X3" s="79">
        <v>2018</v>
      </c>
      <c r="Y3" s="80">
        <v>2017</v>
      </c>
      <c r="Z3" s="81">
        <v>2016</v>
      </c>
      <c r="AA3" s="60"/>
      <c r="AB3" s="59"/>
      <c r="AC3" s="59"/>
    </row>
    <row r="4" spans="4:29" ht="15.75">
      <c r="D4" s="75"/>
      <c r="E4" s="65"/>
      <c r="F4" s="66"/>
      <c r="G4" s="67"/>
      <c r="H4" s="65"/>
      <c r="I4" s="66"/>
      <c r="J4" s="67"/>
      <c r="K4" s="65"/>
      <c r="L4" s="66"/>
      <c r="M4" s="67"/>
      <c r="N4" s="65"/>
      <c r="O4" s="66"/>
      <c r="P4" s="67"/>
      <c r="Q4" s="65"/>
      <c r="R4" s="66"/>
      <c r="S4" s="67"/>
      <c r="T4" s="65"/>
      <c r="U4" s="66"/>
      <c r="V4" s="67"/>
      <c r="W4" s="63"/>
      <c r="X4" s="68"/>
      <c r="Y4" s="69"/>
      <c r="Z4" s="70"/>
      <c r="AA4" s="60"/>
      <c r="AB4" s="59"/>
      <c r="AC4" s="59"/>
    </row>
    <row r="5" spans="4:29" ht="15.75">
      <c r="D5" s="76" t="s">
        <v>118</v>
      </c>
      <c r="E5" s="68">
        <v>1.9</v>
      </c>
      <c r="F5" s="69">
        <v>1.91</v>
      </c>
      <c r="G5" s="70">
        <v>1.74</v>
      </c>
      <c r="H5" s="68">
        <v>0.75</v>
      </c>
      <c r="I5" s="69">
        <v>0.66</v>
      </c>
      <c r="J5" s="70">
        <v>0.61</v>
      </c>
      <c r="K5" s="68">
        <v>2.0699999999999998</v>
      </c>
      <c r="L5" s="69">
        <v>2.0499999999999998</v>
      </c>
      <c r="M5" s="70">
        <v>1.8</v>
      </c>
      <c r="N5" s="68">
        <v>2.1</v>
      </c>
      <c r="O5" s="69">
        <v>1.98</v>
      </c>
      <c r="P5" s="70">
        <v>1.71</v>
      </c>
      <c r="Q5" s="68">
        <v>0.84</v>
      </c>
      <c r="R5" s="69">
        <v>0.78</v>
      </c>
      <c r="S5" s="70">
        <v>0.8</v>
      </c>
      <c r="T5" s="68">
        <v>2.5536806922019459</v>
      </c>
      <c r="U5" s="69">
        <v>2.6377461127747521</v>
      </c>
      <c r="V5" s="70">
        <v>2.4019023230290837</v>
      </c>
      <c r="W5" s="63"/>
      <c r="X5" s="68">
        <f>SUM(E5,H5,K5,N5,Q5,T5)/6</f>
        <v>1.7022801153669909</v>
      </c>
      <c r="Y5" s="69">
        <f>SUM(F5,I5,L5,O5,R5,U5)/6</f>
        <v>1.6696243521291254</v>
      </c>
      <c r="Z5" s="70">
        <f>SUM(G5,J5,M5,P5,S5,V5)/6</f>
        <v>1.5103170538381807</v>
      </c>
      <c r="AA5" s="63"/>
    </row>
    <row r="6" spans="4:29" ht="15.75">
      <c r="D6" s="76" t="s">
        <v>121</v>
      </c>
      <c r="E6" s="68">
        <v>1.48</v>
      </c>
      <c r="F6" s="69">
        <v>1.53</v>
      </c>
      <c r="G6" s="70">
        <v>1.26</v>
      </c>
      <c r="H6" s="68">
        <v>0.36</v>
      </c>
      <c r="I6" s="69">
        <v>0.32</v>
      </c>
      <c r="J6" s="70">
        <v>0.33</v>
      </c>
      <c r="K6" s="68">
        <v>0.26</v>
      </c>
      <c r="L6" s="69">
        <v>0.27</v>
      </c>
      <c r="M6" s="70">
        <v>0.25</v>
      </c>
      <c r="N6" s="68">
        <v>1.25</v>
      </c>
      <c r="O6" s="69">
        <v>1.35</v>
      </c>
      <c r="P6" s="70">
        <v>1.18</v>
      </c>
      <c r="Q6" s="68">
        <v>0.42</v>
      </c>
      <c r="R6" s="69">
        <v>0.3</v>
      </c>
      <c r="S6" s="70">
        <v>0.33</v>
      </c>
      <c r="T6" s="68">
        <v>2.0331545324671825</v>
      </c>
      <c r="U6" s="69">
        <v>2.0331008702293145</v>
      </c>
      <c r="V6" s="70">
        <v>1.714095481982806</v>
      </c>
      <c r="W6" s="63"/>
      <c r="X6" s="68">
        <f t="shared" ref="X6:Z15" si="0">SUM(E6,H6,K6,N6,Q6,T6)/6</f>
        <v>0.96719242207786371</v>
      </c>
      <c r="Y6" s="69">
        <f t="shared" si="0"/>
        <v>0.9671834783715525</v>
      </c>
      <c r="Z6" s="70">
        <f t="shared" si="0"/>
        <v>0.84401591366380091</v>
      </c>
      <c r="AA6" s="63"/>
      <c r="AB6" s="61"/>
    </row>
    <row r="7" spans="4:29" ht="15.75">
      <c r="D7" s="76" t="s">
        <v>149</v>
      </c>
      <c r="E7" s="68">
        <v>1.94</v>
      </c>
      <c r="F7" s="69">
        <v>2.16</v>
      </c>
      <c r="G7" s="70">
        <v>2.4700000000000002</v>
      </c>
      <c r="H7" s="68">
        <v>1.01</v>
      </c>
      <c r="I7" s="69">
        <v>0.93</v>
      </c>
      <c r="J7" s="70">
        <v>0.89</v>
      </c>
      <c r="K7" s="68">
        <v>0.97</v>
      </c>
      <c r="L7" s="69">
        <v>0.89</v>
      </c>
      <c r="M7" s="70">
        <v>0.98</v>
      </c>
      <c r="N7" s="68">
        <v>1.62</v>
      </c>
      <c r="O7" s="69">
        <v>1.64</v>
      </c>
      <c r="P7" s="70">
        <v>1.69</v>
      </c>
      <c r="Q7" s="68">
        <v>1.51</v>
      </c>
      <c r="R7" s="69">
        <v>1.76</v>
      </c>
      <c r="S7" s="70">
        <v>2.41</v>
      </c>
      <c r="T7" s="68">
        <v>1.4617191358044668</v>
      </c>
      <c r="U7" s="69">
        <v>1.4387037214791059</v>
      </c>
      <c r="V7" s="70">
        <v>1.4692422087860795</v>
      </c>
      <c r="W7" s="63"/>
      <c r="X7" s="68">
        <f t="shared" si="0"/>
        <v>1.418619855967411</v>
      </c>
      <c r="Y7" s="69">
        <f t="shared" si="0"/>
        <v>1.4697839535798509</v>
      </c>
      <c r="Z7" s="70">
        <f t="shared" si="0"/>
        <v>1.6515403681310132</v>
      </c>
      <c r="AA7" s="63"/>
      <c r="AB7" s="61"/>
    </row>
    <row r="8" spans="4:29" ht="15.75">
      <c r="D8" s="76" t="s">
        <v>150</v>
      </c>
      <c r="E8" s="68">
        <v>30.32</v>
      </c>
      <c r="F8" s="69">
        <v>33</v>
      </c>
      <c r="G8" s="70">
        <v>37</v>
      </c>
      <c r="H8" s="68">
        <v>17.57</v>
      </c>
      <c r="I8" s="69">
        <v>15.76</v>
      </c>
      <c r="J8" s="70">
        <v>12.29</v>
      </c>
      <c r="K8" s="68">
        <v>20.059999999999999</v>
      </c>
      <c r="L8" s="69">
        <v>20.71</v>
      </c>
      <c r="M8" s="70">
        <v>23.45</v>
      </c>
      <c r="N8" s="68">
        <v>26.27</v>
      </c>
      <c r="O8" s="69">
        <v>30.63</v>
      </c>
      <c r="P8" s="70">
        <v>32.74</v>
      </c>
      <c r="Q8" s="68">
        <v>10.58</v>
      </c>
      <c r="R8" s="69">
        <v>9.2200000000000006</v>
      </c>
      <c r="S8" s="70">
        <v>67.39</v>
      </c>
      <c r="T8" s="68">
        <v>43.740983303118902</v>
      </c>
      <c r="U8" s="69">
        <v>35.818089861690503</v>
      </c>
      <c r="V8" s="70">
        <v>30.507596737683301</v>
      </c>
      <c r="W8" s="63"/>
      <c r="X8" s="68">
        <f t="shared" si="0"/>
        <v>24.756830550519819</v>
      </c>
      <c r="Y8" s="69">
        <f t="shared" si="0"/>
        <v>24.189681643615085</v>
      </c>
      <c r="Z8" s="70">
        <f t="shared" si="0"/>
        <v>33.896266122947218</v>
      </c>
      <c r="AA8" s="63"/>
      <c r="AB8" s="61"/>
    </row>
    <row r="9" spans="4:29" ht="15.75">
      <c r="D9" s="76" t="s">
        <v>129</v>
      </c>
      <c r="E9" s="68">
        <v>0.04</v>
      </c>
      <c r="F9" s="69">
        <v>0.06</v>
      </c>
      <c r="G9" s="70">
        <v>0.05</v>
      </c>
      <c r="H9" s="68">
        <v>1.03</v>
      </c>
      <c r="I9" s="69">
        <v>1.41</v>
      </c>
      <c r="J9" s="70">
        <v>1.5</v>
      </c>
      <c r="K9" s="68">
        <v>0.52</v>
      </c>
      <c r="L9" s="69">
        <v>0.54</v>
      </c>
      <c r="M9" s="70">
        <v>0.56999999999999995</v>
      </c>
      <c r="N9" s="68">
        <v>0.3</v>
      </c>
      <c r="O9" s="69">
        <v>0.43</v>
      </c>
      <c r="P9" s="70">
        <v>0.85</v>
      </c>
      <c r="Q9" s="68">
        <v>0.37</v>
      </c>
      <c r="R9" s="69">
        <v>0.36</v>
      </c>
      <c r="S9" s="70">
        <v>0.27</v>
      </c>
      <c r="T9" s="68">
        <v>9.5651842536488701E-3</v>
      </c>
      <c r="U9" s="69">
        <v>1.0273081544411929E-2</v>
      </c>
      <c r="V9" s="70">
        <v>1.138135846301888E-2</v>
      </c>
      <c r="W9" s="63"/>
      <c r="X9" s="68">
        <f t="shared" si="0"/>
        <v>0.37826086404227488</v>
      </c>
      <c r="Y9" s="69">
        <f t="shared" si="0"/>
        <v>0.46837884692406861</v>
      </c>
      <c r="Z9" s="70">
        <f t="shared" si="0"/>
        <v>0.54189689307716982</v>
      </c>
      <c r="AA9" s="63"/>
      <c r="AB9" s="61"/>
    </row>
    <row r="10" spans="4:29" ht="15.75">
      <c r="D10" s="76" t="s">
        <v>151</v>
      </c>
      <c r="E10" s="68">
        <v>10.46</v>
      </c>
      <c r="F10" s="69">
        <v>10.050000000000001</v>
      </c>
      <c r="G10" s="70">
        <v>9.48</v>
      </c>
      <c r="H10" s="68">
        <v>6.45</v>
      </c>
      <c r="I10" s="69">
        <v>5.68</v>
      </c>
      <c r="J10" s="70">
        <v>4.71</v>
      </c>
      <c r="K10" s="68">
        <v>12.21</v>
      </c>
      <c r="L10" s="69">
        <v>13.38</v>
      </c>
      <c r="M10" s="70">
        <v>12.69</v>
      </c>
      <c r="N10" s="68">
        <v>8.92</v>
      </c>
      <c r="O10" s="69">
        <v>8.93</v>
      </c>
      <c r="P10" s="70">
        <v>8.67</v>
      </c>
      <c r="Q10" s="68">
        <v>3.31</v>
      </c>
      <c r="R10" s="69">
        <v>2.64</v>
      </c>
      <c r="S10" s="70">
        <v>14.66</v>
      </c>
      <c r="T10" s="68">
        <v>14.2303540386477</v>
      </c>
      <c r="U10" s="69">
        <v>12.0208826767188</v>
      </c>
      <c r="V10" s="70">
        <v>10.5689229168184</v>
      </c>
      <c r="W10" s="63"/>
      <c r="X10" s="68">
        <f t="shared" si="0"/>
        <v>9.263392339774617</v>
      </c>
      <c r="Y10" s="69">
        <f t="shared" si="0"/>
        <v>8.7834804461197997</v>
      </c>
      <c r="Z10" s="70">
        <f t="shared" si="0"/>
        <v>10.129820486136401</v>
      </c>
      <c r="AA10" s="63"/>
      <c r="AB10" s="61"/>
    </row>
    <row r="11" spans="4:29" ht="15.75">
      <c r="D11" s="76" t="s">
        <v>152</v>
      </c>
      <c r="E11" s="68">
        <v>195.6</v>
      </c>
      <c r="F11" s="69">
        <v>201.05</v>
      </c>
      <c r="G11" s="70">
        <v>240.27</v>
      </c>
      <c r="H11" s="68">
        <v>3.13</v>
      </c>
      <c r="I11" s="69">
        <v>2.93</v>
      </c>
      <c r="J11" s="70">
        <v>2.35</v>
      </c>
      <c r="K11" s="68">
        <v>11.85</v>
      </c>
      <c r="L11" s="69">
        <v>10.5</v>
      </c>
      <c r="M11" s="70">
        <v>10.8</v>
      </c>
      <c r="N11" s="68">
        <v>11.88</v>
      </c>
      <c r="O11" s="69">
        <v>18.54</v>
      </c>
      <c r="P11" s="70">
        <v>14.55</v>
      </c>
      <c r="Q11" s="68">
        <v>6.57</v>
      </c>
      <c r="R11" s="69">
        <v>5.54</v>
      </c>
      <c r="S11" s="70">
        <v>29.39</v>
      </c>
      <c r="T11" s="68">
        <v>22.724430549352391</v>
      </c>
      <c r="U11" s="69">
        <v>21.011751904243742</v>
      </c>
      <c r="V11" s="70">
        <v>18.000989990100098</v>
      </c>
      <c r="W11" s="63"/>
      <c r="X11" s="68">
        <f t="shared" si="0"/>
        <v>41.959071758225399</v>
      </c>
      <c r="Y11" s="69">
        <f t="shared" si="0"/>
        <v>43.261958650707292</v>
      </c>
      <c r="Z11" s="70">
        <f t="shared" si="0"/>
        <v>52.560164998350018</v>
      </c>
      <c r="AA11" s="63"/>
      <c r="AB11" s="61"/>
    </row>
    <row r="12" spans="4:29" ht="15.75">
      <c r="D12" s="76" t="s">
        <v>153</v>
      </c>
      <c r="E12" s="68">
        <f>365/E13</f>
        <v>15.413851351351351</v>
      </c>
      <c r="F12" s="69">
        <f t="shared" ref="F12:S12" si="1">365/F13</f>
        <v>15.201999167013744</v>
      </c>
      <c r="G12" s="70">
        <f t="shared" si="1"/>
        <v>16.921650440426518</v>
      </c>
      <c r="H12" s="68">
        <f t="shared" si="1"/>
        <v>9.929270946681175</v>
      </c>
      <c r="I12" s="69">
        <f t="shared" si="1"/>
        <v>10.278794705716701</v>
      </c>
      <c r="J12" s="70">
        <f t="shared" si="1"/>
        <v>9.7255528910205165</v>
      </c>
      <c r="K12" s="68">
        <f t="shared" si="1"/>
        <v>1.4736757105943152</v>
      </c>
      <c r="L12" s="69">
        <f t="shared" si="1"/>
        <v>1.4484701773879916</v>
      </c>
      <c r="M12" s="70">
        <f t="shared" si="1"/>
        <v>1.6498666546128464</v>
      </c>
      <c r="N12" s="68">
        <f t="shared" si="1"/>
        <v>8.1527808800536068</v>
      </c>
      <c r="O12" s="69">
        <f t="shared" si="1"/>
        <v>9.6637543023563666</v>
      </c>
      <c r="P12" s="70">
        <f t="shared" si="1"/>
        <v>10.892270963891376</v>
      </c>
      <c r="Q12" s="68">
        <f t="shared" si="1"/>
        <v>17.160319699106722</v>
      </c>
      <c r="R12" s="69">
        <f t="shared" si="1"/>
        <v>17.112048757618378</v>
      </c>
      <c r="S12" s="70">
        <f t="shared" si="1"/>
        <v>14.163756305781916</v>
      </c>
      <c r="T12" s="68">
        <v>12.09009539512425</v>
      </c>
      <c r="U12" s="69">
        <v>11.063244560468487</v>
      </c>
      <c r="V12" s="70">
        <v>10.76123734290436</v>
      </c>
      <c r="W12" s="63"/>
      <c r="X12" s="68">
        <f t="shared" si="0"/>
        <v>10.703332330485237</v>
      </c>
      <c r="Y12" s="69">
        <f t="shared" si="0"/>
        <v>10.794718611760279</v>
      </c>
      <c r="Z12" s="70">
        <f t="shared" si="0"/>
        <v>10.685722433106257</v>
      </c>
      <c r="AA12" s="63"/>
      <c r="AB12" s="61"/>
    </row>
    <row r="13" spans="4:29" ht="15.75">
      <c r="D13" s="76" t="s">
        <v>139</v>
      </c>
      <c r="E13" s="68">
        <v>23.68</v>
      </c>
      <c r="F13" s="69">
        <v>24.01</v>
      </c>
      <c r="G13" s="70">
        <v>21.57</v>
      </c>
      <c r="H13" s="68">
        <v>36.76</v>
      </c>
      <c r="I13" s="69">
        <v>35.51</v>
      </c>
      <c r="J13" s="70">
        <v>37.53</v>
      </c>
      <c r="K13" s="68">
        <v>247.68</v>
      </c>
      <c r="L13" s="69">
        <v>251.99</v>
      </c>
      <c r="M13" s="70">
        <v>221.23</v>
      </c>
      <c r="N13" s="68">
        <v>44.77</v>
      </c>
      <c r="O13" s="69">
        <v>37.770000000000003</v>
      </c>
      <c r="P13" s="70">
        <v>33.51</v>
      </c>
      <c r="Q13" s="68">
        <v>21.27</v>
      </c>
      <c r="R13" s="69">
        <v>21.33</v>
      </c>
      <c r="S13" s="70">
        <v>25.77</v>
      </c>
      <c r="T13" s="68">
        <v>30.190001656000078</v>
      </c>
      <c r="U13" s="69">
        <v>32.992129750455739</v>
      </c>
      <c r="V13" s="70">
        <v>33.918032691721102</v>
      </c>
      <c r="W13" s="63"/>
      <c r="X13" s="68">
        <f t="shared" si="0"/>
        <v>67.391666942666674</v>
      </c>
      <c r="Y13" s="69">
        <f t="shared" si="0"/>
        <v>67.267021625075941</v>
      </c>
      <c r="Z13" s="70">
        <f t="shared" si="0"/>
        <v>62.254672115286844</v>
      </c>
      <c r="AA13" s="63"/>
      <c r="AB13" s="61"/>
    </row>
    <row r="14" spans="4:29" ht="15.75">
      <c r="D14" s="76" t="s">
        <v>154</v>
      </c>
      <c r="E14" s="68">
        <v>6.6</v>
      </c>
      <c r="F14" s="69">
        <v>6.65</v>
      </c>
      <c r="G14" s="70">
        <v>9.3800000000000008</v>
      </c>
      <c r="H14" s="68">
        <v>-13.22</v>
      </c>
      <c r="I14" s="69">
        <v>-8.7100000000000009</v>
      </c>
      <c r="J14" s="70">
        <v>-7.28</v>
      </c>
      <c r="K14" s="68">
        <v>2.23</v>
      </c>
      <c r="L14" s="69">
        <v>2.23</v>
      </c>
      <c r="M14" s="70">
        <v>3.01</v>
      </c>
      <c r="N14" s="68">
        <v>5.34</v>
      </c>
      <c r="O14" s="69">
        <v>5.66</v>
      </c>
      <c r="P14" s="70">
        <v>6.87</v>
      </c>
      <c r="Q14" s="68">
        <v>-49.63</v>
      </c>
      <c r="R14" s="69">
        <v>-33.01</v>
      </c>
      <c r="S14" s="70">
        <v>-37.47</v>
      </c>
      <c r="T14" s="68">
        <v>3.9182061068702292</v>
      </c>
      <c r="U14" s="69">
        <v>4.1691264296349626</v>
      </c>
      <c r="V14" s="70">
        <v>4.9448448631298767</v>
      </c>
      <c r="W14" s="63"/>
      <c r="X14" s="68">
        <f>SUM(E14,H14,K14,N14,T14)/5</f>
        <v>0.97364122137404574</v>
      </c>
      <c r="Y14" s="69">
        <f t="shared" ref="Y14:Z14" si="2">SUM(F14,I14,L14,O14,U14)/5</f>
        <v>1.9998252859269925</v>
      </c>
      <c r="Z14" s="70">
        <f t="shared" si="2"/>
        <v>3.3849689726259755</v>
      </c>
      <c r="AA14" s="63"/>
      <c r="AB14" s="61"/>
    </row>
    <row r="15" spans="4:29" ht="15.75">
      <c r="D15" s="77" t="s">
        <v>142</v>
      </c>
      <c r="E15" s="71">
        <v>48.24</v>
      </c>
      <c r="F15" s="72">
        <v>41.83</v>
      </c>
      <c r="G15" s="73">
        <v>36.85</v>
      </c>
      <c r="H15" s="71">
        <v>16.25</v>
      </c>
      <c r="I15" s="72">
        <v>10.69</v>
      </c>
      <c r="J15" s="73">
        <v>7.67</v>
      </c>
      <c r="K15" s="71">
        <v>21.37</v>
      </c>
      <c r="L15" s="72">
        <v>18.46</v>
      </c>
      <c r="M15" s="73">
        <v>16.97</v>
      </c>
      <c r="N15" s="71">
        <v>117.16</v>
      </c>
      <c r="O15" s="72">
        <v>103.1</v>
      </c>
      <c r="P15" s="73">
        <v>85.71</v>
      </c>
      <c r="Q15" s="71">
        <v>17.55</v>
      </c>
      <c r="R15" s="72">
        <v>13.53</v>
      </c>
      <c r="S15" s="73">
        <v>59.29</v>
      </c>
      <c r="T15" s="71">
        <v>166.66632094258213</v>
      </c>
      <c r="U15" s="72">
        <v>127.07330733488217</v>
      </c>
      <c r="V15" s="73">
        <v>96.098157982077666</v>
      </c>
      <c r="W15" s="63"/>
      <c r="X15" s="71">
        <f t="shared" si="0"/>
        <v>64.539386823763692</v>
      </c>
      <c r="Y15" s="72">
        <f t="shared" si="0"/>
        <v>52.447217889147026</v>
      </c>
      <c r="Z15" s="73">
        <f t="shared" si="0"/>
        <v>50.431359663679608</v>
      </c>
      <c r="AA15" s="63"/>
      <c r="AB15" s="61"/>
    </row>
    <row r="16" spans="4:29" ht="15.75">
      <c r="D16" s="63"/>
      <c r="E16" s="64"/>
      <c r="F16" s="64"/>
      <c r="G16" s="64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</row>
    <row r="17" spans="4:27" ht="15.75"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</row>
    <row r="18" spans="4:27" ht="15.75"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3"/>
      <c r="X18" s="63"/>
      <c r="Y18" s="63"/>
      <c r="Z18" s="63"/>
      <c r="AA18" s="63"/>
    </row>
    <row r="19" spans="4:27" ht="15.75"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</row>
    <row r="20" spans="4:27" ht="15.75"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</row>
    <row r="21" spans="4:27" ht="15.75"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</row>
    <row r="22" spans="4:27" ht="15.75"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</row>
    <row r="23" spans="4:27" ht="15.75"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</row>
    <row r="24" spans="4:27" ht="15.75"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</row>
    <row r="25" spans="4:27" ht="15.75"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</row>
    <row r="26" spans="4:27" ht="15.75"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</row>
  </sheetData>
  <mergeCells count="7">
    <mergeCell ref="X2:Z2"/>
    <mergeCell ref="E2:G2"/>
    <mergeCell ref="H2:J2"/>
    <mergeCell ref="K2:M2"/>
    <mergeCell ref="N2:P2"/>
    <mergeCell ref="Q2:S2"/>
    <mergeCell ref="T2:V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4"/>
  <sheetViews>
    <sheetView topLeftCell="A29" workbookViewId="0">
      <selection activeCell="J48" sqref="J48"/>
    </sheetView>
  </sheetViews>
  <sheetFormatPr defaultRowHeight="15"/>
  <cols>
    <col min="1" max="1" width="30.5703125" customWidth="1"/>
    <col min="2" max="2" width="11.28515625" customWidth="1"/>
    <col min="3" max="6" width="12" bestFit="1" customWidth="1"/>
  </cols>
  <sheetData>
    <row r="1" spans="1:9">
      <c r="A1" s="1" t="s">
        <v>88</v>
      </c>
    </row>
    <row r="2" spans="1:9" ht="15.75">
      <c r="A2" s="1" t="s">
        <v>89</v>
      </c>
      <c r="B2" s="19">
        <v>43465</v>
      </c>
      <c r="C2" s="19">
        <v>43100</v>
      </c>
      <c r="D2" s="19">
        <v>42735</v>
      </c>
      <c r="E2" s="19">
        <v>42369</v>
      </c>
      <c r="F2" s="19">
        <v>42004</v>
      </c>
    </row>
    <row r="3" spans="1:9">
      <c r="A3" s="20" t="s">
        <v>90</v>
      </c>
    </row>
    <row r="4" spans="1:9">
      <c r="A4" s="1" t="s">
        <v>91</v>
      </c>
      <c r="I4" t="s">
        <v>92</v>
      </c>
    </row>
    <row r="5" spans="1:9">
      <c r="A5" s="2" t="s">
        <v>93</v>
      </c>
      <c r="B5">
        <v>177.5</v>
      </c>
      <c r="C5">
        <v>167.9</v>
      </c>
      <c r="D5">
        <v>165</v>
      </c>
      <c r="E5">
        <v>180.06000000000003</v>
      </c>
    </row>
    <row r="6" spans="1:9">
      <c r="A6" s="2" t="s">
        <v>94</v>
      </c>
      <c r="B6">
        <v>4.0999999999999996</v>
      </c>
      <c r="C6">
        <v>5</v>
      </c>
      <c r="D6">
        <v>4.8</v>
      </c>
      <c r="E6">
        <v>4.3899999999999997</v>
      </c>
    </row>
    <row r="7" spans="1:9">
      <c r="A7" s="2" t="s">
        <v>95</v>
      </c>
      <c r="B7">
        <v>18.5</v>
      </c>
      <c r="C7">
        <v>18.7</v>
      </c>
      <c r="D7">
        <v>22.8</v>
      </c>
    </row>
    <row r="8" spans="1:9">
      <c r="A8" s="1" t="s">
        <v>96</v>
      </c>
    </row>
    <row r="9" spans="1:9">
      <c r="A9" s="2" t="s">
        <v>97</v>
      </c>
      <c r="B9">
        <v>9.6</v>
      </c>
      <c r="C9">
        <v>7.2</v>
      </c>
      <c r="D9">
        <v>6.8</v>
      </c>
      <c r="E9">
        <v>6.13</v>
      </c>
    </row>
    <row r="10" spans="1:9" s="1" customFormat="1">
      <c r="A10" s="1" t="s">
        <v>98</v>
      </c>
      <c r="B10" s="1">
        <v>209.7</v>
      </c>
      <c r="C10" s="1">
        <v>198.79999999999998</v>
      </c>
      <c r="D10" s="1">
        <v>199.40000000000003</v>
      </c>
      <c r="E10" s="1">
        <v>190.58</v>
      </c>
      <c r="F10" s="1">
        <v>182.95</v>
      </c>
    </row>
    <row r="11" spans="1:9">
      <c r="A11" s="1"/>
    </row>
    <row r="12" spans="1:9">
      <c r="A12" s="1"/>
    </row>
    <row r="13" spans="1:9">
      <c r="A13" s="1" t="s">
        <v>99</v>
      </c>
      <c r="B13">
        <v>24289.5</v>
      </c>
      <c r="C13">
        <v>18393</v>
      </c>
      <c r="D13">
        <v>15036.8</v>
      </c>
      <c r="E13">
        <v>13350.8</v>
      </c>
      <c r="F13">
        <v>17758.599999999999</v>
      </c>
    </row>
    <row r="14" spans="1:9">
      <c r="A14" s="1" t="s">
        <v>16</v>
      </c>
      <c r="B14">
        <v>24289.5</v>
      </c>
      <c r="C14">
        <v>18393</v>
      </c>
      <c r="D14">
        <v>14415.4</v>
      </c>
      <c r="E14">
        <v>8136.3</v>
      </c>
      <c r="F14">
        <v>17743.5</v>
      </c>
    </row>
    <row r="15" spans="1:9">
      <c r="A15" s="1" t="s">
        <v>17</v>
      </c>
      <c r="B15">
        <v>16069.3</v>
      </c>
      <c r="C15">
        <v>12251.9</v>
      </c>
      <c r="D15">
        <v>10014</v>
      </c>
      <c r="E15">
        <v>5632.7</v>
      </c>
      <c r="F15">
        <v>11846.9</v>
      </c>
    </row>
    <row r="16" spans="1:9">
      <c r="A16" s="1"/>
    </row>
    <row r="17" spans="1:11">
      <c r="A17" s="1"/>
    </row>
    <row r="18" spans="1:11" s="1" customFormat="1">
      <c r="A18" s="1" t="s">
        <v>100</v>
      </c>
      <c r="B18" s="1">
        <v>0.86333600938677202</v>
      </c>
      <c r="C18" s="1">
        <v>1.0808459740118523</v>
      </c>
      <c r="D18" s="1">
        <v>1.3260800170248992</v>
      </c>
      <c r="E18" s="1">
        <v>1.4274800011984301</v>
      </c>
      <c r="F18" s="1">
        <v>1.0302050837340782</v>
      </c>
    </row>
    <row r="19" spans="1:11">
      <c r="A19" s="1" t="s">
        <v>101</v>
      </c>
      <c r="B19">
        <v>1.3049728364023325</v>
      </c>
      <c r="C19">
        <v>1.6226054734367732</v>
      </c>
      <c r="D19">
        <v>1.9912123027761137</v>
      </c>
      <c r="E19">
        <v>3.3834573117687787</v>
      </c>
      <c r="F19">
        <v>1.5442858469304206</v>
      </c>
    </row>
    <row r="20" spans="1:11">
      <c r="A20" s="1"/>
    </row>
    <row r="21" spans="1:11">
      <c r="A21" s="1"/>
    </row>
    <row r="22" spans="1:11">
      <c r="A22" s="1"/>
    </row>
    <row r="23" spans="1:11">
      <c r="A23" s="1"/>
    </row>
    <row r="24" spans="1:11">
      <c r="A24" s="1"/>
      <c r="B24" s="1" t="s">
        <v>102</v>
      </c>
      <c r="H24" s="1" t="s">
        <v>103</v>
      </c>
    </row>
    <row r="25" spans="1:11">
      <c r="A25" s="1"/>
      <c r="B25">
        <v>43465</v>
      </c>
      <c r="C25">
        <v>43100</v>
      </c>
      <c r="D25">
        <v>42735</v>
      </c>
      <c r="E25">
        <v>42369</v>
      </c>
      <c r="H25">
        <v>2018</v>
      </c>
      <c r="I25">
        <v>2017</v>
      </c>
      <c r="J25">
        <v>2016</v>
      </c>
      <c r="K25">
        <v>2015</v>
      </c>
    </row>
    <row r="26" spans="1:11">
      <c r="A26" s="1" t="s">
        <v>104</v>
      </c>
      <c r="B26">
        <v>209.7</v>
      </c>
      <c r="C26">
        <v>198.79999999999998</v>
      </c>
      <c r="D26">
        <v>199.40000000000003</v>
      </c>
      <c r="E26">
        <v>190.58</v>
      </c>
    </row>
    <row r="27" spans="1:11">
      <c r="A27" s="1" t="s">
        <v>99</v>
      </c>
      <c r="B27">
        <v>24289.5</v>
      </c>
      <c r="C27">
        <v>18393</v>
      </c>
      <c r="D27">
        <v>15036.8</v>
      </c>
      <c r="E27">
        <v>13350.8</v>
      </c>
      <c r="H27">
        <v>0.66635077168655432</v>
      </c>
      <c r="I27">
        <v>0.70075483944224981</v>
      </c>
      <c r="J27">
        <v>0.74455390221733242</v>
      </c>
      <c r="K27">
        <v>0.83897457908015771</v>
      </c>
    </row>
    <row r="28" spans="1:11">
      <c r="A28" s="1" t="s">
        <v>105</v>
      </c>
      <c r="B28">
        <v>0.86333600938677202</v>
      </c>
      <c r="C28">
        <v>1.0808459740118523</v>
      </c>
      <c r="D28">
        <v>1.3260800170248992</v>
      </c>
      <c r="E28">
        <v>1.4274800011984301</v>
      </c>
    </row>
    <row r="29" spans="1:11">
      <c r="A29" s="1"/>
    </row>
    <row r="30" spans="1:11">
      <c r="A30" s="1"/>
    </row>
    <row r="31" spans="1:11">
      <c r="A31" s="1"/>
      <c r="B31" s="1" t="s">
        <v>106</v>
      </c>
    </row>
    <row r="32" spans="1:11">
      <c r="A32" s="1"/>
      <c r="B32">
        <v>43465</v>
      </c>
      <c r="C32">
        <v>43100</v>
      </c>
      <c r="D32">
        <v>42735</v>
      </c>
      <c r="E32">
        <v>42369</v>
      </c>
    </row>
    <row r="33" spans="1:13">
      <c r="A33" s="1" t="s">
        <v>104</v>
      </c>
      <c r="B33">
        <v>370.471</v>
      </c>
      <c r="C33">
        <v>340.21899999999999</v>
      </c>
      <c r="D33">
        <v>272.10000000000002</v>
      </c>
      <c r="E33">
        <v>342.35</v>
      </c>
    </row>
    <row r="34" spans="1:13">
      <c r="A34" s="1" t="s">
        <v>99</v>
      </c>
      <c r="B34">
        <v>67980</v>
      </c>
      <c r="C34">
        <v>56510</v>
      </c>
      <c r="D34">
        <v>54280</v>
      </c>
      <c r="E34">
        <v>49215.5</v>
      </c>
    </row>
    <row r="35" spans="1:13">
      <c r="A35" s="1" t="s">
        <v>105</v>
      </c>
      <c r="B35">
        <v>0.54497057958223005</v>
      </c>
      <c r="C35">
        <v>0.6020509644310742</v>
      </c>
      <c r="D35">
        <v>0.50128960943257195</v>
      </c>
      <c r="E35">
        <v>0.6956141865875588</v>
      </c>
    </row>
    <row r="36" spans="1:13">
      <c r="A36" s="1"/>
      <c r="I36" s="21"/>
      <c r="J36" s="21">
        <v>2018</v>
      </c>
      <c r="K36" s="21">
        <v>2017</v>
      </c>
      <c r="L36" s="21">
        <v>2016</v>
      </c>
      <c r="M36" s="21">
        <v>2015</v>
      </c>
    </row>
    <row r="37" spans="1:13">
      <c r="A37" s="1"/>
      <c r="I37" s="21" t="s">
        <v>107</v>
      </c>
      <c r="J37" s="22">
        <v>0.86333600938677202</v>
      </c>
      <c r="K37" s="22">
        <v>1.0808459740118523</v>
      </c>
      <c r="L37" s="22">
        <v>1.3260800170248992</v>
      </c>
      <c r="M37" s="22">
        <v>1.4274800011984301</v>
      </c>
    </row>
    <row r="38" spans="1:13">
      <c r="A38" s="1"/>
      <c r="I38" s="21" t="s">
        <v>106</v>
      </c>
      <c r="J38" s="22">
        <v>0.54497057958223005</v>
      </c>
      <c r="K38" s="22">
        <v>0.6020509644310742</v>
      </c>
      <c r="L38" s="22">
        <v>0.50128960943257195</v>
      </c>
      <c r="M38" s="22">
        <v>0.6956141865875588</v>
      </c>
    </row>
    <row r="39" spans="1:13">
      <c r="A39" s="1"/>
      <c r="B39" s="1" t="s">
        <v>108</v>
      </c>
      <c r="I39" s="21" t="s">
        <v>109</v>
      </c>
      <c r="J39" s="22">
        <v>0.69831165236645443</v>
      </c>
      <c r="K39" s="22">
        <v>0.63708878161066518</v>
      </c>
      <c r="L39" s="22">
        <v>0.64612178055679625</v>
      </c>
      <c r="M39" s="22">
        <v>0.6507970677875845</v>
      </c>
    </row>
    <row r="40" spans="1:13">
      <c r="A40" s="1"/>
      <c r="B40">
        <v>43465</v>
      </c>
      <c r="C40">
        <v>43100</v>
      </c>
      <c r="D40">
        <v>42735</v>
      </c>
      <c r="E40">
        <v>42369</v>
      </c>
      <c r="I40" s="21" t="s">
        <v>110</v>
      </c>
      <c r="J40" s="22">
        <v>1.0207129179037615</v>
      </c>
      <c r="K40" s="22">
        <v>1.1102831594634874</v>
      </c>
      <c r="L40" s="22">
        <v>1.0993809560504482</v>
      </c>
      <c r="M40" s="22">
        <v>1.2377213194276013</v>
      </c>
    </row>
    <row r="41" spans="1:13">
      <c r="A41" s="1" t="s">
        <v>104</v>
      </c>
      <c r="B41">
        <v>100.92</v>
      </c>
      <c r="C41">
        <v>79.709999999999994</v>
      </c>
      <c r="D41">
        <v>73.78</v>
      </c>
      <c r="E41">
        <v>57.44</v>
      </c>
      <c r="I41" s="21" t="s">
        <v>111</v>
      </c>
      <c r="J41" s="22">
        <v>0.20442269919355319</v>
      </c>
      <c r="K41" s="22">
        <v>7.3505317694169375E-2</v>
      </c>
      <c r="L41" s="22">
        <v>0.14989714802194623</v>
      </c>
      <c r="M41" s="22">
        <v>0.18326032039961365</v>
      </c>
    </row>
    <row r="42" spans="1:13">
      <c r="A42" s="1" t="s">
        <v>99</v>
      </c>
      <c r="B42">
        <v>14452</v>
      </c>
      <c r="C42">
        <v>12511.6</v>
      </c>
      <c r="D42">
        <v>11418.9</v>
      </c>
      <c r="E42">
        <v>8826.1</v>
      </c>
      <c r="I42" s="21" t="s">
        <v>112</v>
      </c>
      <c r="J42" s="22">
        <v>0.66635077168655432</v>
      </c>
      <c r="K42" s="22">
        <v>0.70075483944224981</v>
      </c>
      <c r="L42" s="22">
        <v>0.74455390221733242</v>
      </c>
      <c r="M42" s="22">
        <v>0.83897457908015771</v>
      </c>
    </row>
    <row r="43" spans="1:13">
      <c r="A43" s="1" t="s">
        <v>105</v>
      </c>
      <c r="B43">
        <v>0.69831165236645443</v>
      </c>
      <c r="C43">
        <v>0.63708878161066518</v>
      </c>
      <c r="D43">
        <v>0.64612178055679625</v>
      </c>
      <c r="E43">
        <v>0.6507970677875845</v>
      </c>
    </row>
    <row r="44" spans="1:13">
      <c r="A44" s="1"/>
    </row>
    <row r="45" spans="1:13">
      <c r="A45" s="1"/>
    </row>
    <row r="46" spans="1:13">
      <c r="A46" s="1"/>
      <c r="B46" s="1" t="s">
        <v>113</v>
      </c>
    </row>
    <row r="47" spans="1:13">
      <c r="A47" s="1"/>
      <c r="B47">
        <v>43465</v>
      </c>
      <c r="C47">
        <v>43100</v>
      </c>
      <c r="D47">
        <v>42735</v>
      </c>
      <c r="E47">
        <v>42369</v>
      </c>
    </row>
    <row r="48" spans="1:13">
      <c r="A48" s="1" t="s">
        <v>104</v>
      </c>
      <c r="B48">
        <v>174.3</v>
      </c>
      <c r="C48">
        <v>178.8</v>
      </c>
      <c r="D48">
        <v>171.2</v>
      </c>
      <c r="E48">
        <v>163.30000000000001</v>
      </c>
    </row>
    <row r="49" spans="1:5">
      <c r="A49" s="1" t="s">
        <v>99</v>
      </c>
      <c r="B49">
        <v>17076.3</v>
      </c>
      <c r="C49">
        <v>16104</v>
      </c>
      <c r="D49">
        <v>15572.4</v>
      </c>
      <c r="E49">
        <v>13193.6</v>
      </c>
    </row>
    <row r="50" spans="1:5">
      <c r="A50" s="1" t="s">
        <v>105</v>
      </c>
      <c r="B50">
        <v>1.0207129179037615</v>
      </c>
      <c r="C50">
        <v>1.1102831594634874</v>
      </c>
      <c r="D50">
        <v>1.0993809560504482</v>
      </c>
      <c r="E50">
        <v>1.2377213194276013</v>
      </c>
    </row>
    <row r="51" spans="1:5">
      <c r="A51" s="1"/>
    </row>
    <row r="52" spans="1:5">
      <c r="A52" s="1"/>
    </row>
    <row r="53" spans="1:5">
      <c r="A53" s="1"/>
    </row>
    <row r="54" spans="1:5">
      <c r="A54" s="1"/>
      <c r="B54" s="1" t="s">
        <v>111</v>
      </c>
    </row>
    <row r="55" spans="1:5">
      <c r="A55" s="1"/>
      <c r="B55">
        <v>43465</v>
      </c>
      <c r="C55">
        <v>43100</v>
      </c>
      <c r="D55">
        <v>42735</v>
      </c>
      <c r="E55">
        <v>42369</v>
      </c>
    </row>
    <row r="56" spans="1:5">
      <c r="A56" s="1" t="s">
        <v>104</v>
      </c>
      <c r="B56">
        <v>344.48700000000002</v>
      </c>
      <c r="C56">
        <v>113.955</v>
      </c>
      <c r="D56">
        <v>224.22200000000001</v>
      </c>
      <c r="E56">
        <v>256.51900000000001</v>
      </c>
    </row>
    <row r="57" spans="1:5">
      <c r="A57" s="1" t="s">
        <v>99</v>
      </c>
      <c r="B57">
        <v>168517</v>
      </c>
      <c r="C57">
        <v>155029.6</v>
      </c>
      <c r="D57">
        <v>149583.9</v>
      </c>
      <c r="E57">
        <v>139975.20000000001</v>
      </c>
    </row>
    <row r="58" spans="1:5">
      <c r="A58" s="1" t="s">
        <v>105</v>
      </c>
      <c r="B58">
        <v>0.20442269919355319</v>
      </c>
      <c r="C58">
        <v>7.3505317694169375E-2</v>
      </c>
      <c r="D58">
        <v>0.14989714802194623</v>
      </c>
      <c r="E58">
        <v>0.18326032039961365</v>
      </c>
    </row>
    <row r="59" spans="1:5">
      <c r="A59" s="1"/>
    </row>
    <row r="60" spans="1:5">
      <c r="A60" s="1"/>
    </row>
    <row r="61" spans="1:5">
      <c r="A61" s="1"/>
    </row>
    <row r="62" spans="1:5">
      <c r="A62" s="1"/>
    </row>
    <row r="63" spans="1:5">
      <c r="A63" s="1"/>
    </row>
    <row r="64" spans="1:5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Q1 Beta n Rm Calc</vt:lpstr>
      <vt:lpstr>Q1 WACC</vt:lpstr>
      <vt:lpstr>Q1 FCF</vt:lpstr>
      <vt:lpstr>Q2 Ratios</vt:lpstr>
      <vt:lpstr>Q2 industry avg</vt:lpstr>
      <vt:lpstr>Q5 Agency Cost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2020-05-20T17:03:59Z</dcterms:modified>
</cp:coreProperties>
</file>