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2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3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4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6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7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8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9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20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21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ocoa Grind/Raw/"/>
    </mc:Choice>
  </mc:AlternateContent>
  <xr:revisionPtr revIDLastSave="10" documentId="8_{DECA7153-3CA2-4116-875F-1C4D7C947831}" xr6:coauthVersionLast="47" xr6:coauthVersionMax="47" xr10:uidLastSave="{C2F4E69E-51BE-4C18-A4F0-D985AEA4FE52}"/>
  <bookViews>
    <workbookView xWindow="-96" yWindow="-96" windowWidth="23232" windowHeight="13872" activeTab="8" xr2:uid="{E12CB660-320C-436A-A171-B3B4F878DC25}"/>
  </bookViews>
  <sheets>
    <sheet name="Menu" sheetId="3" r:id="rId1"/>
    <sheet name="TOTAL" sheetId="16" r:id="rId2"/>
    <sheet name="Proportion" sheetId="31" r:id="rId3"/>
    <sheet name="ECA" sheetId="4" r:id="rId4"/>
    <sheet name="ECA (Larger History)" sheetId="28" state="hidden" r:id="rId5"/>
    <sheet name="History Maker" sheetId="29" state="hidden" r:id="rId6"/>
    <sheet name="ECA Estimates" sheetId="26" state="hidden" r:id="rId7"/>
    <sheet name="Total Scenario" sheetId="30" r:id="rId8"/>
    <sheet name="NCA" sheetId="10" r:id="rId9"/>
    <sheet name="CAA" sheetId="9" r:id="rId10"/>
    <sheet name="IVC" sheetId="12" r:id="rId11"/>
    <sheet name="BR" sheetId="13" r:id="rId12"/>
    <sheet name="ECA non german" sheetId="22" r:id="rId13"/>
    <sheet name="MCB" sheetId="19" r:id="rId14"/>
    <sheet name="CAA Grinding Estimates" sheetId="25" r:id="rId15"/>
    <sheet name="Malaysia" sheetId="23" r:id="rId16"/>
    <sheet name="CAA Non Malaysian Grind" sheetId="24" r:id="rId17"/>
    <sheet name="NCA Estimates" sheetId="27" r:id="rId18"/>
    <sheet name="ECA,NCA,CAA" sheetId="11" r:id="rId19"/>
    <sheet name="German" sheetId="21" r:id="rId20"/>
    <sheet name="GR" sheetId="14" state="hidden" r:id="rId21"/>
    <sheet name="IVC (2)" sheetId="17" state="hidden" r:id="rId22"/>
    <sheet name="timestamp" sheetId="18" state="hidden" r:id="rId23"/>
  </sheets>
  <externalReferences>
    <externalReference r:id="rId24"/>
  </externalReferences>
  <definedNames>
    <definedName name="__123Graph_A" hidden="1">'[1]Brasil Volumes Cecafe Calendar'!#REF!</definedName>
    <definedName name="__123Graph_B" hidden="1">'[1]Brasil Volumes Cecafe Calendar'!#REF!</definedName>
    <definedName name="__123Graph_C" hidden="1">'[1]Brasil Volumes Cecafe Calendar'!#REF!</definedName>
    <definedName name="__123Graph_D" hidden="1">'[1]Brasil Volumes Cecafe Calendar'!#REF!</definedName>
    <definedName name="__123Graph_E" hidden="1">'[1]Brasil Volumes Cecafe Calendar'!#REF!</definedName>
    <definedName name="__123Graph_F" hidden="1">'[1]Brasil Volumes Cecafe Calendar'!#REF!</definedName>
    <definedName name="__123Graph_X" hidden="1">'[1]Brasil Volumes Cecafe Calendar'!#REF!</definedName>
    <definedName name="_Order1" hidden="1">255</definedName>
  </definedNames>
  <calcPr calcId="191029" fullCalcOnLoad="1"/>
  <pivotCaches>
    <pivotCache cacheId="0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12" l="1"/>
  <c r="V16" i="12"/>
  <c r="T43" i="12"/>
  <c r="T29" i="12"/>
  <c r="T16" i="12"/>
  <c r="T55" i="12"/>
  <c r="U16" i="4" l="1"/>
  <c r="V16" i="4" s="1"/>
  <c r="T44" i="4"/>
  <c r="T30" i="4"/>
  <c r="T16" i="4"/>
  <c r="Q50" i="9"/>
  <c r="C51" i="9"/>
  <c r="V16" i="9"/>
  <c r="U16" i="9"/>
  <c r="T43" i="9"/>
  <c r="T16" i="9"/>
  <c r="T29" i="9" s="1"/>
  <c r="J42" i="19"/>
  <c r="I31" i="19"/>
  <c r="I32" i="19"/>
  <c r="I33" i="19"/>
  <c r="I34" i="19"/>
  <c r="I35" i="19"/>
  <c r="I36" i="19"/>
  <c r="I37" i="19"/>
  <c r="I38" i="19"/>
  <c r="I39" i="19"/>
  <c r="T43" i="23"/>
  <c r="T29" i="23"/>
  <c r="T16" i="23"/>
  <c r="K26" i="3"/>
  <c r="K25" i="3"/>
  <c r="K24" i="3"/>
  <c r="K23" i="3"/>
  <c r="K22" i="3"/>
  <c r="Y3" i="24"/>
  <c r="S43" i="24"/>
  <c r="S29" i="24"/>
  <c r="S16" i="24"/>
  <c r="C45" i="24"/>
  <c r="I26" i="3"/>
  <c r="H26" i="3"/>
  <c r="I24" i="3"/>
  <c r="H24" i="3"/>
  <c r="H23" i="3"/>
  <c r="I22" i="3"/>
  <c r="H22" i="3"/>
  <c r="X44" i="16"/>
  <c r="I45" i="16"/>
  <c r="H45" i="16"/>
  <c r="G45" i="16"/>
  <c r="F45" i="16"/>
  <c r="E45" i="16"/>
  <c r="D45" i="16"/>
  <c r="V29" i="11"/>
  <c r="V16" i="11"/>
  <c r="C45" i="11"/>
  <c r="F45" i="11"/>
  <c r="E45" i="11"/>
  <c r="D45" i="11"/>
  <c r="F44" i="11"/>
  <c r="C44" i="11" s="1"/>
  <c r="U16" i="11" s="1"/>
  <c r="E44" i="11"/>
  <c r="D44" i="11"/>
  <c r="S16" i="12"/>
  <c r="X5" i="29"/>
  <c r="U43" i="11" l="1"/>
  <c r="V43" i="11"/>
  <c r="U29" i="11"/>
  <c r="S43" i="13"/>
  <c r="S29" i="13"/>
  <c r="S16" i="13"/>
  <c r="S29" i="10"/>
  <c r="S16" i="10"/>
  <c r="S44" i="4"/>
  <c r="S30" i="4"/>
  <c r="S16" i="4"/>
  <c r="D44" i="23"/>
  <c r="D45" i="23"/>
  <c r="S16" i="9"/>
  <c r="S43" i="9" s="1"/>
  <c r="B40" i="31" l="1"/>
  <c r="C40" i="31"/>
  <c r="D40" i="31"/>
  <c r="X16" i="16"/>
  <c r="K27" i="3"/>
  <c r="F40" i="31"/>
  <c r="E40" i="31"/>
  <c r="S29" i="9"/>
  <c r="J41" i="19"/>
  <c r="I42" i="19" s="1"/>
  <c r="S50" i="9"/>
  <c r="U56" i="23"/>
  <c r="S57" i="23"/>
  <c r="S56" i="23"/>
  <c r="I8" i="16" l="1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7" i="16"/>
  <c r="J40" i="19"/>
  <c r="D46" i="30"/>
  <c r="E46" i="30"/>
  <c r="H46" i="30"/>
  <c r="D45" i="30"/>
  <c r="E45" i="30"/>
  <c r="F45" i="30"/>
  <c r="H45" i="30"/>
  <c r="I145" i="30"/>
  <c r="I144" i="30"/>
  <c r="I143" i="30"/>
  <c r="O142" i="30"/>
  <c r="I142" i="30"/>
  <c r="I141" i="30"/>
  <c r="I140" i="30"/>
  <c r="I139" i="30"/>
  <c r="I138" i="30"/>
  <c r="H44" i="30"/>
  <c r="G44" i="30"/>
  <c r="F44" i="30"/>
  <c r="E44" i="30"/>
  <c r="D44" i="30"/>
  <c r="H43" i="30"/>
  <c r="G43" i="30"/>
  <c r="F43" i="30"/>
  <c r="E43" i="30"/>
  <c r="D43" i="30"/>
  <c r="H42" i="30"/>
  <c r="G42" i="30"/>
  <c r="G46" i="30" s="1"/>
  <c r="F42" i="30"/>
  <c r="F46" i="30" s="1"/>
  <c r="E42" i="30"/>
  <c r="D42" i="30"/>
  <c r="H41" i="30"/>
  <c r="G41" i="30"/>
  <c r="G45" i="30" s="1"/>
  <c r="F41" i="30"/>
  <c r="E41" i="30"/>
  <c r="D41" i="30"/>
  <c r="H40" i="30"/>
  <c r="G40" i="30"/>
  <c r="F40" i="30"/>
  <c r="E40" i="30"/>
  <c r="D40" i="30"/>
  <c r="C40" i="30"/>
  <c r="W15" i="30" s="1"/>
  <c r="H39" i="30"/>
  <c r="G39" i="30"/>
  <c r="F39" i="30"/>
  <c r="E39" i="30"/>
  <c r="D39" i="30"/>
  <c r="C39" i="30" s="1"/>
  <c r="V15" i="30" s="1"/>
  <c r="H38" i="30"/>
  <c r="G38" i="30"/>
  <c r="F38" i="30"/>
  <c r="E38" i="30"/>
  <c r="D38" i="30"/>
  <c r="H37" i="30"/>
  <c r="G37" i="30"/>
  <c r="C37" i="30" s="1"/>
  <c r="X14" i="30" s="1"/>
  <c r="F37" i="30"/>
  <c r="E37" i="30"/>
  <c r="D37" i="30"/>
  <c r="H36" i="30"/>
  <c r="G36" i="30"/>
  <c r="F36" i="30"/>
  <c r="E36" i="30"/>
  <c r="D36" i="30"/>
  <c r="C36" i="30"/>
  <c r="W14" i="30" s="1"/>
  <c r="H35" i="30"/>
  <c r="G35" i="30"/>
  <c r="F35" i="30"/>
  <c r="E35" i="30"/>
  <c r="D35" i="30"/>
  <c r="C35" i="30" s="1"/>
  <c r="V14" i="30" s="1"/>
  <c r="H34" i="30"/>
  <c r="G34" i="30"/>
  <c r="F34" i="30"/>
  <c r="E34" i="30"/>
  <c r="D34" i="30"/>
  <c r="C34" i="30"/>
  <c r="Y13" i="30" s="1"/>
  <c r="H33" i="30"/>
  <c r="G33" i="30"/>
  <c r="F33" i="30"/>
  <c r="E33" i="30"/>
  <c r="D33" i="30"/>
  <c r="C33" i="30" s="1"/>
  <c r="X13" i="30" s="1"/>
  <c r="H32" i="30"/>
  <c r="G32" i="30"/>
  <c r="F32" i="30"/>
  <c r="E32" i="30"/>
  <c r="D32" i="30"/>
  <c r="C32" i="30"/>
  <c r="W13" i="30" s="1"/>
  <c r="H31" i="30"/>
  <c r="G31" i="30"/>
  <c r="F31" i="30"/>
  <c r="E31" i="30"/>
  <c r="D31" i="30"/>
  <c r="H30" i="30"/>
  <c r="G30" i="30"/>
  <c r="F30" i="30"/>
  <c r="E30" i="30"/>
  <c r="C30" i="30" s="1"/>
  <c r="Y12" i="30" s="1"/>
  <c r="D30" i="30"/>
  <c r="H29" i="30"/>
  <c r="G29" i="30"/>
  <c r="F29" i="30"/>
  <c r="E29" i="30"/>
  <c r="D29" i="30"/>
  <c r="C29" i="30"/>
  <c r="X12" i="30" s="1"/>
  <c r="H28" i="30"/>
  <c r="G28" i="30"/>
  <c r="F28" i="30"/>
  <c r="E28" i="30"/>
  <c r="D28" i="30"/>
  <c r="H27" i="30"/>
  <c r="G27" i="30"/>
  <c r="C27" i="30" s="1"/>
  <c r="V12" i="30" s="1"/>
  <c r="F27" i="30"/>
  <c r="E27" i="30"/>
  <c r="D27" i="30"/>
  <c r="H26" i="30"/>
  <c r="G26" i="30"/>
  <c r="F26" i="30"/>
  <c r="E26" i="30"/>
  <c r="D26" i="30"/>
  <c r="C26" i="30"/>
  <c r="Y11" i="30" s="1"/>
  <c r="AH25" i="30"/>
  <c r="H25" i="30"/>
  <c r="G25" i="30"/>
  <c r="F25" i="30"/>
  <c r="E25" i="30"/>
  <c r="D25" i="30"/>
  <c r="C25" i="30" s="1"/>
  <c r="X11" i="30" s="1"/>
  <c r="H24" i="30"/>
  <c r="G24" i="30"/>
  <c r="F24" i="30"/>
  <c r="E24" i="30"/>
  <c r="D24" i="30"/>
  <c r="H23" i="30"/>
  <c r="G23" i="30"/>
  <c r="F23" i="30"/>
  <c r="E23" i="30"/>
  <c r="D23" i="30"/>
  <c r="C23" i="30"/>
  <c r="V11" i="30" s="1"/>
  <c r="V24" i="30" s="1"/>
  <c r="AE22" i="30"/>
  <c r="H22" i="30"/>
  <c r="G22" i="30"/>
  <c r="F22" i="30"/>
  <c r="E22" i="30"/>
  <c r="D22" i="30"/>
  <c r="H21" i="30"/>
  <c r="G21" i="30"/>
  <c r="C21" i="30" s="1"/>
  <c r="X10" i="30" s="1"/>
  <c r="F21" i="30"/>
  <c r="E21" i="30"/>
  <c r="D21" i="30"/>
  <c r="H20" i="30"/>
  <c r="G20" i="30"/>
  <c r="C20" i="30" s="1"/>
  <c r="W10" i="30" s="1"/>
  <c r="F20" i="30"/>
  <c r="E20" i="30"/>
  <c r="D20" i="30"/>
  <c r="H19" i="30"/>
  <c r="G19" i="30"/>
  <c r="F19" i="30"/>
  <c r="E19" i="30"/>
  <c r="D19" i="30"/>
  <c r="C19" i="30"/>
  <c r="V10" i="30" s="1"/>
  <c r="H18" i="30"/>
  <c r="G18" i="30"/>
  <c r="F18" i="30"/>
  <c r="E18" i="30"/>
  <c r="D18" i="30"/>
  <c r="C18" i="30" s="1"/>
  <c r="Y9" i="30" s="1"/>
  <c r="H17" i="30"/>
  <c r="G17" i="30"/>
  <c r="F17" i="30"/>
  <c r="E17" i="30"/>
  <c r="C17" i="30" s="1"/>
  <c r="X9" i="30" s="1"/>
  <c r="D17" i="30"/>
  <c r="H16" i="30"/>
  <c r="G16" i="30"/>
  <c r="F16" i="30"/>
  <c r="E16" i="30"/>
  <c r="D16" i="30"/>
  <c r="C16" i="30"/>
  <c r="W9" i="30" s="1"/>
  <c r="H15" i="30"/>
  <c r="G15" i="30"/>
  <c r="F15" i="30"/>
  <c r="E15" i="30"/>
  <c r="D15" i="30"/>
  <c r="C15" i="30"/>
  <c r="V9" i="30" s="1"/>
  <c r="H14" i="30"/>
  <c r="G14" i="30"/>
  <c r="F14" i="30"/>
  <c r="E14" i="30"/>
  <c r="C14" i="30" s="1"/>
  <c r="Y8" i="30" s="1"/>
  <c r="D14" i="30"/>
  <c r="H13" i="30"/>
  <c r="G13" i="30"/>
  <c r="F13" i="30"/>
  <c r="E13" i="30"/>
  <c r="D13" i="30"/>
  <c r="C13" i="30"/>
  <c r="X8" i="30" s="1"/>
  <c r="H12" i="30"/>
  <c r="G12" i="30"/>
  <c r="F12" i="30"/>
  <c r="E12" i="30"/>
  <c r="D12" i="30"/>
  <c r="C12" i="30" s="1"/>
  <c r="W8" i="30" s="1"/>
  <c r="H11" i="30"/>
  <c r="G11" i="30"/>
  <c r="F11" i="30"/>
  <c r="E11" i="30"/>
  <c r="D11" i="30"/>
  <c r="C11" i="30" s="1"/>
  <c r="V8" i="30" s="1"/>
  <c r="H10" i="30"/>
  <c r="G10" i="30"/>
  <c r="F10" i="30"/>
  <c r="E10" i="30"/>
  <c r="D10" i="30"/>
  <c r="H9" i="30"/>
  <c r="G9" i="30"/>
  <c r="F9" i="30"/>
  <c r="E9" i="30"/>
  <c r="D9" i="30"/>
  <c r="C9" i="30"/>
  <c r="X7" i="30" s="1"/>
  <c r="H8" i="30"/>
  <c r="G8" i="30"/>
  <c r="C8" i="30" s="1"/>
  <c r="W7" i="30" s="1"/>
  <c r="F8" i="30"/>
  <c r="E8" i="30"/>
  <c r="D8" i="30"/>
  <c r="H7" i="30"/>
  <c r="G7" i="30"/>
  <c r="F7" i="30"/>
  <c r="E7" i="30"/>
  <c r="O50" i="30" s="1"/>
  <c r="D7" i="30"/>
  <c r="C7" i="30" s="1"/>
  <c r="P50" i="30" l="1"/>
  <c r="C22" i="30"/>
  <c r="Y10" i="30" s="1"/>
  <c r="Y24" i="30" s="1"/>
  <c r="C38" i="30"/>
  <c r="Y14" i="30" s="1"/>
  <c r="Y41" i="30" s="1"/>
  <c r="C31" i="30"/>
  <c r="V13" i="30" s="1"/>
  <c r="W40" i="30" s="1"/>
  <c r="C10" i="30"/>
  <c r="Y7" i="30" s="1"/>
  <c r="C28" i="30"/>
  <c r="W12" i="30" s="1"/>
  <c r="Z12" i="30" s="1"/>
  <c r="AA12" i="30" s="1"/>
  <c r="C24" i="30"/>
  <c r="W11" i="30" s="1"/>
  <c r="C41" i="30"/>
  <c r="C42" i="30"/>
  <c r="Q50" i="30"/>
  <c r="R50" i="30"/>
  <c r="C43" i="30"/>
  <c r="V16" i="30" s="1"/>
  <c r="V29" i="30" s="1"/>
  <c r="C44" i="30"/>
  <c r="W16" i="30" s="1"/>
  <c r="V27" i="30"/>
  <c r="Z14" i="30"/>
  <c r="AJ14" i="30"/>
  <c r="V41" i="30"/>
  <c r="W21" i="30"/>
  <c r="W35" i="30"/>
  <c r="Y36" i="30"/>
  <c r="Y22" i="30"/>
  <c r="V7" i="30"/>
  <c r="V21" i="30" s="1"/>
  <c r="M50" i="30"/>
  <c r="O53" i="30" s="1"/>
  <c r="X21" i="30"/>
  <c r="X35" i="30"/>
  <c r="W34" i="30"/>
  <c r="X34" i="30"/>
  <c r="V36" i="30"/>
  <c r="Z9" i="30"/>
  <c r="AA9" i="30" s="1"/>
  <c r="V22" i="30"/>
  <c r="AJ9" i="30"/>
  <c r="AK9" i="30" s="1"/>
  <c r="AL9" i="30" s="1"/>
  <c r="AM9" i="30" s="1"/>
  <c r="Y27" i="30"/>
  <c r="V39" i="30"/>
  <c r="AJ12" i="30"/>
  <c r="V25" i="30"/>
  <c r="Y39" i="30"/>
  <c r="Y25" i="30"/>
  <c r="X27" i="30"/>
  <c r="X41" i="30"/>
  <c r="Y23" i="30"/>
  <c r="Y37" i="30"/>
  <c r="X22" i="30"/>
  <c r="X36" i="30"/>
  <c r="X39" i="30"/>
  <c r="X25" i="30"/>
  <c r="W27" i="30"/>
  <c r="W41" i="30"/>
  <c r="AJ10" i="30"/>
  <c r="AK10" i="30" s="1"/>
  <c r="AL10" i="30" s="1"/>
  <c r="AM10" i="30" s="1"/>
  <c r="Z10" i="30"/>
  <c r="V23" i="30"/>
  <c r="V37" i="30"/>
  <c r="W24" i="30"/>
  <c r="W38" i="30"/>
  <c r="X24" i="30"/>
  <c r="X38" i="30"/>
  <c r="AJ13" i="30"/>
  <c r="AK13" i="30" s="1"/>
  <c r="AL13" i="30" s="1"/>
  <c r="AM13" i="30" s="1"/>
  <c r="V26" i="30"/>
  <c r="Z13" i="30"/>
  <c r="V40" i="30"/>
  <c r="Y35" i="30"/>
  <c r="Y21" i="30"/>
  <c r="W26" i="30"/>
  <c r="W23" i="30"/>
  <c r="W37" i="30"/>
  <c r="X26" i="30"/>
  <c r="X40" i="30"/>
  <c r="X23" i="30"/>
  <c r="X37" i="30"/>
  <c r="V42" i="30"/>
  <c r="V28" i="30"/>
  <c r="W36" i="30"/>
  <c r="W22" i="30"/>
  <c r="Y34" i="30"/>
  <c r="Y26" i="30"/>
  <c r="Y40" i="30"/>
  <c r="V35" i="30"/>
  <c r="AJ8" i="30"/>
  <c r="AK8" i="30" s="1"/>
  <c r="AL8" i="30" s="1"/>
  <c r="AM8" i="30" s="1"/>
  <c r="Z8" i="30"/>
  <c r="W42" i="30"/>
  <c r="W28" i="30"/>
  <c r="W39" i="30"/>
  <c r="W25" i="30"/>
  <c r="AJ11" i="30"/>
  <c r="AK11" i="30" s="1"/>
  <c r="AL11" i="30" s="1"/>
  <c r="AM11" i="30" s="1"/>
  <c r="N50" i="30"/>
  <c r="V38" i="30"/>
  <c r="Z11" i="30"/>
  <c r="AA11" i="30" s="1"/>
  <c r="Y38" i="30"/>
  <c r="AK12" i="30" l="1"/>
  <c r="AL12" i="30" s="1"/>
  <c r="AM12" i="30" s="1"/>
  <c r="N53" i="30"/>
  <c r="X15" i="30"/>
  <c r="C45" i="30"/>
  <c r="X16" i="30" s="1"/>
  <c r="X29" i="30" s="1"/>
  <c r="Q53" i="30"/>
  <c r="P53" i="30"/>
  <c r="R53" i="30"/>
  <c r="Y15" i="30"/>
  <c r="C46" i="30"/>
  <c r="Y16" i="30" s="1"/>
  <c r="Z16" i="30" s="1"/>
  <c r="W43" i="30"/>
  <c r="W29" i="30"/>
  <c r="X43" i="30"/>
  <c r="AA13" i="30"/>
  <c r="AA10" i="30"/>
  <c r="Z7" i="30"/>
  <c r="AA8" i="30" s="1"/>
  <c r="AJ7" i="30"/>
  <c r="AK7" i="30" s="1"/>
  <c r="AL7" i="30" s="1"/>
  <c r="AM7" i="30" s="1"/>
  <c r="AA14" i="30"/>
  <c r="U7" i="19"/>
  <c r="D75" i="19"/>
  <c r="F41" i="19"/>
  <c r="F40" i="19"/>
  <c r="C4" i="13"/>
  <c r="X28" i="30" l="1"/>
  <c r="X42" i="30"/>
  <c r="Y43" i="30"/>
  <c r="Y29" i="30"/>
  <c r="Z15" i="30"/>
  <c r="AA15" i="30" s="1"/>
  <c r="V43" i="30"/>
  <c r="Y28" i="30"/>
  <c r="AF24" i="30" a="1"/>
  <c r="AF24" i="30" s="1"/>
  <c r="Y42" i="30"/>
  <c r="AD3" i="30"/>
  <c r="E44" i="16"/>
  <c r="D43" i="16"/>
  <c r="N50" i="16" s="1"/>
  <c r="R43" i="21"/>
  <c r="R29" i="21"/>
  <c r="R16" i="21"/>
  <c r="C44" i="21"/>
  <c r="J39" i="19"/>
  <c r="N47" i="19" a="1"/>
  <c r="N47" i="19" s="1"/>
  <c r="M75" i="9"/>
  <c r="M74" i="9"/>
  <c r="M73" i="9"/>
  <c r="M72" i="9"/>
  <c r="M71" i="9"/>
  <c r="M70" i="9"/>
  <c r="M69" i="9"/>
  <c r="R58" i="9"/>
  <c r="R55" i="9"/>
  <c r="Q16" i="10"/>
  <c r="AE16" i="30" l="1"/>
  <c r="AE10" i="30"/>
  <c r="AE8" i="30"/>
  <c r="AE11" i="30"/>
  <c r="AE12" i="30"/>
  <c r="AE3" i="30"/>
  <c r="AE6" i="30" s="1"/>
  <c r="AE15" i="30"/>
  <c r="AE14" i="30"/>
  <c r="AE9" i="30"/>
  <c r="AE7" i="30"/>
  <c r="AE13" i="30"/>
  <c r="H46" i="19"/>
  <c r="R16" i="13"/>
  <c r="H44" i="16"/>
  <c r="G44" i="16"/>
  <c r="R16" i="12"/>
  <c r="S43" i="12" s="1"/>
  <c r="I25" i="3" s="1"/>
  <c r="R16" i="9"/>
  <c r="F44" i="16"/>
  <c r="R16" i="10"/>
  <c r="S43" i="10" s="1"/>
  <c r="I23" i="3" s="1"/>
  <c r="D44" i="16"/>
  <c r="I44" i="16" s="1"/>
  <c r="C44" i="22"/>
  <c r="R16" i="22" s="1"/>
  <c r="R16" i="4"/>
  <c r="E42" i="16"/>
  <c r="H43" i="16"/>
  <c r="G43" i="16"/>
  <c r="F43" i="16"/>
  <c r="E43" i="16"/>
  <c r="F43" i="11"/>
  <c r="E43" i="11"/>
  <c r="D43" i="11"/>
  <c r="AF9" i="30" l="1"/>
  <c r="AF11" i="30"/>
  <c r="AF13" i="30"/>
  <c r="AF15" i="30"/>
  <c r="AF12" i="30"/>
  <c r="AF8" i="30"/>
  <c r="AF10" i="30"/>
  <c r="AF14" i="30"/>
  <c r="AF16" i="30"/>
  <c r="I43" i="16"/>
  <c r="O50" i="16"/>
  <c r="R29" i="22"/>
  <c r="C44" i="16"/>
  <c r="E39" i="31" s="1"/>
  <c r="R29" i="9"/>
  <c r="C4" i="9" s="1"/>
  <c r="R43" i="10"/>
  <c r="R29" i="10"/>
  <c r="R30" i="4"/>
  <c r="C43" i="11"/>
  <c r="T16" i="11" s="1"/>
  <c r="AB3" i="11" s="1"/>
  <c r="AC16" i="11" s="1"/>
  <c r="C43" i="16"/>
  <c r="V16" i="16" l="1"/>
  <c r="C38" i="31"/>
  <c r="D38" i="31"/>
  <c r="F38" i="31"/>
  <c r="B38" i="31"/>
  <c r="F39" i="31"/>
  <c r="C39" i="31"/>
  <c r="B39" i="31"/>
  <c r="D39" i="31"/>
  <c r="E38" i="31"/>
  <c r="W16" i="16"/>
  <c r="T29" i="11"/>
  <c r="W43" i="16" l="1"/>
  <c r="X43" i="16"/>
  <c r="I27" i="3" s="1"/>
  <c r="AD3" i="16"/>
  <c r="AE16" i="16" s="1"/>
  <c r="Q16" i="13"/>
  <c r="R43" i="13" s="1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27" i="29"/>
  <c r="AE113" i="29"/>
  <c r="AB113" i="29"/>
  <c r="AE112" i="29"/>
  <c r="AB112" i="29"/>
  <c r="AE111" i="29"/>
  <c r="AB111" i="29"/>
  <c r="AE110" i="29"/>
  <c r="AB110" i="29"/>
  <c r="AE109" i="29"/>
  <c r="AB109" i="29"/>
  <c r="AE108" i="29"/>
  <c r="AB108" i="29"/>
  <c r="AE107" i="29"/>
  <c r="AB107" i="29"/>
  <c r="AE106" i="29"/>
  <c r="AB106" i="29"/>
  <c r="AE105" i="29"/>
  <c r="AB105" i="29"/>
  <c r="AE104" i="29"/>
  <c r="AB104" i="29"/>
  <c r="AE103" i="29"/>
  <c r="AB103" i="29"/>
  <c r="AE102" i="29"/>
  <c r="AB102" i="29"/>
  <c r="AE101" i="29"/>
  <c r="AB101" i="29"/>
  <c r="AE100" i="29"/>
  <c r="AB100" i="29"/>
  <c r="AE99" i="29"/>
  <c r="AB99" i="29"/>
  <c r="AE98" i="29"/>
  <c r="AB98" i="29"/>
  <c r="AE97" i="29"/>
  <c r="AB97" i="29"/>
  <c r="AE96" i="29"/>
  <c r="AB96" i="29"/>
  <c r="AE95" i="29"/>
  <c r="AB95" i="29"/>
  <c r="AE94" i="29"/>
  <c r="AB94" i="29"/>
  <c r="AE93" i="29"/>
  <c r="AB93" i="29"/>
  <c r="AE92" i="29"/>
  <c r="AB92" i="29"/>
  <c r="AE91" i="29"/>
  <c r="AB91" i="29"/>
  <c r="AE90" i="29"/>
  <c r="AB90" i="29"/>
  <c r="AE89" i="29"/>
  <c r="AB89" i="29"/>
  <c r="AE88" i="29"/>
  <c r="AB88" i="29"/>
  <c r="AE87" i="29"/>
  <c r="AB87" i="29"/>
  <c r="AE86" i="29"/>
  <c r="AB86" i="29"/>
  <c r="AE85" i="29"/>
  <c r="AB85" i="29"/>
  <c r="AE84" i="29"/>
  <c r="AB84" i="29"/>
  <c r="AE83" i="29"/>
  <c r="AB83" i="29"/>
  <c r="AE82" i="29"/>
  <c r="AB82" i="29"/>
  <c r="AE81" i="29"/>
  <c r="AB81" i="29"/>
  <c r="AE80" i="29"/>
  <c r="AB80" i="29"/>
  <c r="AE79" i="29"/>
  <c r="AB79" i="29"/>
  <c r="AE78" i="29"/>
  <c r="AB78" i="29"/>
  <c r="AI77" i="29"/>
  <c r="AH77" i="29"/>
  <c r="AI76" i="29"/>
  <c r="AH76" i="29"/>
  <c r="AI75" i="29"/>
  <c r="AH75" i="29"/>
  <c r="AI74" i="29"/>
  <c r="AH74" i="29"/>
  <c r="AI73" i="29"/>
  <c r="AH73" i="29"/>
  <c r="AI72" i="29"/>
  <c r="AH72" i="29"/>
  <c r="AI71" i="29"/>
  <c r="AH71" i="29"/>
  <c r="AI70" i="29"/>
  <c r="AH70" i="29"/>
  <c r="AI69" i="29"/>
  <c r="AI68" i="29"/>
  <c r="AH68" i="29"/>
  <c r="AG68" i="29"/>
  <c r="AG69" i="29" s="1"/>
  <c r="AH69" i="29" s="1"/>
  <c r="AI67" i="29"/>
  <c r="AH67" i="29"/>
  <c r="AG67" i="29"/>
  <c r="AI66" i="29"/>
  <c r="AH66" i="29"/>
  <c r="AI65" i="29"/>
  <c r="AI64" i="29"/>
  <c r="AI63" i="29"/>
  <c r="AG63" i="29"/>
  <c r="AG64" i="29" s="1"/>
  <c r="AI62" i="29"/>
  <c r="AH62" i="29"/>
  <c r="AI61" i="29"/>
  <c r="AI60" i="29"/>
  <c r="AI59" i="29"/>
  <c r="AG59" i="29"/>
  <c r="AG60" i="29" s="1"/>
  <c r="AH60" i="29" s="1"/>
  <c r="AI58" i="29"/>
  <c r="AH58" i="29"/>
  <c r="AI57" i="29"/>
  <c r="AI56" i="29"/>
  <c r="AI55" i="29"/>
  <c r="AG55" i="29"/>
  <c r="AG56" i="29" s="1"/>
  <c r="AI54" i="29"/>
  <c r="AH54" i="29"/>
  <c r="AI53" i="29"/>
  <c r="AI52" i="29"/>
  <c r="AI51" i="29"/>
  <c r="AG51" i="29"/>
  <c r="AG52" i="29" s="1"/>
  <c r="AI50" i="29"/>
  <c r="AH50" i="29"/>
  <c r="AI49" i="29"/>
  <c r="AI48" i="29"/>
  <c r="AI47" i="29"/>
  <c r="AG47" i="29"/>
  <c r="AG48" i="29" s="1"/>
  <c r="AI46" i="29"/>
  <c r="AH46" i="29"/>
  <c r="AI45" i="29"/>
  <c r="AI44" i="29"/>
  <c r="AI43" i="29"/>
  <c r="AG43" i="29"/>
  <c r="AG44" i="29" s="1"/>
  <c r="AI42" i="29"/>
  <c r="AH42" i="29"/>
  <c r="AI41" i="29"/>
  <c r="AI40" i="29"/>
  <c r="AI39" i="29"/>
  <c r="AG39" i="29"/>
  <c r="AG40" i="29" s="1"/>
  <c r="AH40" i="29" s="1"/>
  <c r="AI38" i="29"/>
  <c r="AH38" i="29"/>
  <c r="AI37" i="29"/>
  <c r="AI36" i="29"/>
  <c r="AI35" i="29"/>
  <c r="AG35" i="29"/>
  <c r="AG36" i="29" s="1"/>
  <c r="J35" i="29"/>
  <c r="J39" i="29" s="1"/>
  <c r="J43" i="29" s="1"/>
  <c r="J47" i="29" s="1"/>
  <c r="J51" i="29" s="1"/>
  <c r="J55" i="29" s="1"/>
  <c r="J59" i="29" s="1"/>
  <c r="J63" i="29" s="1"/>
  <c r="J67" i="29" s="1"/>
  <c r="AI34" i="29"/>
  <c r="AH34" i="29"/>
  <c r="AI33" i="29"/>
  <c r="AI32" i="29"/>
  <c r="AI31" i="29"/>
  <c r="AG31" i="29"/>
  <c r="AG32" i="29" s="1"/>
  <c r="AI30" i="29"/>
  <c r="AH30" i="29"/>
  <c r="AI29" i="29"/>
  <c r="AI28" i="29"/>
  <c r="AI27" i="29"/>
  <c r="AG27" i="29"/>
  <c r="AG28" i="29" s="1"/>
  <c r="K27" i="29"/>
  <c r="K31" i="29" s="1"/>
  <c r="K35" i="29" s="1"/>
  <c r="K39" i="29" s="1"/>
  <c r="K43" i="29" s="1"/>
  <c r="K47" i="29" s="1"/>
  <c r="K51" i="29" s="1"/>
  <c r="K55" i="29" s="1"/>
  <c r="K59" i="29" s="1"/>
  <c r="K63" i="29" s="1"/>
  <c r="K67" i="29" s="1"/>
  <c r="AI26" i="29"/>
  <c r="AH26" i="29"/>
  <c r="AI25" i="29"/>
  <c r="AI24" i="29"/>
  <c r="AI23" i="29"/>
  <c r="AG23" i="29"/>
  <c r="AG24" i="29" s="1"/>
  <c r="AI22" i="29"/>
  <c r="AH22" i="29"/>
  <c r="AI21" i="29"/>
  <c r="K21" i="29"/>
  <c r="K25" i="29" s="1"/>
  <c r="K29" i="29" s="1"/>
  <c r="K33" i="29" s="1"/>
  <c r="K37" i="29" s="1"/>
  <c r="K41" i="29" s="1"/>
  <c r="K45" i="29" s="1"/>
  <c r="K49" i="29" s="1"/>
  <c r="K53" i="29" s="1"/>
  <c r="K57" i="29" s="1"/>
  <c r="K61" i="29" s="1"/>
  <c r="K65" i="29" s="1"/>
  <c r="J21" i="29"/>
  <c r="J25" i="29" s="1"/>
  <c r="J29" i="29" s="1"/>
  <c r="J33" i="29" s="1"/>
  <c r="J37" i="29" s="1"/>
  <c r="J41" i="29" s="1"/>
  <c r="J45" i="29" s="1"/>
  <c r="J49" i="29" s="1"/>
  <c r="J53" i="29" s="1"/>
  <c r="J57" i="29" s="1"/>
  <c r="J61" i="29" s="1"/>
  <c r="J65" i="29" s="1"/>
  <c r="AI20" i="29"/>
  <c r="AG20" i="29"/>
  <c r="AG21" i="29" s="1"/>
  <c r="AH21" i="29" s="1"/>
  <c r="AI19" i="29"/>
  <c r="AG19" i="29"/>
  <c r="AH19" i="29" s="1"/>
  <c r="AI18" i="29"/>
  <c r="AH18" i="29"/>
  <c r="AI17" i="29"/>
  <c r="AI16" i="29"/>
  <c r="AI15" i="29"/>
  <c r="AG15" i="29"/>
  <c r="AG16" i="29" s="1"/>
  <c r="K15" i="29"/>
  <c r="K19" i="29" s="1"/>
  <c r="K23" i="29" s="1"/>
  <c r="J15" i="29"/>
  <c r="J19" i="29" s="1"/>
  <c r="J23" i="29" s="1"/>
  <c r="J27" i="29" s="1"/>
  <c r="J31" i="29" s="1"/>
  <c r="AI14" i="29"/>
  <c r="AH14" i="29"/>
  <c r="K14" i="29"/>
  <c r="K18" i="29" s="1"/>
  <c r="K22" i="29" s="1"/>
  <c r="K26" i="29" s="1"/>
  <c r="K30" i="29" s="1"/>
  <c r="K34" i="29" s="1"/>
  <c r="K38" i="29" s="1"/>
  <c r="K42" i="29" s="1"/>
  <c r="K46" i="29" s="1"/>
  <c r="K50" i="29" s="1"/>
  <c r="K54" i="29" s="1"/>
  <c r="K58" i="29" s="1"/>
  <c r="K62" i="29" s="1"/>
  <c r="K66" i="29" s="1"/>
  <c r="J14" i="29"/>
  <c r="J18" i="29" s="1"/>
  <c r="J22" i="29" s="1"/>
  <c r="J26" i="29" s="1"/>
  <c r="J30" i="29" s="1"/>
  <c r="J34" i="29" s="1"/>
  <c r="J38" i="29" s="1"/>
  <c r="J42" i="29" s="1"/>
  <c r="J46" i="29" s="1"/>
  <c r="J50" i="29" s="1"/>
  <c r="J54" i="29" s="1"/>
  <c r="J58" i="29" s="1"/>
  <c r="J62" i="29" s="1"/>
  <c r="J66" i="29" s="1"/>
  <c r="K13" i="29"/>
  <c r="K17" i="29" s="1"/>
  <c r="J13" i="29"/>
  <c r="J17" i="29" s="1"/>
  <c r="K11" i="29"/>
  <c r="J11" i="29"/>
  <c r="K10" i="29"/>
  <c r="J10" i="29"/>
  <c r="K9" i="29"/>
  <c r="J9" i="29"/>
  <c r="K8" i="29"/>
  <c r="K12" i="29" s="1"/>
  <c r="K16" i="29" s="1"/>
  <c r="K20" i="29" s="1"/>
  <c r="K24" i="29" s="1"/>
  <c r="K28" i="29" s="1"/>
  <c r="K32" i="29" s="1"/>
  <c r="K36" i="29" s="1"/>
  <c r="K40" i="29" s="1"/>
  <c r="K44" i="29" s="1"/>
  <c r="K48" i="29" s="1"/>
  <c r="K52" i="29" s="1"/>
  <c r="K56" i="29" s="1"/>
  <c r="K60" i="29" s="1"/>
  <c r="K64" i="29" s="1"/>
  <c r="J8" i="29"/>
  <c r="J12" i="29" s="1"/>
  <c r="J16" i="29" s="1"/>
  <c r="J20" i="29" s="1"/>
  <c r="J24" i="29" s="1"/>
  <c r="J28" i="29" s="1"/>
  <c r="J32" i="29" s="1"/>
  <c r="J36" i="29" s="1"/>
  <c r="J40" i="29" s="1"/>
  <c r="J44" i="29" s="1"/>
  <c r="J48" i="29" s="1"/>
  <c r="J52" i="29" s="1"/>
  <c r="J56" i="29" s="1"/>
  <c r="J60" i="29" s="1"/>
  <c r="J64" i="29" s="1"/>
  <c r="Y3" i="13" l="1"/>
  <c r="Z16" i="13" s="1"/>
  <c r="Q29" i="10"/>
  <c r="Y3" i="10"/>
  <c r="Z16" i="10" s="1"/>
  <c r="AG53" i="29"/>
  <c r="AH53" i="29" s="1"/>
  <c r="AH52" i="29"/>
  <c r="AG37" i="29"/>
  <c r="AH37" i="29" s="1"/>
  <c r="AH36" i="29"/>
  <c r="AH20" i="29"/>
  <c r="AG41" i="29"/>
  <c r="AH41" i="29" s="1"/>
  <c r="AG33" i="29"/>
  <c r="AH33" i="29" s="1"/>
  <c r="AH32" i="29"/>
  <c r="AG25" i="29"/>
  <c r="AH25" i="29" s="1"/>
  <c r="AH24" i="29"/>
  <c r="AG57" i="29"/>
  <c r="AH57" i="29" s="1"/>
  <c r="AH56" i="29"/>
  <c r="AG29" i="29"/>
  <c r="AH29" i="29" s="1"/>
  <c r="AH28" i="29"/>
  <c r="AH27" i="29"/>
  <c r="AG45" i="29"/>
  <c r="AH45" i="29" s="1"/>
  <c r="AH44" i="29"/>
  <c r="AG61" i="29"/>
  <c r="AH61" i="29" s="1"/>
  <c r="AH48" i="29"/>
  <c r="AG49" i="29"/>
  <c r="AH49" i="29" s="1"/>
  <c r="AH47" i="29"/>
  <c r="AG17" i="29"/>
  <c r="AH17" i="29" s="1"/>
  <c r="AH16" i="29"/>
  <c r="AH64" i="29"/>
  <c r="AG65" i="29"/>
  <c r="AH65" i="29" s="1"/>
  <c r="AH55" i="29"/>
  <c r="AH35" i="29"/>
  <c r="AH15" i="29"/>
  <c r="AH23" i="29"/>
  <c r="AH51" i="29"/>
  <c r="AH39" i="29"/>
  <c r="AH63" i="29"/>
  <c r="AH43" i="29"/>
  <c r="AH31" i="29"/>
  <c r="AH59" i="29"/>
  <c r="D74" i="19"/>
  <c r="C43" i="23"/>
  <c r="R70" i="28"/>
  <c r="P70" i="28"/>
  <c r="P69" i="28"/>
  <c r="T68" i="28"/>
  <c r="S68" i="28"/>
  <c r="R68" i="28"/>
  <c r="Q68" i="28"/>
  <c r="P68" i="28"/>
  <c r="T67" i="28"/>
  <c r="S67" i="28"/>
  <c r="R67" i="28"/>
  <c r="Q67" i="28"/>
  <c r="P65" i="28"/>
  <c r="P64" i="28"/>
  <c r="Y33" i="28"/>
  <c r="Y31" i="28"/>
  <c r="Y30" i="28"/>
  <c r="Q59" i="28"/>
  <c r="Y29" i="28"/>
  <c r="Y28" i="28"/>
  <c r="P57" i="28"/>
  <c r="Y32" i="28" s="1"/>
  <c r="Y27" i="28"/>
  <c r="P56" i="28"/>
  <c r="Y26" i="28"/>
  <c r="P55" i="28"/>
  <c r="AB25" i="28"/>
  <c r="Y25" i="28"/>
  <c r="P54" i="28"/>
  <c r="P53" i="28"/>
  <c r="P67" i="28" s="1"/>
  <c r="Y23" i="28"/>
  <c r="Z25" i="28" s="1" a="1"/>
  <c r="Z25" i="28" s="1"/>
  <c r="T52" i="28"/>
  <c r="S52" i="28"/>
  <c r="R52" i="28"/>
  <c r="Q52" i="28"/>
  <c r="P52" i="28"/>
  <c r="P66" i="28" s="1"/>
  <c r="T51" i="28"/>
  <c r="P51" i="28"/>
  <c r="P50" i="28"/>
  <c r="Q16" i="28"/>
  <c r="X3" i="28" s="1"/>
  <c r="AC15" i="28"/>
  <c r="T15" i="28"/>
  <c r="T72" i="28" s="1"/>
  <c r="S15" i="28"/>
  <c r="S72" i="28" s="1"/>
  <c r="R15" i="28"/>
  <c r="R72" i="28" s="1"/>
  <c r="Q15" i="28"/>
  <c r="Q72" i="28" s="1"/>
  <c r="AC14" i="28"/>
  <c r="X14" i="28"/>
  <c r="T14" i="28"/>
  <c r="T71" i="28" s="1"/>
  <c r="S14" i="28"/>
  <c r="S58" i="28" s="1"/>
  <c r="R14" i="28"/>
  <c r="R57" i="28" s="1"/>
  <c r="Q14" i="28"/>
  <c r="Q71" i="28" s="1"/>
  <c r="AC13" i="28"/>
  <c r="X13" i="28"/>
  <c r="T13" i="28"/>
  <c r="T56" i="28" s="1"/>
  <c r="S13" i="28"/>
  <c r="S56" i="28" s="1"/>
  <c r="R13" i="28"/>
  <c r="R56" i="28" s="1"/>
  <c r="Q13" i="28"/>
  <c r="Q56" i="28" s="1"/>
  <c r="AC12" i="28"/>
  <c r="X12" i="28"/>
  <c r="T12" i="28"/>
  <c r="T55" i="28" s="1"/>
  <c r="S12" i="28"/>
  <c r="S55" i="28" s="1"/>
  <c r="R12" i="28"/>
  <c r="R55" i="28" s="1"/>
  <c r="Q12" i="28"/>
  <c r="Q55" i="28" s="1"/>
  <c r="AD11" i="28"/>
  <c r="AE11" i="28" s="1"/>
  <c r="AF11" i="28" s="1"/>
  <c r="AG11" i="28" s="1"/>
  <c r="AC11" i="28"/>
  <c r="X11" i="28"/>
  <c r="T11" i="28"/>
  <c r="S11" i="28"/>
  <c r="R11" i="28"/>
  <c r="Q11" i="28"/>
  <c r="U11" i="28" s="1"/>
  <c r="AC10" i="28"/>
  <c r="X10" i="28"/>
  <c r="T10" i="28"/>
  <c r="T53" i="28" s="1"/>
  <c r="S10" i="28"/>
  <c r="S53" i="28" s="1"/>
  <c r="R10" i="28"/>
  <c r="R54" i="28" s="1"/>
  <c r="Q10" i="28"/>
  <c r="Q53" i="28" s="1"/>
  <c r="AD9" i="28"/>
  <c r="AE9" i="28" s="1"/>
  <c r="AF9" i="28" s="1"/>
  <c r="AG9" i="28" s="1"/>
  <c r="AC9" i="28"/>
  <c r="X9" i="28"/>
  <c r="T9" i="28"/>
  <c r="T66" i="28" s="1"/>
  <c r="S9" i="28"/>
  <c r="S66" i="28" s="1"/>
  <c r="R9" i="28"/>
  <c r="R66" i="28" s="1"/>
  <c r="Q9" i="28"/>
  <c r="U9" i="28" s="1"/>
  <c r="AC8" i="28"/>
  <c r="X8" i="28"/>
  <c r="T8" i="28"/>
  <c r="T65" i="28" s="1"/>
  <c r="S8" i="28"/>
  <c r="S51" i="28" s="1"/>
  <c r="R8" i="28"/>
  <c r="R65" i="28" s="1"/>
  <c r="Q8" i="28"/>
  <c r="Q65" i="28" s="1"/>
  <c r="AC7" i="28"/>
  <c r="X7" i="28"/>
  <c r="T7" i="28"/>
  <c r="T64" i="28" s="1"/>
  <c r="S7" i="28"/>
  <c r="S64" i="28" s="1"/>
  <c r="R7" i="28"/>
  <c r="R64" i="28" s="1"/>
  <c r="Q7" i="28"/>
  <c r="AD7" i="28" s="1"/>
  <c r="AE7" i="28" s="1"/>
  <c r="AF7" i="28" s="1"/>
  <c r="AG7" i="28" s="1"/>
  <c r="C7" i="28"/>
  <c r="Q16" i="12"/>
  <c r="Y3" i="12" s="1"/>
  <c r="Z16" i="12" l="1"/>
  <c r="R43" i="12"/>
  <c r="D43" i="23"/>
  <c r="C43" i="24"/>
  <c r="Q16" i="24" s="1"/>
  <c r="Q16" i="23"/>
  <c r="Y16" i="28"/>
  <c r="Y13" i="28"/>
  <c r="Y14" i="28"/>
  <c r="Y7" i="28"/>
  <c r="Y11" i="28"/>
  <c r="Y3" i="28"/>
  <c r="Y6" i="28" s="1"/>
  <c r="Y8" i="28"/>
  <c r="Y15" i="28"/>
  <c r="Y10" i="28"/>
  <c r="Y12" i="28"/>
  <c r="Y9" i="28"/>
  <c r="Q57" i="28"/>
  <c r="S57" i="28"/>
  <c r="R53" i="28"/>
  <c r="T58" i="28"/>
  <c r="R69" i="28"/>
  <c r="Q54" i="28"/>
  <c r="S54" i="28"/>
  <c r="Q70" i="28"/>
  <c r="U8" i="28"/>
  <c r="V8" i="28" s="1"/>
  <c r="T54" i="28"/>
  <c r="S70" i="28"/>
  <c r="AD10" i="28"/>
  <c r="AE10" i="28" s="1"/>
  <c r="AF10" i="28" s="1"/>
  <c r="AG10" i="28" s="1"/>
  <c r="U15" i="28"/>
  <c r="V15" i="28" s="1"/>
  <c r="T70" i="28"/>
  <c r="P71" i="28"/>
  <c r="S71" i="28"/>
  <c r="U12" i="28"/>
  <c r="V12" i="28" s="1"/>
  <c r="R58" i="28"/>
  <c r="U10" i="28"/>
  <c r="V10" i="28" s="1"/>
  <c r="T69" i="28"/>
  <c r="AD12" i="28"/>
  <c r="AE12" i="28" s="1"/>
  <c r="AF12" i="28" s="1"/>
  <c r="AG12" i="28" s="1"/>
  <c r="R71" i="28"/>
  <c r="Q66" i="28"/>
  <c r="AD13" i="28"/>
  <c r="AE13" i="28" s="1"/>
  <c r="AF13" i="28" s="1"/>
  <c r="AG13" i="28" s="1"/>
  <c r="Q73" i="28"/>
  <c r="Q51" i="28"/>
  <c r="R51" i="28"/>
  <c r="U7" i="28"/>
  <c r="U14" i="28"/>
  <c r="T57" i="28"/>
  <c r="Q58" i="28"/>
  <c r="AD14" i="28"/>
  <c r="AE14" i="28" s="1"/>
  <c r="AF14" i="28" s="1"/>
  <c r="AG14" i="28" s="1"/>
  <c r="Q69" i="28"/>
  <c r="S69" i="28"/>
  <c r="AD8" i="28"/>
  <c r="AE8" i="28" s="1"/>
  <c r="AF8" i="28" s="1"/>
  <c r="AG8" i="28" s="1"/>
  <c r="U13" i="28"/>
  <c r="AD15" i="28"/>
  <c r="S65" i="28"/>
  <c r="C43" i="22"/>
  <c r="Q16" i="22" s="1"/>
  <c r="R43" i="22" s="1"/>
  <c r="U14" i="13"/>
  <c r="U13" i="13"/>
  <c r="U12" i="13"/>
  <c r="U11" i="13"/>
  <c r="V11" i="13" s="1"/>
  <c r="U10" i="13"/>
  <c r="U9" i="13"/>
  <c r="V9" i="13" s="1"/>
  <c r="U8" i="13"/>
  <c r="U7" i="13"/>
  <c r="U14" i="10"/>
  <c r="U13" i="10"/>
  <c r="U12" i="10"/>
  <c r="U11" i="10"/>
  <c r="U10" i="10"/>
  <c r="U9" i="10"/>
  <c r="U8" i="10"/>
  <c r="U7" i="10"/>
  <c r="U15" i="9"/>
  <c r="U14" i="9"/>
  <c r="V14" i="9" s="1"/>
  <c r="U13" i="9"/>
  <c r="V13" i="9" s="1"/>
  <c r="U12" i="9"/>
  <c r="V12" i="9" s="1"/>
  <c r="U11" i="9"/>
  <c r="V11" i="9" s="1"/>
  <c r="U10" i="9"/>
  <c r="V10" i="9" s="1"/>
  <c r="U9" i="9"/>
  <c r="V9" i="9" s="1"/>
  <c r="U8" i="9"/>
  <c r="V8" i="9" s="1"/>
  <c r="U7" i="9"/>
  <c r="V15" i="9" l="1"/>
  <c r="V10" i="13"/>
  <c r="V14" i="13"/>
  <c r="V8" i="13"/>
  <c r="V12" i="13"/>
  <c r="V13" i="13"/>
  <c r="V8" i="10"/>
  <c r="V9" i="10"/>
  <c r="V10" i="10"/>
  <c r="V11" i="10"/>
  <c r="V12" i="10"/>
  <c r="V13" i="10"/>
  <c r="V14" i="10"/>
  <c r="Z8" i="28"/>
  <c r="Z12" i="28"/>
  <c r="Z14" i="28"/>
  <c r="Z9" i="28"/>
  <c r="Z15" i="28"/>
  <c r="Z16" i="28"/>
  <c r="V13" i="28"/>
  <c r="V11" i="28"/>
  <c r="V14" i="28"/>
  <c r="Z10" i="28"/>
  <c r="Z11" i="28"/>
  <c r="Z13" i="28"/>
  <c r="V9" i="28"/>
  <c r="Y3" i="22"/>
  <c r="Z16" i="22" s="1"/>
  <c r="U15" i="21"/>
  <c r="V15" i="21" s="1"/>
  <c r="U14" i="21"/>
  <c r="U13" i="21"/>
  <c r="V14" i="21" s="1"/>
  <c r="V12" i="21"/>
  <c r="U12" i="21"/>
  <c r="U11" i="21"/>
  <c r="V11" i="21" s="1"/>
  <c r="U10" i="21"/>
  <c r="V10" i="21" s="1"/>
  <c r="U9" i="21"/>
  <c r="V9" i="21" s="1"/>
  <c r="U8" i="21"/>
  <c r="V8" i="21" s="1"/>
  <c r="U7" i="21"/>
  <c r="V9" i="4"/>
  <c r="V10" i="4"/>
  <c r="V11" i="4"/>
  <c r="V12" i="4"/>
  <c r="V13" i="4"/>
  <c r="V14" i="4"/>
  <c r="V15" i="4"/>
  <c r="V8" i="4"/>
  <c r="U8" i="4"/>
  <c r="U9" i="4"/>
  <c r="U10" i="4"/>
  <c r="U11" i="4"/>
  <c r="U12" i="4"/>
  <c r="U13" i="4"/>
  <c r="U14" i="4"/>
  <c r="U15" i="4"/>
  <c r="U7" i="4"/>
  <c r="V13" i="21" l="1"/>
  <c r="Q16" i="21" l="1"/>
  <c r="D43" i="21"/>
  <c r="F66" i="27"/>
  <c r="F70" i="27" s="1"/>
  <c r="F74" i="27" s="1"/>
  <c r="F78" i="27" s="1"/>
  <c r="F82" i="27" s="1"/>
  <c r="F86" i="27" s="1"/>
  <c r="E66" i="27"/>
  <c r="E70" i="27" s="1"/>
  <c r="F65" i="27"/>
  <c r="F69" i="27" s="1"/>
  <c r="F73" i="27" s="1"/>
  <c r="F77" i="27" s="1"/>
  <c r="F81" i="27" s="1"/>
  <c r="F85" i="27" s="1"/>
  <c r="E65" i="27"/>
  <c r="E69" i="27" s="1"/>
  <c r="F64" i="27"/>
  <c r="F68" i="27" s="1"/>
  <c r="F72" i="27" s="1"/>
  <c r="F76" i="27" s="1"/>
  <c r="F80" i="27" s="1"/>
  <c r="F84" i="27" s="1"/>
  <c r="E64" i="27"/>
  <c r="E68" i="27" s="1"/>
  <c r="F62" i="27"/>
  <c r="E62" i="27"/>
  <c r="H62" i="27" s="1"/>
  <c r="F61" i="27"/>
  <c r="E61" i="27"/>
  <c r="H61" i="27" s="1"/>
  <c r="H60" i="27"/>
  <c r="F60" i="27"/>
  <c r="E60" i="27"/>
  <c r="F59" i="27"/>
  <c r="F63" i="27" s="1"/>
  <c r="F67" i="27" s="1"/>
  <c r="F71" i="27" s="1"/>
  <c r="F75" i="27" s="1"/>
  <c r="F79" i="27" s="1"/>
  <c r="F83" i="27" s="1"/>
  <c r="E59" i="27"/>
  <c r="E63" i="27" s="1"/>
  <c r="H58" i="27"/>
  <c r="H57" i="27"/>
  <c r="H56" i="27"/>
  <c r="H55" i="27"/>
  <c r="D33" i="27"/>
  <c r="B33" i="27"/>
  <c r="G32" i="27"/>
  <c r="O32" i="27" s="1"/>
  <c r="H49" i="27" s="1"/>
  <c r="F32" i="27"/>
  <c r="N32" i="27" s="1"/>
  <c r="G49" i="27" s="1"/>
  <c r="E32" i="27"/>
  <c r="D32" i="27"/>
  <c r="B32" i="27"/>
  <c r="G31" i="27"/>
  <c r="F31" i="27"/>
  <c r="E31" i="27"/>
  <c r="M32" i="27" s="1"/>
  <c r="F49" i="27" s="1"/>
  <c r="D31" i="27"/>
  <c r="B31" i="27"/>
  <c r="G30" i="27"/>
  <c r="F30" i="27"/>
  <c r="E30" i="27"/>
  <c r="M31" i="27" s="1"/>
  <c r="F48" i="27" s="1"/>
  <c r="D30" i="27"/>
  <c r="L31" i="27" s="1"/>
  <c r="E48" i="27" s="1"/>
  <c r="B30" i="27"/>
  <c r="G29" i="27"/>
  <c r="O29" i="27" s="1"/>
  <c r="H46" i="27" s="1"/>
  <c r="F29" i="27"/>
  <c r="E29" i="27"/>
  <c r="D29" i="27"/>
  <c r="L29" i="27" s="1"/>
  <c r="E46" i="27" s="1"/>
  <c r="B29" i="27"/>
  <c r="G28" i="27"/>
  <c r="O28" i="27" s="1"/>
  <c r="H45" i="27" s="1"/>
  <c r="F28" i="27"/>
  <c r="N28" i="27" s="1"/>
  <c r="G45" i="27" s="1"/>
  <c r="E28" i="27"/>
  <c r="M28" i="27" s="1"/>
  <c r="F45" i="27" s="1"/>
  <c r="D28" i="27"/>
  <c r="L28" i="27" s="1"/>
  <c r="E45" i="27" s="1"/>
  <c r="B28" i="27"/>
  <c r="G27" i="27"/>
  <c r="F27" i="27"/>
  <c r="E27" i="27"/>
  <c r="D27" i="27"/>
  <c r="B27" i="27"/>
  <c r="G26" i="27"/>
  <c r="O27" i="27" s="1"/>
  <c r="H44" i="27" s="1"/>
  <c r="F26" i="27"/>
  <c r="E26" i="27"/>
  <c r="D26" i="27"/>
  <c r="L26" i="27" s="1"/>
  <c r="E43" i="27" s="1"/>
  <c r="B26" i="27"/>
  <c r="G25" i="27"/>
  <c r="O25" i="27" s="1"/>
  <c r="H42" i="27" s="1"/>
  <c r="G58" i="27" s="1"/>
  <c r="F25" i="27"/>
  <c r="N25" i="27" s="1"/>
  <c r="G42" i="27" s="1"/>
  <c r="G57" i="27" s="1"/>
  <c r="E25" i="27"/>
  <c r="D25" i="27"/>
  <c r="B25" i="27"/>
  <c r="G24" i="27"/>
  <c r="F24" i="27"/>
  <c r="E24" i="27"/>
  <c r="M25" i="27" s="1"/>
  <c r="F42" i="27" s="1"/>
  <c r="G56" i="27" s="1"/>
  <c r="D24" i="27"/>
  <c r="L25" i="27" s="1"/>
  <c r="E42" i="27" s="1"/>
  <c r="G55" i="27" s="1"/>
  <c r="B24" i="27"/>
  <c r="G23" i="27"/>
  <c r="O24" i="27" s="1"/>
  <c r="F23" i="27"/>
  <c r="E23" i="27"/>
  <c r="D23" i="27"/>
  <c r="L24" i="27" s="1"/>
  <c r="B23" i="27"/>
  <c r="G22" i="27"/>
  <c r="F22" i="27"/>
  <c r="E22" i="27"/>
  <c r="D22" i="27"/>
  <c r="B22" i="27"/>
  <c r="Q16" i="4"/>
  <c r="R44" i="4" s="1"/>
  <c r="H87" i="26"/>
  <c r="J82" i="26" a="1"/>
  <c r="J82" i="26" s="1"/>
  <c r="G8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6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55" i="26"/>
  <c r="G55" i="26"/>
  <c r="E43" i="26"/>
  <c r="F43" i="26"/>
  <c r="G43" i="26"/>
  <c r="H43" i="26"/>
  <c r="E44" i="26"/>
  <c r="F44" i="26"/>
  <c r="G44" i="26"/>
  <c r="H44" i="26"/>
  <c r="E45" i="26"/>
  <c r="F45" i="26"/>
  <c r="G45" i="26"/>
  <c r="H45" i="26"/>
  <c r="E46" i="26"/>
  <c r="F46" i="26"/>
  <c r="G46" i="26"/>
  <c r="H46" i="26"/>
  <c r="E47" i="26"/>
  <c r="F47" i="26"/>
  <c r="G47" i="26"/>
  <c r="H47" i="26"/>
  <c r="E48" i="26"/>
  <c r="F48" i="26"/>
  <c r="G48" i="26"/>
  <c r="H48" i="26"/>
  <c r="E49" i="26"/>
  <c r="F49" i="26"/>
  <c r="G49" i="26"/>
  <c r="H49" i="26"/>
  <c r="F42" i="26"/>
  <c r="G42" i="26"/>
  <c r="H42" i="26"/>
  <c r="E42" i="26"/>
  <c r="E83" i="26"/>
  <c r="F83" i="26"/>
  <c r="E84" i="26"/>
  <c r="F84" i="26"/>
  <c r="E85" i="26"/>
  <c r="F85" i="26"/>
  <c r="E86" i="26"/>
  <c r="F86" i="26"/>
  <c r="X3" i="21" l="1"/>
  <c r="Y16" i="21" s="1"/>
  <c r="N29" i="27"/>
  <c r="G46" i="27" s="1"/>
  <c r="O31" i="27"/>
  <c r="H48" i="27" s="1"/>
  <c r="M23" i="27"/>
  <c r="N23" i="27"/>
  <c r="N24" i="27"/>
  <c r="N30" i="27"/>
  <c r="G47" i="27" s="1"/>
  <c r="L32" i="27"/>
  <c r="E49" i="27" s="1"/>
  <c r="L27" i="27"/>
  <c r="E44" i="27" s="1"/>
  <c r="M24" i="27"/>
  <c r="M26" i="27"/>
  <c r="F43" i="27" s="1"/>
  <c r="G60" i="27" s="1"/>
  <c r="M27" i="27"/>
  <c r="F44" i="27" s="1"/>
  <c r="O30" i="27"/>
  <c r="H47" i="27" s="1"/>
  <c r="N27" i="27"/>
  <c r="G44" i="27" s="1"/>
  <c r="G65" i="27" s="1"/>
  <c r="M29" i="27"/>
  <c r="F46" i="27" s="1"/>
  <c r="L30" i="27"/>
  <c r="E47" i="27" s="1"/>
  <c r="N31" i="27"/>
  <c r="G48" i="27" s="1"/>
  <c r="N26" i="27"/>
  <c r="G43" i="27" s="1"/>
  <c r="L33" i="27"/>
  <c r="G63" i="27"/>
  <c r="H63" i="27"/>
  <c r="E67" i="27"/>
  <c r="H68" i="27"/>
  <c r="G68" i="27"/>
  <c r="E72" i="27"/>
  <c r="H69" i="27"/>
  <c r="G69" i="27"/>
  <c r="E73" i="27"/>
  <c r="H70" i="27"/>
  <c r="G70" i="27"/>
  <c r="E74" i="27"/>
  <c r="G64" i="27"/>
  <c r="H64" i="27"/>
  <c r="H65" i="27"/>
  <c r="O26" i="27"/>
  <c r="H43" i="27" s="1"/>
  <c r="G66" i="27"/>
  <c r="H66" i="27"/>
  <c r="L23" i="27"/>
  <c r="M30" i="27"/>
  <c r="F47" i="27" s="1"/>
  <c r="G59" i="27"/>
  <c r="O23" i="27"/>
  <c r="H59" i="27"/>
  <c r="G61" i="27"/>
  <c r="G62" i="27"/>
  <c r="X3" i="4"/>
  <c r="Y16" i="4" s="1"/>
  <c r="E78" i="27" l="1"/>
  <c r="H74" i="27"/>
  <c r="G74" i="27"/>
  <c r="E77" i="27"/>
  <c r="H73" i="27"/>
  <c r="G73" i="27"/>
  <c r="E71" i="27"/>
  <c r="H67" i="27"/>
  <c r="G67" i="27"/>
  <c r="E76" i="27"/>
  <c r="H72" i="27"/>
  <c r="G72" i="27"/>
  <c r="H77" i="27" l="1"/>
  <c r="G77" i="27"/>
  <c r="E81" i="27"/>
  <c r="H78" i="27"/>
  <c r="G78" i="27"/>
  <c r="E82" i="27"/>
  <c r="H76" i="27"/>
  <c r="G76" i="27"/>
  <c r="E80" i="27"/>
  <c r="G71" i="27"/>
  <c r="H71" i="27"/>
  <c r="E75" i="27"/>
  <c r="E79" i="27" l="1"/>
  <c r="H75" i="27"/>
  <c r="G75" i="27"/>
  <c r="E84" i="27"/>
  <c r="H80" i="27"/>
  <c r="G80" i="27"/>
  <c r="E86" i="27"/>
  <c r="H82" i="27"/>
  <c r="G82" i="27"/>
  <c r="E85" i="27"/>
  <c r="H81" i="27"/>
  <c r="G81" i="27"/>
  <c r="G79" i="27" l="1"/>
  <c r="H79" i="27"/>
  <c r="E83" i="27"/>
  <c r="H85" i="27"/>
  <c r="G85" i="27"/>
  <c r="H86" i="27"/>
  <c r="G86" i="27"/>
  <c r="H84" i="27"/>
  <c r="G84" i="27"/>
  <c r="H83" i="27" l="1"/>
  <c r="J82" i="27" s="1" a="1"/>
  <c r="J82" i="27" s="1"/>
  <c r="H87" i="27" s="1"/>
  <c r="G83" i="27"/>
  <c r="E63" i="26" l="1"/>
  <c r="E67" i="26" s="1"/>
  <c r="F62" i="26"/>
  <c r="F66" i="26" s="1"/>
  <c r="F70" i="26" s="1"/>
  <c r="F74" i="26" s="1"/>
  <c r="F78" i="26" s="1"/>
  <c r="F82" i="26" s="1"/>
  <c r="E62" i="26"/>
  <c r="E66" i="26" s="1"/>
  <c r="F61" i="26"/>
  <c r="F65" i="26" s="1"/>
  <c r="F69" i="26" s="1"/>
  <c r="F73" i="26" s="1"/>
  <c r="F77" i="26" s="1"/>
  <c r="F81" i="26" s="1"/>
  <c r="E61" i="26"/>
  <c r="E65" i="26" s="1"/>
  <c r="F60" i="26"/>
  <c r="F64" i="26" s="1"/>
  <c r="F68" i="26" s="1"/>
  <c r="F72" i="26" s="1"/>
  <c r="F76" i="26" s="1"/>
  <c r="F80" i="26" s="1"/>
  <c r="E60" i="26"/>
  <c r="E64" i="26" s="1"/>
  <c r="F59" i="26"/>
  <c r="F63" i="26" s="1"/>
  <c r="F67" i="26" s="1"/>
  <c r="F71" i="26" s="1"/>
  <c r="F75" i="26" s="1"/>
  <c r="F79" i="26" s="1"/>
  <c r="E59" i="26"/>
  <c r="D33" i="26"/>
  <c r="L33" i="26" s="1"/>
  <c r="B33" i="26"/>
  <c r="G32" i="26"/>
  <c r="F32" i="26"/>
  <c r="E32" i="26"/>
  <c r="D32" i="26"/>
  <c r="B32" i="26"/>
  <c r="G31" i="26"/>
  <c r="F31" i="26"/>
  <c r="E31" i="26"/>
  <c r="D31" i="26"/>
  <c r="B31" i="26"/>
  <c r="G30" i="26"/>
  <c r="F30" i="26"/>
  <c r="E30" i="26"/>
  <c r="D30" i="26"/>
  <c r="B30" i="26"/>
  <c r="G29" i="26"/>
  <c r="F29" i="26"/>
  <c r="N30" i="26" s="1"/>
  <c r="E29" i="26"/>
  <c r="D29" i="26"/>
  <c r="B29" i="26"/>
  <c r="G28" i="26"/>
  <c r="O29" i="26" s="1"/>
  <c r="F28" i="26"/>
  <c r="N28" i="26" s="1"/>
  <c r="E28" i="26"/>
  <c r="M29" i="26" s="1"/>
  <c r="D28" i="26"/>
  <c r="L29" i="26" s="1"/>
  <c r="B28" i="26"/>
  <c r="N27" i="26"/>
  <c r="M27" i="26"/>
  <c r="L27" i="26"/>
  <c r="G27" i="26"/>
  <c r="O27" i="26" s="1"/>
  <c r="F27" i="26"/>
  <c r="E27" i="26"/>
  <c r="D27" i="26"/>
  <c r="B27" i="26"/>
  <c r="G26" i="26"/>
  <c r="F26" i="26"/>
  <c r="E26" i="26"/>
  <c r="D26" i="26"/>
  <c r="B26" i="26"/>
  <c r="G25" i="26"/>
  <c r="F25" i="26"/>
  <c r="E25" i="26"/>
  <c r="D25" i="26"/>
  <c r="L26" i="26" s="1"/>
  <c r="B25" i="26"/>
  <c r="G24" i="26"/>
  <c r="O25" i="26" s="1"/>
  <c r="F24" i="26"/>
  <c r="N25" i="26" s="1"/>
  <c r="E24" i="26"/>
  <c r="D24" i="26"/>
  <c r="B24" i="26"/>
  <c r="G23" i="26"/>
  <c r="O23" i="26" s="1"/>
  <c r="F23" i="26"/>
  <c r="E23" i="26"/>
  <c r="D23" i="26"/>
  <c r="B23" i="26"/>
  <c r="G22" i="26"/>
  <c r="F22" i="26"/>
  <c r="N23" i="26" s="1"/>
  <c r="E22" i="26"/>
  <c r="M23" i="26" s="1"/>
  <c r="D22" i="26"/>
  <c r="B22" i="26"/>
  <c r="M28" i="26" l="1"/>
  <c r="L24" i="26"/>
  <c r="M30" i="26"/>
  <c r="M25" i="26"/>
  <c r="O30" i="26"/>
  <c r="M31" i="26"/>
  <c r="N31" i="26"/>
  <c r="O31" i="26"/>
  <c r="M32" i="26"/>
  <c r="L23" i="26"/>
  <c r="O24" i="26"/>
  <c r="L30" i="26"/>
  <c r="L31" i="26"/>
  <c r="M26" i="26"/>
  <c r="N26" i="26"/>
  <c r="O26" i="26"/>
  <c r="L32" i="26"/>
  <c r="N32" i="26"/>
  <c r="L28" i="26"/>
  <c r="M24" i="26"/>
  <c r="O32" i="26"/>
  <c r="E68" i="26"/>
  <c r="E69" i="26"/>
  <c r="E70" i="26"/>
  <c r="E71" i="26"/>
  <c r="N24" i="26"/>
  <c r="O28" i="26"/>
  <c r="L25" i="26"/>
  <c r="N29" i="26"/>
  <c r="E73" i="26" l="1"/>
  <c r="E74" i="26"/>
  <c r="E72" i="26"/>
  <c r="E75" i="26"/>
  <c r="E79" i="26" l="1"/>
  <c r="E78" i="26"/>
  <c r="E76" i="26"/>
  <c r="E77" i="26"/>
  <c r="E81" i="26" l="1"/>
  <c r="E80" i="26"/>
  <c r="E82" i="26"/>
  <c r="F63" i="25" l="1"/>
  <c r="F67" i="25" s="1"/>
  <c r="F71" i="25" s="1"/>
  <c r="F75" i="25" s="1"/>
  <c r="F79" i="25" s="1"/>
  <c r="E63" i="25"/>
  <c r="E67" i="25" s="1"/>
  <c r="F62" i="25"/>
  <c r="F66" i="25" s="1"/>
  <c r="F70" i="25" s="1"/>
  <c r="F74" i="25" s="1"/>
  <c r="F78" i="25" s="1"/>
  <c r="F82" i="25" s="1"/>
  <c r="E62" i="25"/>
  <c r="E66" i="25" s="1"/>
  <c r="F61" i="25"/>
  <c r="F65" i="25" s="1"/>
  <c r="F69" i="25" s="1"/>
  <c r="F73" i="25" s="1"/>
  <c r="F77" i="25" s="1"/>
  <c r="F81" i="25" s="1"/>
  <c r="E61" i="25"/>
  <c r="E65" i="25" s="1"/>
  <c r="F60" i="25"/>
  <c r="F64" i="25" s="1"/>
  <c r="F68" i="25" s="1"/>
  <c r="F72" i="25" s="1"/>
  <c r="F76" i="25" s="1"/>
  <c r="F80" i="25" s="1"/>
  <c r="E60" i="25"/>
  <c r="H60" i="25" s="1"/>
  <c r="H59" i="25"/>
  <c r="F59" i="25"/>
  <c r="E59" i="25"/>
  <c r="G59" i="25" s="1"/>
  <c r="H58" i="25"/>
  <c r="G58" i="25"/>
  <c r="H57" i="25"/>
  <c r="G57" i="25"/>
  <c r="H56" i="25"/>
  <c r="G56" i="25"/>
  <c r="H55" i="25"/>
  <c r="G55" i="25"/>
  <c r="D33" i="25"/>
  <c r="L33" i="25" s="1"/>
  <c r="B33" i="25"/>
  <c r="G32" i="25"/>
  <c r="O32" i="25" s="1"/>
  <c r="F32" i="25"/>
  <c r="N32" i="25" s="1"/>
  <c r="E32" i="25"/>
  <c r="M32" i="25" s="1"/>
  <c r="D32" i="25"/>
  <c r="L32" i="25" s="1"/>
  <c r="B32" i="25"/>
  <c r="G31" i="25"/>
  <c r="O31" i="25" s="1"/>
  <c r="F31" i="25"/>
  <c r="N31" i="25" s="1"/>
  <c r="E31" i="25"/>
  <c r="M31" i="25" s="1"/>
  <c r="D31" i="25"/>
  <c r="L31" i="25" s="1"/>
  <c r="B31" i="25"/>
  <c r="G30" i="25"/>
  <c r="O30" i="25" s="1"/>
  <c r="F30" i="25"/>
  <c r="E30" i="25"/>
  <c r="D30" i="25"/>
  <c r="L30" i="25" s="1"/>
  <c r="B30" i="25"/>
  <c r="G29" i="25"/>
  <c r="O29" i="25" s="1"/>
  <c r="F29" i="25"/>
  <c r="N30" i="25" s="1"/>
  <c r="E29" i="25"/>
  <c r="M30" i="25" s="1"/>
  <c r="D29" i="25"/>
  <c r="L29" i="25" s="1"/>
  <c r="B29" i="25"/>
  <c r="G28" i="25"/>
  <c r="O28" i="25" s="1"/>
  <c r="F28" i="25"/>
  <c r="N28" i="25" s="1"/>
  <c r="E28" i="25"/>
  <c r="M28" i="25" s="1"/>
  <c r="D28" i="25"/>
  <c r="L28" i="25" s="1"/>
  <c r="B28" i="25"/>
  <c r="N27" i="25"/>
  <c r="M27" i="25"/>
  <c r="L27" i="25"/>
  <c r="G27" i="25"/>
  <c r="O27" i="25" s="1"/>
  <c r="F27" i="25"/>
  <c r="E27" i="25"/>
  <c r="D27" i="25"/>
  <c r="B27" i="25"/>
  <c r="G26" i="25"/>
  <c r="O26" i="25" s="1"/>
  <c r="F26" i="25"/>
  <c r="N26" i="25" s="1"/>
  <c r="E26" i="25"/>
  <c r="M26" i="25" s="1"/>
  <c r="D26" i="25"/>
  <c r="L26" i="25" s="1"/>
  <c r="B26" i="25"/>
  <c r="G25" i="25"/>
  <c r="O25" i="25" s="1"/>
  <c r="F25" i="25"/>
  <c r="N25" i="25" s="1"/>
  <c r="E25" i="25"/>
  <c r="M25" i="25" s="1"/>
  <c r="D25" i="25"/>
  <c r="L25" i="25" s="1"/>
  <c r="B25" i="25"/>
  <c r="G24" i="25"/>
  <c r="O24" i="25" s="1"/>
  <c r="F24" i="25"/>
  <c r="N24" i="25" s="1"/>
  <c r="E24" i="25"/>
  <c r="M24" i="25" s="1"/>
  <c r="D24" i="25"/>
  <c r="L24" i="25" s="1"/>
  <c r="B24" i="25"/>
  <c r="O23" i="25"/>
  <c r="G23" i="25"/>
  <c r="F23" i="25"/>
  <c r="N23" i="25" s="1"/>
  <c r="E23" i="25"/>
  <c r="D23" i="25"/>
  <c r="B23" i="25"/>
  <c r="G22" i="25"/>
  <c r="F22" i="25"/>
  <c r="E22" i="25"/>
  <c r="M23" i="25" s="1"/>
  <c r="D22" i="25"/>
  <c r="L23" i="25" s="1"/>
  <c r="B22" i="25"/>
  <c r="Q16" i="9"/>
  <c r="R43" i="9" s="1"/>
  <c r="C8" i="24"/>
  <c r="R7" i="24" s="1"/>
  <c r="C9" i="24"/>
  <c r="S7" i="24" s="1"/>
  <c r="C10" i="24"/>
  <c r="T7" i="24" s="1"/>
  <c r="C11" i="24"/>
  <c r="Q8" i="24" s="1"/>
  <c r="C12" i="24"/>
  <c r="R8" i="24" s="1"/>
  <c r="C13" i="24"/>
  <c r="S8" i="24" s="1"/>
  <c r="C14" i="24"/>
  <c r="T8" i="24" s="1"/>
  <c r="C15" i="24"/>
  <c r="Q9" i="24" s="1"/>
  <c r="C16" i="24"/>
  <c r="R9" i="24" s="1"/>
  <c r="C17" i="24"/>
  <c r="S9" i="24" s="1"/>
  <c r="C18" i="24"/>
  <c r="T9" i="24" s="1"/>
  <c r="C19" i="24"/>
  <c r="Q10" i="24" s="1"/>
  <c r="C20" i="24"/>
  <c r="R10" i="24" s="1"/>
  <c r="C21" i="24"/>
  <c r="S10" i="24" s="1"/>
  <c r="C22" i="24"/>
  <c r="T10" i="24" s="1"/>
  <c r="AC25" i="24"/>
  <c r="Z22" i="24"/>
  <c r="C8" i="23"/>
  <c r="D8" i="23" s="1"/>
  <c r="C9" i="23"/>
  <c r="D9" i="23" s="1"/>
  <c r="C10" i="23"/>
  <c r="T7" i="23" s="1"/>
  <c r="C11" i="23"/>
  <c r="D11" i="23" s="1"/>
  <c r="C12" i="23"/>
  <c r="R8" i="23" s="1"/>
  <c r="C13" i="23"/>
  <c r="S8" i="23" s="1"/>
  <c r="S35" i="23" s="1"/>
  <c r="C14" i="23"/>
  <c r="D14" i="23" s="1"/>
  <c r="C15" i="23"/>
  <c r="D15" i="23" s="1"/>
  <c r="C16" i="23"/>
  <c r="D16" i="23" s="1"/>
  <c r="C17" i="23"/>
  <c r="D17" i="23" s="1"/>
  <c r="C18" i="23"/>
  <c r="D18" i="23" s="1"/>
  <c r="C19" i="23"/>
  <c r="D19" i="23" s="1"/>
  <c r="C20" i="23"/>
  <c r="D20" i="23" s="1"/>
  <c r="C21" i="23"/>
  <c r="D21" i="23" s="1"/>
  <c r="C22" i="23"/>
  <c r="D22" i="23" s="1"/>
  <c r="C23" i="23"/>
  <c r="Q11" i="23" s="1"/>
  <c r="C24" i="23"/>
  <c r="C24" i="24" s="1"/>
  <c r="R11" i="24" s="1"/>
  <c r="C25" i="23"/>
  <c r="D25" i="23" s="1"/>
  <c r="C26" i="23"/>
  <c r="T11" i="23" s="1"/>
  <c r="C27" i="23"/>
  <c r="C27" i="24" s="1"/>
  <c r="Q12" i="24" s="1"/>
  <c r="C28" i="23"/>
  <c r="R12" i="23" s="1"/>
  <c r="C29" i="23"/>
  <c r="D29" i="23" s="1"/>
  <c r="C30" i="23"/>
  <c r="T12" i="23" s="1"/>
  <c r="C31" i="23"/>
  <c r="Q13" i="23" s="1"/>
  <c r="C32" i="23"/>
  <c r="R13" i="23" s="1"/>
  <c r="C33" i="23"/>
  <c r="S13" i="23" s="1"/>
  <c r="C34" i="23"/>
  <c r="T13" i="23" s="1"/>
  <c r="C35" i="23"/>
  <c r="D35" i="23" s="1"/>
  <c r="C36" i="23"/>
  <c r="R14" i="23" s="1"/>
  <c r="C37" i="23"/>
  <c r="C37" i="24" s="1"/>
  <c r="S14" i="24" s="1"/>
  <c r="C38" i="23"/>
  <c r="T14" i="23" s="1"/>
  <c r="C39" i="23"/>
  <c r="Q15" i="23" s="1"/>
  <c r="Q29" i="23" s="1"/>
  <c r="C40" i="23"/>
  <c r="R15" i="23" s="1"/>
  <c r="C44" i="23" s="1"/>
  <c r="C41" i="23"/>
  <c r="C42" i="23"/>
  <c r="T15" i="23" s="1"/>
  <c r="Q43" i="23" s="1"/>
  <c r="C7" i="23"/>
  <c r="D7" i="23" s="1"/>
  <c r="AC25" i="23"/>
  <c r="Z22" i="23"/>
  <c r="S15" i="23"/>
  <c r="S7" i="23"/>
  <c r="R7" i="23"/>
  <c r="Q7" i="23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C8" i="22"/>
  <c r="R7" i="22" s="1"/>
  <c r="C9" i="22"/>
  <c r="S7" i="22" s="1"/>
  <c r="C10" i="22"/>
  <c r="T7" i="22" s="1"/>
  <c r="T34" i="22" s="1"/>
  <c r="C11" i="22"/>
  <c r="Q8" i="22" s="1"/>
  <c r="C12" i="22"/>
  <c r="R8" i="22" s="1"/>
  <c r="C13" i="22"/>
  <c r="S8" i="22" s="1"/>
  <c r="S21" i="22" s="1"/>
  <c r="C14" i="22"/>
  <c r="T8" i="22" s="1"/>
  <c r="C15" i="22"/>
  <c r="Q9" i="22" s="1"/>
  <c r="C16" i="22"/>
  <c r="R9" i="22" s="1"/>
  <c r="C17" i="22"/>
  <c r="S9" i="22" s="1"/>
  <c r="C18" i="22"/>
  <c r="T9" i="22" s="1"/>
  <c r="C19" i="22"/>
  <c r="Q10" i="22" s="1"/>
  <c r="C20" i="22"/>
  <c r="R10" i="22" s="1"/>
  <c r="R37" i="22" s="1"/>
  <c r="C21" i="22"/>
  <c r="S10" i="22" s="1"/>
  <c r="C22" i="22"/>
  <c r="T10" i="22" s="1"/>
  <c r="C23" i="22"/>
  <c r="Q11" i="22" s="1"/>
  <c r="C24" i="22"/>
  <c r="R11" i="22" s="1"/>
  <c r="C25" i="22"/>
  <c r="S11" i="22" s="1"/>
  <c r="C26" i="22"/>
  <c r="T11" i="22" s="1"/>
  <c r="T24" i="22" s="1"/>
  <c r="C27" i="22"/>
  <c r="Q12" i="22" s="1"/>
  <c r="C28" i="22"/>
  <c r="R12" i="22" s="1"/>
  <c r="R39" i="22" s="1"/>
  <c r="C29" i="22"/>
  <c r="S12" i="22" s="1"/>
  <c r="C30" i="22"/>
  <c r="T12" i="22" s="1"/>
  <c r="C31" i="22"/>
  <c r="Q13" i="22" s="1"/>
  <c r="C32" i="22"/>
  <c r="C33" i="22"/>
  <c r="S13" i="22" s="1"/>
  <c r="C34" i="22"/>
  <c r="T13" i="22" s="1"/>
  <c r="C35" i="22"/>
  <c r="Q14" i="22" s="1"/>
  <c r="C36" i="22"/>
  <c r="C37" i="22"/>
  <c r="S14" i="22" s="1"/>
  <c r="C38" i="22"/>
  <c r="T14" i="22" s="1"/>
  <c r="C39" i="22"/>
  <c r="Q15" i="22" s="1"/>
  <c r="C41" i="22"/>
  <c r="S15" i="22" s="1"/>
  <c r="C42" i="22"/>
  <c r="T15" i="22" s="1"/>
  <c r="Q43" i="22" s="1"/>
  <c r="P40" i="22"/>
  <c r="P39" i="22"/>
  <c r="P38" i="22"/>
  <c r="P35" i="22"/>
  <c r="P34" i="22"/>
  <c r="Z32" i="22"/>
  <c r="Z30" i="22"/>
  <c r="Z29" i="22"/>
  <c r="P27" i="22"/>
  <c r="P41" i="22" s="1"/>
  <c r="P26" i="22"/>
  <c r="AC25" i="22"/>
  <c r="P25" i="22"/>
  <c r="P24" i="22"/>
  <c r="Z28" i="22" s="1"/>
  <c r="P23" i="22"/>
  <c r="P37" i="22" s="1"/>
  <c r="Z22" i="22"/>
  <c r="P22" i="22"/>
  <c r="P36" i="22" s="1"/>
  <c r="P21" i="22"/>
  <c r="Z25" i="22" s="1"/>
  <c r="P20" i="22"/>
  <c r="Z24" i="22" s="1"/>
  <c r="AD15" i="22"/>
  <c r="AD14" i="22"/>
  <c r="Y14" i="22"/>
  <c r="R14" i="22"/>
  <c r="AD13" i="22"/>
  <c r="Y13" i="22"/>
  <c r="R13" i="22"/>
  <c r="AD12" i="22"/>
  <c r="Y12" i="22"/>
  <c r="AD11" i="22"/>
  <c r="Y11" i="22"/>
  <c r="AD10" i="22"/>
  <c r="Y10" i="22"/>
  <c r="AD9" i="22"/>
  <c r="Y9" i="22"/>
  <c r="AD8" i="22"/>
  <c r="Y8" i="22"/>
  <c r="AD7" i="22"/>
  <c r="Y7" i="22"/>
  <c r="D41" i="23" l="1"/>
  <c r="C45" i="23"/>
  <c r="S16" i="23" s="1"/>
  <c r="S14" i="23"/>
  <c r="R11" i="23"/>
  <c r="C44" i="24"/>
  <c r="R16" i="24" s="1"/>
  <c r="R16" i="23"/>
  <c r="S11" i="23"/>
  <c r="T38" i="23" s="1"/>
  <c r="D39" i="23"/>
  <c r="Q8" i="23"/>
  <c r="AE8" i="23" s="1"/>
  <c r="AF8" i="23" s="1"/>
  <c r="AG8" i="23" s="1"/>
  <c r="D34" i="23"/>
  <c r="U9" i="24"/>
  <c r="U15" i="23"/>
  <c r="AE7" i="23"/>
  <c r="AF7" i="23" s="1"/>
  <c r="AG7" i="23" s="1"/>
  <c r="AH7" i="23" s="1"/>
  <c r="U7" i="23"/>
  <c r="C7" i="24"/>
  <c r="Q7" i="24" s="1"/>
  <c r="C41" i="24"/>
  <c r="S15" i="24" s="1"/>
  <c r="U8" i="24"/>
  <c r="C40" i="24"/>
  <c r="R15" i="24" s="1"/>
  <c r="U10" i="24"/>
  <c r="V10" i="24" s="1"/>
  <c r="D40" i="23"/>
  <c r="D38" i="23"/>
  <c r="C39" i="24"/>
  <c r="Q15" i="24" s="1"/>
  <c r="Q29" i="24" s="1"/>
  <c r="D37" i="23"/>
  <c r="C38" i="24"/>
  <c r="T14" i="24" s="1"/>
  <c r="T41" i="24" s="1"/>
  <c r="AE11" i="23"/>
  <c r="U11" i="23"/>
  <c r="U13" i="23"/>
  <c r="C42" i="24"/>
  <c r="T15" i="24" s="1"/>
  <c r="AE13" i="22"/>
  <c r="AF13" i="22" s="1"/>
  <c r="U13" i="22"/>
  <c r="Q40" i="22"/>
  <c r="Q29" i="22"/>
  <c r="Q24" i="22"/>
  <c r="U11" i="22"/>
  <c r="S34" i="22"/>
  <c r="AE12" i="22"/>
  <c r="U12" i="22"/>
  <c r="V12" i="22" s="1"/>
  <c r="U14" i="22"/>
  <c r="V14" i="22" s="1"/>
  <c r="U10" i="22"/>
  <c r="U9" i="22"/>
  <c r="U8" i="22"/>
  <c r="T23" i="24"/>
  <c r="R26" i="23"/>
  <c r="Q12" i="23"/>
  <c r="Q25" i="23" s="1"/>
  <c r="D28" i="23"/>
  <c r="D27" i="23"/>
  <c r="S12" i="23"/>
  <c r="T39" i="23" s="1"/>
  <c r="D24" i="23"/>
  <c r="D23" i="23"/>
  <c r="C35" i="24"/>
  <c r="Q14" i="24" s="1"/>
  <c r="C33" i="24"/>
  <c r="S13" i="24" s="1"/>
  <c r="S27" i="24" s="1"/>
  <c r="C32" i="24"/>
  <c r="R13" i="24" s="1"/>
  <c r="D31" i="23"/>
  <c r="T34" i="23"/>
  <c r="C28" i="24"/>
  <c r="R12" i="24" s="1"/>
  <c r="R39" i="24" s="1"/>
  <c r="D26" i="23"/>
  <c r="Q14" i="23"/>
  <c r="R41" i="23" s="1"/>
  <c r="C34" i="24"/>
  <c r="T13" i="24" s="1"/>
  <c r="Q41" i="24" s="1"/>
  <c r="C31" i="24"/>
  <c r="Q13" i="24" s="1"/>
  <c r="C30" i="24"/>
  <c r="T12" i="24" s="1"/>
  <c r="D13" i="23"/>
  <c r="D33" i="23"/>
  <c r="AF11" i="23"/>
  <c r="AG11" i="23" s="1"/>
  <c r="AH11" i="23" s="1"/>
  <c r="C29" i="24"/>
  <c r="S12" i="24" s="1"/>
  <c r="D12" i="23"/>
  <c r="C26" i="24"/>
  <c r="T11" i="24" s="1"/>
  <c r="D32" i="23"/>
  <c r="D30" i="23"/>
  <c r="C25" i="24"/>
  <c r="S11" i="24" s="1"/>
  <c r="S38" i="24" s="1"/>
  <c r="C36" i="24"/>
  <c r="R14" i="24" s="1"/>
  <c r="S41" i="24" s="1"/>
  <c r="T41" i="23"/>
  <c r="D42" i="23"/>
  <c r="D10" i="23"/>
  <c r="D36" i="23"/>
  <c r="C23" i="24"/>
  <c r="Q11" i="24" s="1"/>
  <c r="R38" i="24" s="1"/>
  <c r="Q43" i="9"/>
  <c r="Q29" i="9"/>
  <c r="Y3" i="9"/>
  <c r="Z16" i="9" s="1"/>
  <c r="S23" i="24"/>
  <c r="Z26" i="22"/>
  <c r="Z27" i="22"/>
  <c r="R24" i="22"/>
  <c r="S25" i="22"/>
  <c r="T36" i="22"/>
  <c r="E69" i="25"/>
  <c r="H65" i="25"/>
  <c r="G65" i="25"/>
  <c r="H66" i="25"/>
  <c r="E70" i="25"/>
  <c r="G66" i="25"/>
  <c r="G67" i="25"/>
  <c r="E71" i="25"/>
  <c r="H67" i="25"/>
  <c r="G60" i="25"/>
  <c r="H61" i="25"/>
  <c r="G62" i="25"/>
  <c r="H62" i="25"/>
  <c r="N29" i="25"/>
  <c r="E64" i="25"/>
  <c r="G61" i="25"/>
  <c r="H63" i="25"/>
  <c r="M29" i="25"/>
  <c r="G63" i="25"/>
  <c r="AE12" i="24"/>
  <c r="Q36" i="24"/>
  <c r="AE9" i="24"/>
  <c r="AF9" i="24" s="1"/>
  <c r="AG9" i="24" s="1"/>
  <c r="AH9" i="24" s="1"/>
  <c r="Q37" i="24"/>
  <c r="Q23" i="24"/>
  <c r="Q24" i="24"/>
  <c r="AE10" i="24"/>
  <c r="AF10" i="24" s="1"/>
  <c r="AG10" i="24" s="1"/>
  <c r="AH10" i="24" s="1"/>
  <c r="R37" i="24"/>
  <c r="R23" i="24"/>
  <c r="R36" i="24"/>
  <c r="R22" i="24"/>
  <c r="S36" i="24"/>
  <c r="S22" i="24"/>
  <c r="T36" i="24"/>
  <c r="T22" i="24"/>
  <c r="R34" i="24"/>
  <c r="S34" i="24"/>
  <c r="T34" i="24"/>
  <c r="AE7" i="24"/>
  <c r="AF7" i="24" s="1"/>
  <c r="AG7" i="24" s="1"/>
  <c r="AH7" i="24" s="1"/>
  <c r="S37" i="24"/>
  <c r="S35" i="24"/>
  <c r="S21" i="24"/>
  <c r="T37" i="24"/>
  <c r="R24" i="24"/>
  <c r="Q22" i="24"/>
  <c r="AE8" i="24"/>
  <c r="AF8" i="24" s="1"/>
  <c r="AG8" i="24" s="1"/>
  <c r="AH8" i="24" s="1"/>
  <c r="Q35" i="24"/>
  <c r="R35" i="24"/>
  <c r="T35" i="24"/>
  <c r="R21" i="24"/>
  <c r="T21" i="24"/>
  <c r="R42" i="23"/>
  <c r="R28" i="23"/>
  <c r="Q42" i="23"/>
  <c r="T40" i="23"/>
  <c r="T26" i="23"/>
  <c r="T42" i="23"/>
  <c r="T28" i="23"/>
  <c r="Q39" i="23"/>
  <c r="S25" i="23"/>
  <c r="R39" i="23"/>
  <c r="S39" i="23"/>
  <c r="R40" i="23"/>
  <c r="S41" i="23"/>
  <c r="Q9" i="23"/>
  <c r="S38" i="23"/>
  <c r="R25" i="23"/>
  <c r="T25" i="23"/>
  <c r="Q40" i="23"/>
  <c r="Q35" i="23"/>
  <c r="S28" i="23"/>
  <c r="T8" i="23"/>
  <c r="T35" i="23" s="1"/>
  <c r="R9" i="23"/>
  <c r="S42" i="23"/>
  <c r="S9" i="23"/>
  <c r="T9" i="23"/>
  <c r="Q10" i="23"/>
  <c r="AE10" i="23" s="1"/>
  <c r="R10" i="23"/>
  <c r="S10" i="23"/>
  <c r="T10" i="23"/>
  <c r="Q38" i="23" s="1"/>
  <c r="R24" i="23"/>
  <c r="R38" i="23"/>
  <c r="S40" i="23"/>
  <c r="S34" i="23"/>
  <c r="R27" i="23"/>
  <c r="R34" i="23"/>
  <c r="R21" i="23"/>
  <c r="S37" i="23"/>
  <c r="S21" i="23"/>
  <c r="S27" i="23"/>
  <c r="T27" i="23"/>
  <c r="AE13" i="23"/>
  <c r="AF13" i="23" s="1"/>
  <c r="AG13" i="23" s="1"/>
  <c r="AH13" i="23" s="1"/>
  <c r="T41" i="22"/>
  <c r="T28" i="22"/>
  <c r="T40" i="22"/>
  <c r="T26" i="22"/>
  <c r="T37" i="22"/>
  <c r="T23" i="22"/>
  <c r="Q23" i="22"/>
  <c r="Q37" i="22"/>
  <c r="AE10" i="22"/>
  <c r="AF10" i="22" s="1"/>
  <c r="AG10" i="22" s="1"/>
  <c r="AH10" i="22" s="1"/>
  <c r="AG13" i="22"/>
  <c r="AH13" i="22" s="1"/>
  <c r="T35" i="22"/>
  <c r="T21" i="22"/>
  <c r="AE15" i="22"/>
  <c r="Q28" i="22"/>
  <c r="AE14" i="22"/>
  <c r="AF14" i="22" s="1"/>
  <c r="AG14" i="22" s="1"/>
  <c r="AH14" i="22" s="1"/>
  <c r="Q27" i="22"/>
  <c r="S26" i="22"/>
  <c r="S40" i="22"/>
  <c r="S37" i="22"/>
  <c r="S23" i="22"/>
  <c r="R36" i="22"/>
  <c r="R23" i="22"/>
  <c r="Q36" i="22"/>
  <c r="S36" i="22"/>
  <c r="R41" i="22"/>
  <c r="S41" i="22"/>
  <c r="S28" i="22"/>
  <c r="T42" i="22"/>
  <c r="S24" i="22"/>
  <c r="R25" i="22"/>
  <c r="R27" i="22"/>
  <c r="AF12" i="22"/>
  <c r="AG12" i="22" s="1"/>
  <c r="AH12" i="22" s="1"/>
  <c r="S39" i="22"/>
  <c r="T25" i="22"/>
  <c r="T39" i="22"/>
  <c r="Q35" i="22"/>
  <c r="Q26" i="22"/>
  <c r="R40" i="22"/>
  <c r="R21" i="22"/>
  <c r="R26" i="22"/>
  <c r="S35" i="22"/>
  <c r="S27" i="22"/>
  <c r="Q22" i="22"/>
  <c r="R22" i="22"/>
  <c r="S22" i="22"/>
  <c r="Q38" i="22"/>
  <c r="T22" i="22"/>
  <c r="R38" i="22"/>
  <c r="S38" i="22"/>
  <c r="Q39" i="22"/>
  <c r="AE11" i="22"/>
  <c r="AF11" i="22" s="1"/>
  <c r="AG11" i="22" s="1"/>
  <c r="AH11" i="22" s="1"/>
  <c r="T27" i="22"/>
  <c r="T38" i="22"/>
  <c r="AE8" i="22"/>
  <c r="AF8" i="22" s="1"/>
  <c r="AG8" i="22" s="1"/>
  <c r="AH8" i="22" s="1"/>
  <c r="Z31" i="22"/>
  <c r="AE9" i="22"/>
  <c r="AF9" i="22" s="1"/>
  <c r="AG9" i="22" s="1"/>
  <c r="AH9" i="22" s="1"/>
  <c r="Q41" i="22"/>
  <c r="Q25" i="22"/>
  <c r="R35" i="22"/>
  <c r="Q42" i="22"/>
  <c r="T15" i="21"/>
  <c r="S15" i="21"/>
  <c r="R42" i="24" l="1"/>
  <c r="R37" i="23"/>
  <c r="Q21" i="23"/>
  <c r="S24" i="23"/>
  <c r="AA24" i="23" a="1"/>
  <c r="AA24" i="23" s="1"/>
  <c r="S43" i="23"/>
  <c r="S29" i="23"/>
  <c r="U8" i="23"/>
  <c r="V8" i="23" s="1"/>
  <c r="S42" i="24"/>
  <c r="R35" i="23"/>
  <c r="S26" i="24"/>
  <c r="U15" i="24"/>
  <c r="Q43" i="24"/>
  <c r="Q28" i="24"/>
  <c r="S28" i="24"/>
  <c r="Q38" i="24"/>
  <c r="AF10" i="23"/>
  <c r="AG10" i="23" s="1"/>
  <c r="AH10" i="23" s="1"/>
  <c r="S40" i="24"/>
  <c r="U7" i="24"/>
  <c r="AA24" i="24" a="1"/>
  <c r="AA24" i="24" s="1"/>
  <c r="R29" i="23"/>
  <c r="R43" i="23"/>
  <c r="Y3" i="23"/>
  <c r="Z9" i="23" s="1"/>
  <c r="V8" i="24"/>
  <c r="Q26" i="23"/>
  <c r="R29" i="24"/>
  <c r="R43" i="24"/>
  <c r="Q21" i="24"/>
  <c r="Q42" i="24"/>
  <c r="AE14" i="24"/>
  <c r="U14" i="24"/>
  <c r="V15" i="24" s="1"/>
  <c r="U12" i="24"/>
  <c r="R25" i="24"/>
  <c r="AE11" i="24"/>
  <c r="AF11" i="24" s="1"/>
  <c r="AG11" i="24" s="1"/>
  <c r="AH11" i="24" s="1"/>
  <c r="U11" i="24"/>
  <c r="V11" i="24" s="1"/>
  <c r="Q25" i="24"/>
  <c r="AE12" i="23"/>
  <c r="AF12" i="23" s="1"/>
  <c r="AG12" i="23" s="1"/>
  <c r="AH12" i="23" s="1"/>
  <c r="U12" i="23"/>
  <c r="V12" i="23" s="1"/>
  <c r="Q26" i="24"/>
  <c r="U13" i="24"/>
  <c r="Q41" i="23"/>
  <c r="U14" i="23"/>
  <c r="V14" i="23" s="1"/>
  <c r="T37" i="23"/>
  <c r="T24" i="23"/>
  <c r="Q24" i="23"/>
  <c r="U10" i="23"/>
  <c r="T28" i="24"/>
  <c r="Q27" i="23"/>
  <c r="Z12" i="24"/>
  <c r="T42" i="24"/>
  <c r="U9" i="23"/>
  <c r="V9" i="23" s="1"/>
  <c r="V9" i="24"/>
  <c r="V9" i="22"/>
  <c r="V13" i="22"/>
  <c r="V10" i="22"/>
  <c r="V11" i="22"/>
  <c r="S39" i="24"/>
  <c r="T38" i="24"/>
  <c r="T39" i="24"/>
  <c r="R40" i="24"/>
  <c r="S25" i="24"/>
  <c r="R26" i="24"/>
  <c r="AE13" i="24"/>
  <c r="AF13" i="24" s="1"/>
  <c r="AG13" i="24" s="1"/>
  <c r="AH13" i="24" s="1"/>
  <c r="R28" i="24"/>
  <c r="Q27" i="24"/>
  <c r="R41" i="24"/>
  <c r="Q28" i="23"/>
  <c r="Q39" i="24"/>
  <c r="R27" i="24"/>
  <c r="T24" i="24"/>
  <c r="Q40" i="24"/>
  <c r="AF12" i="24"/>
  <c r="AG12" i="24" s="1"/>
  <c r="AH12" i="24" s="1"/>
  <c r="S24" i="24"/>
  <c r="AE14" i="23"/>
  <c r="T25" i="24"/>
  <c r="S26" i="23"/>
  <c r="AH8" i="23"/>
  <c r="Q43" i="21"/>
  <c r="T42" i="21"/>
  <c r="H64" i="25"/>
  <c r="E68" i="25"/>
  <c r="G64" i="25"/>
  <c r="H71" i="25"/>
  <c r="E75" i="25"/>
  <c r="G71" i="25"/>
  <c r="H70" i="25"/>
  <c r="G70" i="25"/>
  <c r="E74" i="25"/>
  <c r="H69" i="25"/>
  <c r="E73" i="25"/>
  <c r="G69" i="25"/>
  <c r="T27" i="24"/>
  <c r="T26" i="24"/>
  <c r="T40" i="24"/>
  <c r="T36" i="23"/>
  <c r="T22" i="23"/>
  <c r="S36" i="23"/>
  <c r="S22" i="23"/>
  <c r="R36" i="23"/>
  <c r="R22" i="23"/>
  <c r="T21" i="23"/>
  <c r="AE9" i="23"/>
  <c r="AF9" i="23" s="1"/>
  <c r="AG9" i="23" s="1"/>
  <c r="AH9" i="23" s="1"/>
  <c r="Q22" i="23"/>
  <c r="Q36" i="23"/>
  <c r="T23" i="23"/>
  <c r="S23" i="23"/>
  <c r="R23" i="23"/>
  <c r="Q23" i="23"/>
  <c r="Q37" i="23"/>
  <c r="S152" i="19"/>
  <c r="S151" i="19"/>
  <c r="S150" i="19"/>
  <c r="S149" i="19"/>
  <c r="S148" i="19"/>
  <c r="S147" i="19"/>
  <c r="S146" i="19"/>
  <c r="Z11" i="23" l="1"/>
  <c r="Z8" i="23"/>
  <c r="AA9" i="23" s="1"/>
  <c r="V13" i="24"/>
  <c r="Z14" i="23"/>
  <c r="Z15" i="23"/>
  <c r="Z16" i="23"/>
  <c r="Z12" i="23"/>
  <c r="V15" i="23"/>
  <c r="Z3" i="23"/>
  <c r="Z6" i="23" s="1"/>
  <c r="Z7" i="23"/>
  <c r="Z10" i="23"/>
  <c r="AA10" i="23" s="1"/>
  <c r="Z13" i="23"/>
  <c r="V10" i="23"/>
  <c r="Z7" i="24"/>
  <c r="Z15" i="24"/>
  <c r="Z11" i="24"/>
  <c r="AA12" i="24" s="1"/>
  <c r="V11" i="23"/>
  <c r="Z13" i="24"/>
  <c r="AA13" i="24" s="1"/>
  <c r="V12" i="24"/>
  <c r="Z10" i="24"/>
  <c r="Z8" i="24"/>
  <c r="V14" i="24"/>
  <c r="Z9" i="24"/>
  <c r="Z3" i="24"/>
  <c r="Z6" i="24" s="1"/>
  <c r="Z14" i="24"/>
  <c r="V13" i="23"/>
  <c r="E77" i="25"/>
  <c r="H73" i="25"/>
  <c r="G73" i="25"/>
  <c r="E78" i="25"/>
  <c r="H74" i="25"/>
  <c r="G74" i="25"/>
  <c r="G75" i="25"/>
  <c r="E79" i="25"/>
  <c r="H75" i="25"/>
  <c r="G68" i="25"/>
  <c r="E72" i="25"/>
  <c r="H68" i="25"/>
  <c r="I145" i="16"/>
  <c r="I144" i="16"/>
  <c r="I143" i="16"/>
  <c r="I142" i="16"/>
  <c r="I141" i="16"/>
  <c r="I140" i="16"/>
  <c r="I139" i="16"/>
  <c r="I138" i="16"/>
  <c r="O142" i="16"/>
  <c r="H42" i="16"/>
  <c r="G42" i="16"/>
  <c r="F42" i="16"/>
  <c r="P50" i="16" s="1"/>
  <c r="D42" i="16"/>
  <c r="T15" i="13"/>
  <c r="AA12" i="23" l="1"/>
  <c r="Q43" i="13"/>
  <c r="AA8" i="23"/>
  <c r="AA15" i="23"/>
  <c r="AA13" i="23"/>
  <c r="AA11" i="23"/>
  <c r="AA14" i="23"/>
  <c r="AA16" i="23"/>
  <c r="AA14" i="24"/>
  <c r="AA9" i="24"/>
  <c r="AA8" i="24"/>
  <c r="AA10" i="24"/>
  <c r="AA11" i="24"/>
  <c r="AA15" i="24"/>
  <c r="H72" i="25"/>
  <c r="G72" i="25"/>
  <c r="E76" i="25"/>
  <c r="G79" i="25"/>
  <c r="H79" i="25"/>
  <c r="G78" i="25"/>
  <c r="H78" i="25"/>
  <c r="E82" i="25"/>
  <c r="E81" i="25"/>
  <c r="H77" i="25"/>
  <c r="G77" i="25"/>
  <c r="C42" i="16"/>
  <c r="C37" i="31" l="1"/>
  <c r="B37" i="31"/>
  <c r="D37" i="31"/>
  <c r="F37" i="31"/>
  <c r="E37" i="31"/>
  <c r="H82" i="25"/>
  <c r="G82" i="25"/>
  <c r="H81" i="25"/>
  <c r="G81" i="25"/>
  <c r="E80" i="25"/>
  <c r="H76" i="25"/>
  <c r="G76" i="25"/>
  <c r="Y15" i="16"/>
  <c r="V43" i="16" s="1"/>
  <c r="K51" i="4"/>
  <c r="T15" i="12"/>
  <c r="Q43" i="12" l="1"/>
  <c r="G80" i="25"/>
  <c r="J82" i="25" s="1" a="1"/>
  <c r="J82" i="25" s="1"/>
  <c r="H83" i="25" s="1"/>
  <c r="H80" i="25"/>
  <c r="J37" i="19"/>
  <c r="D73" i="19"/>
  <c r="F42" i="11"/>
  <c r="E42" i="11"/>
  <c r="D42" i="11"/>
  <c r="T15" i="4"/>
  <c r="T15" i="10"/>
  <c r="Q43" i="10" l="1"/>
  <c r="U15" i="10"/>
  <c r="V15" i="10" s="1"/>
  <c r="Q44" i="4"/>
  <c r="C42" i="11"/>
  <c r="W15" i="11" s="1"/>
  <c r="T43" i="11" s="1"/>
  <c r="S15" i="13"/>
  <c r="S15" i="12"/>
  <c r="S29" i="12" s="1"/>
  <c r="H25" i="3" s="1"/>
  <c r="C4" i="12" s="1"/>
  <c r="T42" i="12" l="1"/>
  <c r="T42" i="13"/>
  <c r="S65" i="11"/>
  <c r="S66" i="11" s="1"/>
  <c r="R66" i="11" s="1"/>
  <c r="R70" i="11" s="1"/>
  <c r="S64" i="11"/>
  <c r="S63" i="11"/>
  <c r="S62" i="11"/>
  <c r="S61" i="11"/>
  <c r="S60" i="11"/>
  <c r="S59" i="11"/>
  <c r="S58" i="11"/>
  <c r="S83" i="11"/>
  <c r="R83" i="11"/>
  <c r="Q83" i="11"/>
  <c r="P83" i="11"/>
  <c r="T83" i="11" s="1"/>
  <c r="S85" i="11" s="1"/>
  <c r="H41" i="16"/>
  <c r="G41" i="16"/>
  <c r="F41" i="16"/>
  <c r="E41" i="16"/>
  <c r="D41" i="16"/>
  <c r="F41" i="11"/>
  <c r="AG15" i="11"/>
  <c r="E41" i="11"/>
  <c r="D41" i="11"/>
  <c r="S15" i="4"/>
  <c r="T43" i="4" s="1"/>
  <c r="AE15" i="9"/>
  <c r="AF15" i="9" s="1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6" i="19"/>
  <c r="J32" i="19"/>
  <c r="J33" i="19"/>
  <c r="J34" i="19"/>
  <c r="J35" i="19"/>
  <c r="J31" i="19"/>
  <c r="H37" i="19"/>
  <c r="H36" i="19"/>
  <c r="H35" i="19"/>
  <c r="H33" i="19"/>
  <c r="H32" i="19"/>
  <c r="H40" i="16"/>
  <c r="G40" i="16"/>
  <c r="F40" i="16"/>
  <c r="E40" i="16"/>
  <c r="R15" i="12"/>
  <c r="R29" i="12" s="1"/>
  <c r="I46" i="19" l="1"/>
  <c r="S42" i="12"/>
  <c r="AG15" i="9"/>
  <c r="S42" i="9"/>
  <c r="T42" i="9"/>
  <c r="C41" i="11"/>
  <c r="V15" i="11" s="1"/>
  <c r="W42" i="11" s="1"/>
  <c r="C41" i="16"/>
  <c r="P85" i="11"/>
  <c r="Q85" i="11"/>
  <c r="R85" i="11"/>
  <c r="S15" i="10"/>
  <c r="X15" i="16" l="1"/>
  <c r="B36" i="31"/>
  <c r="F36" i="31"/>
  <c r="D36" i="31"/>
  <c r="C36" i="31"/>
  <c r="E36" i="31"/>
  <c r="T42" i="10"/>
  <c r="R15" i="10"/>
  <c r="S42" i="10" s="1"/>
  <c r="C40" i="14"/>
  <c r="C38" i="14"/>
  <c r="C37" i="14"/>
  <c r="AB25" i="21"/>
  <c r="Y22" i="21"/>
  <c r="Z24" i="21" s="1" a="1"/>
  <c r="Z24" i="21" s="1"/>
  <c r="R15" i="21"/>
  <c r="S42" i="21" s="1"/>
  <c r="Q15" i="21"/>
  <c r="Q29" i="21" s="1"/>
  <c r="T14" i="21"/>
  <c r="T28" i="21" s="1"/>
  <c r="S14" i="21"/>
  <c r="S28" i="21" s="1"/>
  <c r="R14" i="21"/>
  <c r="Q14" i="21"/>
  <c r="T13" i="21"/>
  <c r="S13" i="21"/>
  <c r="R13" i="21"/>
  <c r="Q13" i="21"/>
  <c r="AD13" i="21" s="1"/>
  <c r="AE13" i="21" s="1"/>
  <c r="AF13" i="21" s="1"/>
  <c r="T12" i="21"/>
  <c r="S12" i="21"/>
  <c r="S39" i="21" s="1"/>
  <c r="R12" i="21"/>
  <c r="Q12" i="21"/>
  <c r="AD12" i="21" s="1"/>
  <c r="AE12" i="21" s="1"/>
  <c r="AF12" i="21" s="1"/>
  <c r="AG12" i="21" s="1"/>
  <c r="T11" i="21"/>
  <c r="T38" i="21" s="1"/>
  <c r="S11" i="21"/>
  <c r="S38" i="21" s="1"/>
  <c r="R11" i="21"/>
  <c r="R38" i="21" s="1"/>
  <c r="Q11" i="21"/>
  <c r="AD11" i="21" s="1"/>
  <c r="AE11" i="21" s="1"/>
  <c r="AF11" i="21" s="1"/>
  <c r="T10" i="21"/>
  <c r="Q38" i="21" s="1"/>
  <c r="S10" i="21"/>
  <c r="R10" i="21"/>
  <c r="Q10" i="21"/>
  <c r="AD10" i="21" s="1"/>
  <c r="T9" i="21"/>
  <c r="S9" i="21"/>
  <c r="R9" i="21"/>
  <c r="Q9" i="21"/>
  <c r="T8" i="21"/>
  <c r="S8" i="21"/>
  <c r="R8" i="21"/>
  <c r="Q8" i="21"/>
  <c r="AD8" i="21" s="1"/>
  <c r="AE8" i="21" s="1"/>
  <c r="T7" i="21"/>
  <c r="S7" i="21"/>
  <c r="R7" i="21"/>
  <c r="Q7" i="21"/>
  <c r="AD7" i="21" s="1"/>
  <c r="AE7" i="21" s="1"/>
  <c r="AF7" i="21" s="1"/>
  <c r="AG7" i="21" s="1"/>
  <c r="Y15" i="21"/>
  <c r="Z16" i="21" s="1"/>
  <c r="R15" i="13"/>
  <c r="Q15" i="13"/>
  <c r="Q29" i="13" s="1"/>
  <c r="R28" i="14"/>
  <c r="R14" i="14"/>
  <c r="C36" i="14" s="1"/>
  <c r="V15" i="14"/>
  <c r="Y42" i="16" l="1"/>
  <c r="X29" i="16"/>
  <c r="H27" i="3" s="1"/>
  <c r="S42" i="13"/>
  <c r="R29" i="13"/>
  <c r="U15" i="13"/>
  <c r="V15" i="13" s="1"/>
  <c r="S35" i="21"/>
  <c r="R34" i="21"/>
  <c r="Q23" i="21"/>
  <c r="Q25" i="21"/>
  <c r="S34" i="21"/>
  <c r="T34" i="21"/>
  <c r="AF8" i="21"/>
  <c r="T35" i="21"/>
  <c r="Q39" i="21"/>
  <c r="T39" i="21"/>
  <c r="AG13" i="21"/>
  <c r="R37" i="21"/>
  <c r="AG11" i="21"/>
  <c r="R40" i="21"/>
  <c r="Q41" i="21"/>
  <c r="R41" i="21"/>
  <c r="S41" i="21"/>
  <c r="T27" i="21"/>
  <c r="Q42" i="21"/>
  <c r="R28" i="21"/>
  <c r="AG8" i="21"/>
  <c r="S21" i="21"/>
  <c r="R21" i="21"/>
  <c r="T21" i="21"/>
  <c r="AE10" i="21"/>
  <c r="AF10" i="21" s="1"/>
  <c r="AG10" i="21" s="1"/>
  <c r="R35" i="21"/>
  <c r="S37" i="21"/>
  <c r="R42" i="21"/>
  <c r="T22" i="21"/>
  <c r="R39" i="21"/>
  <c r="S40" i="21"/>
  <c r="R36" i="21"/>
  <c r="T40" i="21"/>
  <c r="S36" i="21"/>
  <c r="Q35" i="21"/>
  <c r="Y10" i="21"/>
  <c r="S22" i="21"/>
  <c r="R23" i="21"/>
  <c r="T23" i="21"/>
  <c r="T36" i="21"/>
  <c r="Q24" i="21"/>
  <c r="Q37" i="21"/>
  <c r="Y3" i="21"/>
  <c r="Y6" i="21" s="1"/>
  <c r="R24" i="21"/>
  <c r="Y13" i="21"/>
  <c r="S24" i="21"/>
  <c r="Q36" i="21"/>
  <c r="S23" i="21"/>
  <c r="T24" i="21"/>
  <c r="T37" i="21"/>
  <c r="Q26" i="21"/>
  <c r="Y14" i="21"/>
  <c r="Q40" i="21"/>
  <c r="S26" i="21"/>
  <c r="AD14" i="21"/>
  <c r="T26" i="21"/>
  <c r="R27" i="21"/>
  <c r="S27" i="21"/>
  <c r="Q21" i="21"/>
  <c r="Q28" i="21"/>
  <c r="T41" i="21"/>
  <c r="Q22" i="21"/>
  <c r="Y12" i="21"/>
  <c r="R22" i="21"/>
  <c r="Y9" i="21"/>
  <c r="AD9" i="21"/>
  <c r="AE9" i="21" s="1"/>
  <c r="AF9" i="21" s="1"/>
  <c r="AG9" i="21" s="1"/>
  <c r="Y7" i="21"/>
  <c r="R25" i="21"/>
  <c r="S25" i="21"/>
  <c r="T25" i="21"/>
  <c r="R26" i="21"/>
  <c r="Y11" i="21"/>
  <c r="Q27" i="21"/>
  <c r="Y8" i="21"/>
  <c r="Z11" i="21" l="1"/>
  <c r="Z14" i="21"/>
  <c r="Z12" i="21"/>
  <c r="Z9" i="21"/>
  <c r="Z15" i="21"/>
  <c r="Z13" i="21"/>
  <c r="Z8" i="21"/>
  <c r="Z10" i="21"/>
  <c r="Z15" i="13" l="1"/>
  <c r="AA16" i="13" s="1"/>
  <c r="J26" i="3" s="1"/>
  <c r="R42" i="13"/>
  <c r="F40" i="11" l="1"/>
  <c r="E40" i="11"/>
  <c r="R42" i="9"/>
  <c r="R28" i="9"/>
  <c r="A1" i="18" l="1"/>
  <c r="H39" i="16"/>
  <c r="R50" i="16" s="1"/>
  <c r="G39" i="16"/>
  <c r="F39" i="16"/>
  <c r="E39" i="16"/>
  <c r="D39" i="16"/>
  <c r="Q15" i="12"/>
  <c r="J87" i="12"/>
  <c r="Q15" i="10"/>
  <c r="R42" i="10" s="1"/>
  <c r="Y15" i="12"/>
  <c r="AG8" i="11"/>
  <c r="AG9" i="11"/>
  <c r="AG10" i="11"/>
  <c r="AG11" i="11"/>
  <c r="AG12" i="11"/>
  <c r="AG13" i="11"/>
  <c r="AG14" i="11"/>
  <c r="AG7" i="11"/>
  <c r="E39" i="11"/>
  <c r="D39" i="11"/>
  <c r="AD8" i="10"/>
  <c r="AD9" i="10"/>
  <c r="AD10" i="10"/>
  <c r="AD11" i="10"/>
  <c r="AD12" i="10"/>
  <c r="AD13" i="10"/>
  <c r="AD14" i="10"/>
  <c r="AD15" i="10"/>
  <c r="AD7" i="10"/>
  <c r="AC8" i="4"/>
  <c r="AC9" i="4"/>
  <c r="AC10" i="4"/>
  <c r="AC11" i="4"/>
  <c r="AC12" i="4"/>
  <c r="AC13" i="4"/>
  <c r="AC14" i="4"/>
  <c r="AC15" i="4"/>
  <c r="AC7" i="4"/>
  <c r="AD8" i="9"/>
  <c r="AD9" i="9"/>
  <c r="AD10" i="9"/>
  <c r="AD11" i="9"/>
  <c r="AD12" i="9"/>
  <c r="AD13" i="9"/>
  <c r="AD14" i="9"/>
  <c r="AD15" i="9"/>
  <c r="AD7" i="9"/>
  <c r="Y33" i="4"/>
  <c r="Q15" i="4"/>
  <c r="Q30" i="4" s="1"/>
  <c r="H4" i="19"/>
  <c r="J4" i="19" s="1"/>
  <c r="H5" i="19"/>
  <c r="J5" i="19" s="1"/>
  <c r="H6" i="19"/>
  <c r="J6" i="19" s="1"/>
  <c r="H7" i="19"/>
  <c r="J7" i="19" s="1"/>
  <c r="H8" i="19"/>
  <c r="J8" i="19" s="1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" i="19"/>
  <c r="J3" i="19" s="1"/>
  <c r="Z15" i="9"/>
  <c r="AA16" i="9" s="1"/>
  <c r="J24" i="3" s="1"/>
  <c r="Y15" i="9"/>
  <c r="Q29" i="12" l="1"/>
  <c r="U15" i="12"/>
  <c r="C39" i="16"/>
  <c r="Z15" i="12"/>
  <c r="AA16" i="12" s="1"/>
  <c r="J25" i="3" s="1"/>
  <c r="R42" i="12"/>
  <c r="AD15" i="4"/>
  <c r="E61" i="12"/>
  <c r="E62" i="12"/>
  <c r="E63" i="12"/>
  <c r="E64" i="12"/>
  <c r="E65" i="12"/>
  <c r="E66" i="12"/>
  <c r="E67" i="12"/>
  <c r="E60" i="12"/>
  <c r="T14" i="12"/>
  <c r="V15" i="16" l="1"/>
  <c r="V29" i="16" s="1"/>
  <c r="B34" i="31"/>
  <c r="C34" i="31"/>
  <c r="D34" i="31"/>
  <c r="F34" i="31"/>
  <c r="E34" i="31"/>
  <c r="T28" i="12"/>
  <c r="E70" i="12"/>
  <c r="E72" i="12" s="1"/>
  <c r="Q42" i="12"/>
  <c r="T14" i="13"/>
  <c r="T14" i="10"/>
  <c r="T28" i="10" s="1"/>
  <c r="T28" i="9"/>
  <c r="T14" i="4"/>
  <c r="Y52" i="4"/>
  <c r="AA52" i="4" s="1"/>
  <c r="F38" i="11"/>
  <c r="F37" i="11"/>
  <c r="Q42" i="13" l="1"/>
  <c r="T28" i="13"/>
  <c r="Q43" i="4"/>
  <c r="T29" i="4"/>
  <c r="Q42" i="9"/>
  <c r="F38" i="16"/>
  <c r="F37" i="16"/>
  <c r="S14" i="13"/>
  <c r="R14" i="13"/>
  <c r="R28" i="13" s="1"/>
  <c r="S14" i="12"/>
  <c r="S28" i="9"/>
  <c r="S14" i="10"/>
  <c r="S14" i="4"/>
  <c r="T41" i="13" l="1"/>
  <c r="S28" i="13"/>
  <c r="S28" i="12"/>
  <c r="T41" i="12"/>
  <c r="T41" i="10"/>
  <c r="S28" i="10"/>
  <c r="T42" i="4"/>
  <c r="S29" i="4"/>
  <c r="T41" i="9"/>
  <c r="S41" i="9"/>
  <c r="R14" i="12"/>
  <c r="L51" i="12"/>
  <c r="L52" i="12" s="1"/>
  <c r="R14" i="10"/>
  <c r="R28" i="10" s="1"/>
  <c r="R14" i="4"/>
  <c r="S41" i="12" l="1"/>
  <c r="R28" i="12"/>
  <c r="S42" i="4"/>
  <c r="Q14" i="14"/>
  <c r="Q15" i="14" s="1"/>
  <c r="Q14" i="4"/>
  <c r="Q29" i="4" l="1"/>
  <c r="C39" i="14"/>
  <c r="Q28" i="14"/>
  <c r="R42" i="4"/>
  <c r="Q14" i="13"/>
  <c r="Q14" i="10"/>
  <c r="Q14" i="9"/>
  <c r="T41" i="17"/>
  <c r="S41" i="17"/>
  <c r="Q40" i="17"/>
  <c r="T26" i="17"/>
  <c r="Z25" i="17"/>
  <c r="Q25" i="17"/>
  <c r="W22" i="17"/>
  <c r="T21" i="17"/>
  <c r="V14" i="17"/>
  <c r="Q14" i="17"/>
  <c r="Q27" i="17" s="1"/>
  <c r="Q41" i="17"/>
  <c r="V13" i="17"/>
  <c r="T13" i="17"/>
  <c r="S13" i="17"/>
  <c r="R13" i="17"/>
  <c r="Q13" i="17"/>
  <c r="AB13" i="17"/>
  <c r="AC13" i="17"/>
  <c r="AD13" i="17"/>
  <c r="AE13" i="17" s="1"/>
  <c r="V12" i="17"/>
  <c r="T12" i="17"/>
  <c r="T39" i="17" s="1"/>
  <c r="S12" i="17"/>
  <c r="S26" i="17" s="1"/>
  <c r="R12" i="17"/>
  <c r="R26" i="17" s="1"/>
  <c r="Q12" i="17"/>
  <c r="AB11" i="17"/>
  <c r="AC11" i="17" s="1"/>
  <c r="AD11" i="17" s="1"/>
  <c r="AE11" i="17" s="1"/>
  <c r="V11" i="17"/>
  <c r="T11" i="17"/>
  <c r="Q39" i="17" s="1"/>
  <c r="S11" i="17"/>
  <c r="S24" i="17" s="1"/>
  <c r="R11" i="17"/>
  <c r="R24" i="17" s="1"/>
  <c r="Q11" i="17"/>
  <c r="Q38" i="17" s="1"/>
  <c r="V10" i="17"/>
  <c r="T10" i="17"/>
  <c r="T37" i="17" s="1"/>
  <c r="S10" i="17"/>
  <c r="S37" i="17"/>
  <c r="R10" i="17"/>
  <c r="R37" i="17" s="1"/>
  <c r="R23" i="17"/>
  <c r="Q10" i="17"/>
  <c r="AB10" i="17" s="1"/>
  <c r="AC10" i="17" s="1"/>
  <c r="AD10" i="17" s="1"/>
  <c r="AE10" i="17" s="1"/>
  <c r="V9" i="17"/>
  <c r="T9" i="17"/>
  <c r="T23" i="17" s="1"/>
  <c r="S9" i="17"/>
  <c r="S36" i="17" s="1"/>
  <c r="R9" i="17"/>
  <c r="R22" i="17" s="1"/>
  <c r="Q9" i="17"/>
  <c r="Q22" i="17" s="1"/>
  <c r="V8" i="17"/>
  <c r="T8" i="17"/>
  <c r="T35" i="17" s="1"/>
  <c r="S8" i="17"/>
  <c r="R8" i="17"/>
  <c r="R21" i="17" s="1"/>
  <c r="S35" i="17"/>
  <c r="Q8" i="17"/>
  <c r="W8" i="17" s="1"/>
  <c r="AB8" i="17"/>
  <c r="AC8" i="17" s="1"/>
  <c r="AD8" i="17" s="1"/>
  <c r="AE8" i="17" s="1"/>
  <c r="V7" i="17"/>
  <c r="T7" i="17"/>
  <c r="T34" i="17"/>
  <c r="S7" i="17"/>
  <c r="S21" i="17"/>
  <c r="R7" i="17"/>
  <c r="R34" i="17" s="1"/>
  <c r="Q7" i="17"/>
  <c r="AB7" i="17" s="1"/>
  <c r="AC7" i="17" s="1"/>
  <c r="AD7" i="17" s="1"/>
  <c r="AE7" i="17" s="1"/>
  <c r="R40" i="17"/>
  <c r="V3" i="17"/>
  <c r="W11" i="17" s="1"/>
  <c r="AB12" i="17"/>
  <c r="AC12" i="17" s="1"/>
  <c r="AD12" i="17" s="1"/>
  <c r="AE12" i="17" s="1"/>
  <c r="S22" i="17"/>
  <c r="S34" i="17"/>
  <c r="S40" i="17"/>
  <c r="T40" i="17"/>
  <c r="Q21" i="17"/>
  <c r="Q26" i="17"/>
  <c r="Q35" i="17"/>
  <c r="Q37" i="17"/>
  <c r="W13" i="17"/>
  <c r="W10" i="17"/>
  <c r="Q14" i="12"/>
  <c r="U14" i="12" s="1"/>
  <c r="T13" i="14"/>
  <c r="T13" i="9"/>
  <c r="T27" i="9" s="1"/>
  <c r="T13" i="4"/>
  <c r="T28" i="4" s="1"/>
  <c r="C7" i="4"/>
  <c r="Q7" i="4" s="1"/>
  <c r="Y32" i="4"/>
  <c r="P21" i="4"/>
  <c r="P35" i="4" s="1"/>
  <c r="Y25" i="4"/>
  <c r="P22" i="4"/>
  <c r="P36" i="4" s="1"/>
  <c r="P23" i="4"/>
  <c r="Y27" i="4" s="1"/>
  <c r="P24" i="4"/>
  <c r="Y28" i="4" s="1"/>
  <c r="P25" i="4"/>
  <c r="P39" i="4" s="1"/>
  <c r="P26" i="4"/>
  <c r="Y30" i="4" s="1"/>
  <c r="P27" i="4"/>
  <c r="P41" i="4" s="1"/>
  <c r="P28" i="4"/>
  <c r="P42" i="4" s="1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7" i="16"/>
  <c r="E38" i="16"/>
  <c r="D38" i="16"/>
  <c r="E37" i="16"/>
  <c r="D37" i="16"/>
  <c r="F36" i="16"/>
  <c r="E36" i="16"/>
  <c r="D36" i="16"/>
  <c r="F34" i="16"/>
  <c r="E34" i="16"/>
  <c r="D34" i="16"/>
  <c r="F33" i="16"/>
  <c r="E33" i="16"/>
  <c r="D33" i="16"/>
  <c r="F32" i="16"/>
  <c r="E32" i="16"/>
  <c r="D32" i="16"/>
  <c r="F31" i="16"/>
  <c r="E31" i="16"/>
  <c r="D31" i="16"/>
  <c r="F30" i="16"/>
  <c r="E30" i="16"/>
  <c r="D30" i="16"/>
  <c r="F29" i="16"/>
  <c r="E29" i="16"/>
  <c r="D29" i="16"/>
  <c r="F28" i="16"/>
  <c r="E28" i="16"/>
  <c r="D28" i="16"/>
  <c r="F27" i="16"/>
  <c r="E27" i="16"/>
  <c r="D27" i="16"/>
  <c r="F26" i="16"/>
  <c r="E26" i="16"/>
  <c r="D26" i="16"/>
  <c r="AH25" i="16"/>
  <c r="F25" i="16"/>
  <c r="E25" i="16"/>
  <c r="D25" i="16"/>
  <c r="F24" i="16"/>
  <c r="E24" i="16"/>
  <c r="D24" i="16"/>
  <c r="F23" i="16"/>
  <c r="E23" i="16"/>
  <c r="D23" i="16"/>
  <c r="AE22" i="16"/>
  <c r="F22" i="16"/>
  <c r="E22" i="16"/>
  <c r="D22" i="16"/>
  <c r="F21" i="16"/>
  <c r="E21" i="16"/>
  <c r="D21" i="16"/>
  <c r="F20" i="16"/>
  <c r="E20" i="16"/>
  <c r="D20" i="16"/>
  <c r="F19" i="16"/>
  <c r="E19" i="16"/>
  <c r="D19" i="16"/>
  <c r="F18" i="16"/>
  <c r="E18" i="16"/>
  <c r="D18" i="16"/>
  <c r="F17" i="16"/>
  <c r="E17" i="16"/>
  <c r="D17" i="16"/>
  <c r="F16" i="16"/>
  <c r="E16" i="16"/>
  <c r="D16" i="16"/>
  <c r="F15" i="16"/>
  <c r="E15" i="16"/>
  <c r="D15" i="16"/>
  <c r="F14" i="16"/>
  <c r="E14" i="16"/>
  <c r="D14" i="16"/>
  <c r="F13" i="16"/>
  <c r="E13" i="16"/>
  <c r="D13" i="16"/>
  <c r="F12" i="16"/>
  <c r="E12" i="16"/>
  <c r="D12" i="16"/>
  <c r="F11" i="16"/>
  <c r="E11" i="16"/>
  <c r="D11" i="16"/>
  <c r="F10" i="16"/>
  <c r="E10" i="16"/>
  <c r="D10" i="16"/>
  <c r="F9" i="16"/>
  <c r="E9" i="16"/>
  <c r="D9" i="16"/>
  <c r="F8" i="16"/>
  <c r="E8" i="16"/>
  <c r="D8" i="16"/>
  <c r="F7" i="16"/>
  <c r="E7" i="16"/>
  <c r="Z25" i="14"/>
  <c r="W22" i="14"/>
  <c r="X24" i="14" s="1" a="1"/>
  <c r="X24" i="14" s="1"/>
  <c r="V14" i="14"/>
  <c r="T41" i="14"/>
  <c r="S41" i="14"/>
  <c r="R41" i="14"/>
  <c r="V13" i="14"/>
  <c r="S13" i="14"/>
  <c r="T40" i="14" s="1"/>
  <c r="R13" i="14"/>
  <c r="R26" i="14" s="1"/>
  <c r="Q13" i="14"/>
  <c r="Q40" i="14" s="1"/>
  <c r="V12" i="14"/>
  <c r="T12" i="14"/>
  <c r="T39" i="14" s="1"/>
  <c r="S12" i="14"/>
  <c r="S26" i="14" s="1"/>
  <c r="R12" i="14"/>
  <c r="R25" i="14" s="1"/>
  <c r="Q12" i="14"/>
  <c r="AB12" i="14" s="1"/>
  <c r="AC12" i="14" s="1"/>
  <c r="AD12" i="14" s="1"/>
  <c r="AE12" i="14" s="1"/>
  <c r="AB11" i="14"/>
  <c r="V11" i="14"/>
  <c r="T11" i="14"/>
  <c r="T38" i="14" s="1"/>
  <c r="S11" i="14"/>
  <c r="R11" i="14"/>
  <c r="R38" i="14" s="1"/>
  <c r="Q11" i="14"/>
  <c r="V10" i="14"/>
  <c r="T10" i="14"/>
  <c r="S10" i="14"/>
  <c r="S24" i="14"/>
  <c r="R10" i="14"/>
  <c r="R37" i="14" s="1"/>
  <c r="Q10" i="14"/>
  <c r="Q24" i="14" s="1"/>
  <c r="V9" i="14"/>
  <c r="T9" i="14"/>
  <c r="T22" i="14" s="1"/>
  <c r="S9" i="14"/>
  <c r="S22" i="14"/>
  <c r="R9" i="14"/>
  <c r="R23" i="14" s="1"/>
  <c r="Q9" i="14"/>
  <c r="AB9" i="14" s="1"/>
  <c r="AC9" i="14" s="1"/>
  <c r="AD9" i="14" s="1"/>
  <c r="AE9" i="14" s="1"/>
  <c r="AB8" i="14"/>
  <c r="AC8" i="14"/>
  <c r="AD8" i="14"/>
  <c r="AE8" i="14" s="1"/>
  <c r="V8" i="14"/>
  <c r="T8" i="14"/>
  <c r="T35" i="14"/>
  <c r="S8" i="14"/>
  <c r="R8" i="14"/>
  <c r="Q8" i="14"/>
  <c r="V7" i="14"/>
  <c r="T7" i="14"/>
  <c r="S7" i="14"/>
  <c r="R7" i="14"/>
  <c r="R34" i="14" s="1"/>
  <c r="Q7" i="14"/>
  <c r="AB7" i="14"/>
  <c r="AC7" i="14" s="1"/>
  <c r="AD7" i="14" s="1"/>
  <c r="AE7" i="14" s="1"/>
  <c r="AC25" i="13"/>
  <c r="Z22" i="13"/>
  <c r="AA24" i="13" s="1" a="1"/>
  <c r="AA24" i="13" s="1"/>
  <c r="S41" i="13"/>
  <c r="T13" i="13"/>
  <c r="T27" i="13" s="1"/>
  <c r="S13" i="13"/>
  <c r="R13" i="13"/>
  <c r="Q13" i="13"/>
  <c r="AE13" i="13" s="1"/>
  <c r="T12" i="13"/>
  <c r="S12" i="13"/>
  <c r="S25" i="13" s="1"/>
  <c r="R12" i="13"/>
  <c r="S39" i="13" s="1"/>
  <c r="Q12" i="13"/>
  <c r="AE12" i="13" s="1"/>
  <c r="AF12" i="13" s="1"/>
  <c r="AG12" i="13" s="1"/>
  <c r="AH12" i="13" s="1"/>
  <c r="T11" i="13"/>
  <c r="T38" i="13" s="1"/>
  <c r="S11" i="13"/>
  <c r="R11" i="13"/>
  <c r="Q11" i="13"/>
  <c r="T10" i="13"/>
  <c r="T23" i="13" s="1"/>
  <c r="S10" i="13"/>
  <c r="S24" i="13" s="1"/>
  <c r="R10" i="13"/>
  <c r="R23" i="13" s="1"/>
  <c r="Q10" i="13"/>
  <c r="Q37" i="13" s="1"/>
  <c r="T9" i="13"/>
  <c r="T22" i="13" s="1"/>
  <c r="S9" i="13"/>
  <c r="R9" i="13"/>
  <c r="R22" i="13" s="1"/>
  <c r="Q9" i="13"/>
  <c r="Q22" i="13" s="1"/>
  <c r="T8" i="13"/>
  <c r="T21" i="13" s="1"/>
  <c r="S8" i="13"/>
  <c r="S35" i="13" s="1"/>
  <c r="R8" i="13"/>
  <c r="Q8" i="13"/>
  <c r="AE8" i="13" s="1"/>
  <c r="AF8" i="13" s="1"/>
  <c r="T7" i="13"/>
  <c r="T34" i="13" s="1"/>
  <c r="S7" i="13"/>
  <c r="R7" i="13"/>
  <c r="R34" i="13" s="1"/>
  <c r="Q7" i="13"/>
  <c r="AE7" i="13"/>
  <c r="AF7" i="13" s="1"/>
  <c r="AG7" i="13" s="1"/>
  <c r="AH7" i="13" s="1"/>
  <c r="AC25" i="12"/>
  <c r="Z22" i="12"/>
  <c r="Y14" i="12"/>
  <c r="Y13" i="12"/>
  <c r="T13" i="12"/>
  <c r="T27" i="12" s="1"/>
  <c r="S13" i="12"/>
  <c r="S27" i="12" s="1"/>
  <c r="R13" i="12"/>
  <c r="Q13" i="12"/>
  <c r="Y12" i="12"/>
  <c r="T12" i="12"/>
  <c r="Q40" i="12" s="1"/>
  <c r="S12" i="12"/>
  <c r="R12" i="12"/>
  <c r="R39" i="12" s="1"/>
  <c r="Q12" i="12"/>
  <c r="Y11" i="12"/>
  <c r="T11" i="12"/>
  <c r="S11" i="12"/>
  <c r="R11" i="12"/>
  <c r="Q11" i="12"/>
  <c r="U11" i="12" s="1"/>
  <c r="Y10" i="12"/>
  <c r="T10" i="12"/>
  <c r="S10" i="12"/>
  <c r="S23" i="12" s="1"/>
  <c r="R10" i="12"/>
  <c r="R23" i="12" s="1"/>
  <c r="Q10" i="12"/>
  <c r="Y9" i="12"/>
  <c r="T9" i="12"/>
  <c r="T36" i="12" s="1"/>
  <c r="S9" i="12"/>
  <c r="R9" i="12"/>
  <c r="Q9" i="12"/>
  <c r="AE9" i="12" s="1"/>
  <c r="AF9" i="12" s="1"/>
  <c r="AG9" i="12" s="1"/>
  <c r="AH9" i="12" s="1"/>
  <c r="Y8" i="12"/>
  <c r="T8" i="12"/>
  <c r="S8" i="12"/>
  <c r="T35" i="12" s="1"/>
  <c r="R8" i="12"/>
  <c r="R22" i="12" s="1"/>
  <c r="Q8" i="12"/>
  <c r="Y7" i="12"/>
  <c r="T7" i="12"/>
  <c r="Q35" i="12" s="1"/>
  <c r="S7" i="12"/>
  <c r="R7" i="12"/>
  <c r="Q7" i="12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6" i="11"/>
  <c r="F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6" i="11"/>
  <c r="E37" i="11"/>
  <c r="E38" i="11"/>
  <c r="E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6" i="11"/>
  <c r="D37" i="11"/>
  <c r="D38" i="11"/>
  <c r="D7" i="11"/>
  <c r="AF25" i="11"/>
  <c r="AC22" i="11"/>
  <c r="AD24" i="11" s="1" a="1"/>
  <c r="AD24" i="11" s="1"/>
  <c r="AB14" i="11"/>
  <c r="AB13" i="11"/>
  <c r="AB12" i="11"/>
  <c r="AB11" i="11"/>
  <c r="AB10" i="11"/>
  <c r="AB9" i="11"/>
  <c r="AB8" i="11"/>
  <c r="AB7" i="11"/>
  <c r="AC25" i="10"/>
  <c r="Z22" i="10"/>
  <c r="AA24" i="10" s="1" a="1"/>
  <c r="AA24" i="10" s="1"/>
  <c r="T13" i="10"/>
  <c r="T27" i="10" s="1"/>
  <c r="S13" i="10"/>
  <c r="S26" i="10" s="1"/>
  <c r="R13" i="10"/>
  <c r="S40" i="10" s="1"/>
  <c r="R26" i="10"/>
  <c r="Q13" i="10"/>
  <c r="AE13" i="10" s="1"/>
  <c r="T12" i="10"/>
  <c r="S12" i="10"/>
  <c r="S39" i="10" s="1"/>
  <c r="R12" i="10"/>
  <c r="Q12" i="10"/>
  <c r="AE12" i="10" s="1"/>
  <c r="AF12" i="10" s="1"/>
  <c r="T11" i="10"/>
  <c r="S11" i="10"/>
  <c r="R11" i="10"/>
  <c r="Q11" i="10"/>
  <c r="T10" i="10"/>
  <c r="S10" i="10"/>
  <c r="R10" i="10"/>
  <c r="Q10" i="10"/>
  <c r="T9" i="10"/>
  <c r="S9" i="10"/>
  <c r="R9" i="10"/>
  <c r="Q9" i="10"/>
  <c r="AE9" i="10" s="1"/>
  <c r="AF9" i="10" s="1"/>
  <c r="AG9" i="10" s="1"/>
  <c r="T8" i="10"/>
  <c r="S8" i="10"/>
  <c r="R8" i="10"/>
  <c r="Q8" i="10"/>
  <c r="AE8" i="10" s="1"/>
  <c r="AF8" i="10" s="1"/>
  <c r="AG8" i="10" s="1"/>
  <c r="T7" i="10"/>
  <c r="S7" i="10"/>
  <c r="S34" i="10" s="1"/>
  <c r="R7" i="10"/>
  <c r="Q7" i="10"/>
  <c r="Q21" i="10" s="1"/>
  <c r="AC25" i="9"/>
  <c r="Z22" i="9"/>
  <c r="Y14" i="9"/>
  <c r="Y13" i="9"/>
  <c r="S13" i="9"/>
  <c r="S27" i="9" s="1"/>
  <c r="R13" i="9"/>
  <c r="R27" i="9" s="1"/>
  <c r="Q13" i="9"/>
  <c r="Z13" i="9" s="1"/>
  <c r="Y12" i="9"/>
  <c r="T12" i="9"/>
  <c r="S12" i="9"/>
  <c r="R12" i="9"/>
  <c r="R39" i="9" s="1"/>
  <c r="Q12" i="9"/>
  <c r="Q39" i="9"/>
  <c r="Y11" i="9"/>
  <c r="T11" i="9"/>
  <c r="S11" i="9"/>
  <c r="R11" i="9"/>
  <c r="Q11" i="9"/>
  <c r="Y10" i="9"/>
  <c r="T10" i="9"/>
  <c r="T23" i="9" s="1"/>
  <c r="S10" i="9"/>
  <c r="R10" i="9"/>
  <c r="Q10" i="9"/>
  <c r="AE10" i="9" s="1"/>
  <c r="Y9" i="9"/>
  <c r="T9" i="9"/>
  <c r="S9" i="9"/>
  <c r="S22" i="9" s="1"/>
  <c r="R9" i="9"/>
  <c r="Q9" i="9"/>
  <c r="AE9" i="9" s="1"/>
  <c r="AF9" i="9" s="1"/>
  <c r="AG9" i="9" s="1"/>
  <c r="AH9" i="9" s="1"/>
  <c r="Y8" i="9"/>
  <c r="T8" i="9"/>
  <c r="S8" i="9"/>
  <c r="S35" i="9" s="1"/>
  <c r="R8" i="9"/>
  <c r="R35" i="9" s="1"/>
  <c r="Q8" i="9"/>
  <c r="AE8" i="9" s="1"/>
  <c r="AF8" i="9" s="1"/>
  <c r="AG8" i="9" s="1"/>
  <c r="AH8" i="9" s="1"/>
  <c r="Y7" i="9"/>
  <c r="T7" i="9"/>
  <c r="T34" i="9" s="1"/>
  <c r="S7" i="9"/>
  <c r="S21" i="9" s="1"/>
  <c r="R7" i="9"/>
  <c r="Q7" i="9"/>
  <c r="Z7" i="9" s="1"/>
  <c r="AB25" i="4"/>
  <c r="Y23" i="4"/>
  <c r="X14" i="4"/>
  <c r="X8" i="4"/>
  <c r="X9" i="4"/>
  <c r="X10" i="4"/>
  <c r="X11" i="4"/>
  <c r="X12" i="4"/>
  <c r="X13" i="4"/>
  <c r="X7" i="4"/>
  <c r="S13" i="4"/>
  <c r="S28" i="4" s="1"/>
  <c r="R13" i="4"/>
  <c r="R28" i="4" s="1"/>
  <c r="Q13" i="4"/>
  <c r="AD13" i="4"/>
  <c r="AE13" i="4" s="1"/>
  <c r="T12" i="4"/>
  <c r="S12" i="4"/>
  <c r="R12" i="4"/>
  <c r="Q12" i="4"/>
  <c r="AD12" i="4" s="1"/>
  <c r="AE12" i="4" s="1"/>
  <c r="AF12" i="4" s="1"/>
  <c r="AG12" i="4" s="1"/>
  <c r="T11" i="4"/>
  <c r="S11" i="4"/>
  <c r="R11" i="4"/>
  <c r="Q11" i="4"/>
  <c r="AD11" i="4" s="1"/>
  <c r="AE11" i="4" s="1"/>
  <c r="AF11" i="4" s="1"/>
  <c r="AG11" i="4" s="1"/>
  <c r="T10" i="4"/>
  <c r="T24" i="4" s="1"/>
  <c r="S10" i="4"/>
  <c r="R10" i="4"/>
  <c r="R24" i="4" s="1"/>
  <c r="Q10" i="4"/>
  <c r="Q38" i="4" s="1"/>
  <c r="AD10" i="4"/>
  <c r="AE10" i="4" s="1"/>
  <c r="T9" i="4"/>
  <c r="S9" i="4"/>
  <c r="R9" i="4"/>
  <c r="Q9" i="4"/>
  <c r="AD9" i="4"/>
  <c r="AE9" i="4" s="1"/>
  <c r="AF9" i="4" s="1"/>
  <c r="AG9" i="4" s="1"/>
  <c r="T8" i="4"/>
  <c r="T23" i="4" s="1"/>
  <c r="S8" i="4"/>
  <c r="R8" i="4"/>
  <c r="Q8" i="4"/>
  <c r="AD8" i="4"/>
  <c r="AE8" i="4" s="1"/>
  <c r="AF8" i="4" s="1"/>
  <c r="AG8" i="4" s="1"/>
  <c r="T7" i="4"/>
  <c r="S7" i="4"/>
  <c r="S35" i="4" s="1"/>
  <c r="R7" i="4"/>
  <c r="S36" i="12"/>
  <c r="R36" i="12"/>
  <c r="R39" i="14"/>
  <c r="T34" i="14"/>
  <c r="Q38" i="14"/>
  <c r="S41" i="10"/>
  <c r="Q22" i="10"/>
  <c r="T36" i="9"/>
  <c r="Q36" i="14"/>
  <c r="AC11" i="14"/>
  <c r="AD11" i="14"/>
  <c r="AE11" i="14" s="1"/>
  <c r="Q21" i="14"/>
  <c r="AB14" i="14"/>
  <c r="R21" i="14"/>
  <c r="T21" i="14"/>
  <c r="S37" i="14"/>
  <c r="S21" i="14"/>
  <c r="S25" i="14"/>
  <c r="Q22" i="14"/>
  <c r="Q35" i="14"/>
  <c r="T37" i="14"/>
  <c r="R35" i="14"/>
  <c r="S34" i="14"/>
  <c r="S38" i="14"/>
  <c r="S23" i="14"/>
  <c r="S35" i="14"/>
  <c r="Q41" i="14"/>
  <c r="Q25" i="14"/>
  <c r="Q39" i="14"/>
  <c r="S39" i="14"/>
  <c r="R24" i="14"/>
  <c r="S27" i="14"/>
  <c r="T27" i="14"/>
  <c r="T24" i="14"/>
  <c r="Q26" i="14"/>
  <c r="S34" i="13"/>
  <c r="Q35" i="13"/>
  <c r="Q41" i="13"/>
  <c r="AE14" i="13"/>
  <c r="Q21" i="13"/>
  <c r="S38" i="13"/>
  <c r="R39" i="10"/>
  <c r="Q37" i="9"/>
  <c r="AE12" i="9"/>
  <c r="AF12" i="9" s="1"/>
  <c r="AG12" i="9" s="1"/>
  <c r="AH12" i="9" s="1"/>
  <c r="Q35" i="9"/>
  <c r="S36" i="9"/>
  <c r="R24" i="10"/>
  <c r="S38" i="10"/>
  <c r="R25" i="10"/>
  <c r="R37" i="4"/>
  <c r="T36" i="4"/>
  <c r="T37" i="4"/>
  <c r="R36" i="4"/>
  <c r="S22" i="4"/>
  <c r="Z3" i="9"/>
  <c r="Z6" i="9" s="1"/>
  <c r="AE14" i="12"/>
  <c r="AF14" i="12" s="1"/>
  <c r="AG14" i="12" s="1"/>
  <c r="Q41" i="12"/>
  <c r="R24" i="12" l="1"/>
  <c r="AE12" i="12"/>
  <c r="AF12" i="12" s="1"/>
  <c r="AG12" i="12" s="1"/>
  <c r="U12" i="12"/>
  <c r="V12" i="12" s="1"/>
  <c r="E4" i="31"/>
  <c r="Q50" i="16"/>
  <c r="E26" i="31"/>
  <c r="E20" i="31"/>
  <c r="S34" i="12"/>
  <c r="E22" i="31"/>
  <c r="E18" i="31"/>
  <c r="AE8" i="12"/>
  <c r="AF8" i="12" s="1"/>
  <c r="AG8" i="12" s="1"/>
  <c r="AH8" i="12" s="1"/>
  <c r="U8" i="12"/>
  <c r="E16" i="31"/>
  <c r="E11" i="31"/>
  <c r="E3" i="31"/>
  <c r="AE7" i="12"/>
  <c r="AF7" i="12" s="1"/>
  <c r="AG7" i="12" s="1"/>
  <c r="AH7" i="12" s="1"/>
  <c r="U7" i="12"/>
  <c r="R34" i="12"/>
  <c r="U9" i="12"/>
  <c r="AE10" i="12"/>
  <c r="AF10" i="12" s="1"/>
  <c r="AG10" i="12" s="1"/>
  <c r="AH10" i="12" s="1"/>
  <c r="U10" i="12"/>
  <c r="V10" i="12" s="1"/>
  <c r="AE13" i="12"/>
  <c r="U13" i="12"/>
  <c r="V14" i="12"/>
  <c r="V15" i="12"/>
  <c r="AA24" i="12" a="1"/>
  <c r="AA24" i="12" s="1"/>
  <c r="E15" i="31"/>
  <c r="Q26" i="12"/>
  <c r="E12" i="31"/>
  <c r="C25" i="11"/>
  <c r="V11" i="11" s="1"/>
  <c r="T35" i="13"/>
  <c r="S22" i="13"/>
  <c r="S21" i="13"/>
  <c r="R36" i="13"/>
  <c r="S40" i="13"/>
  <c r="AE10" i="13"/>
  <c r="Q23" i="13"/>
  <c r="R37" i="13"/>
  <c r="T37" i="13"/>
  <c r="Q24" i="13"/>
  <c r="AE11" i="13"/>
  <c r="AF11" i="13" s="1"/>
  <c r="AG11" i="13" s="1"/>
  <c r="AH11" i="13" s="1"/>
  <c r="R25" i="13"/>
  <c r="T25" i="13"/>
  <c r="R40" i="13"/>
  <c r="AG8" i="13"/>
  <c r="AH8" i="13" s="1"/>
  <c r="T36" i="13"/>
  <c r="Q36" i="13"/>
  <c r="T24" i="13"/>
  <c r="R35" i="13"/>
  <c r="T21" i="12"/>
  <c r="S39" i="12"/>
  <c r="R25" i="12"/>
  <c r="Q36" i="12"/>
  <c r="S35" i="12"/>
  <c r="T37" i="12"/>
  <c r="S22" i="12"/>
  <c r="Q24" i="12"/>
  <c r="S24" i="12"/>
  <c r="Q23" i="12"/>
  <c r="T23" i="12"/>
  <c r="R37" i="12"/>
  <c r="T34" i="10"/>
  <c r="AE7" i="10"/>
  <c r="AF7" i="10" s="1"/>
  <c r="AG7" i="10" s="1"/>
  <c r="AH7" i="10" s="1"/>
  <c r="T21" i="10"/>
  <c r="R36" i="10"/>
  <c r="S27" i="10"/>
  <c r="T26" i="10"/>
  <c r="C34" i="11"/>
  <c r="W13" i="11" s="1"/>
  <c r="R40" i="10"/>
  <c r="T36" i="10"/>
  <c r="S23" i="10"/>
  <c r="Q26" i="10"/>
  <c r="T37" i="10"/>
  <c r="AG12" i="10"/>
  <c r="AH12" i="10" s="1"/>
  <c r="R27" i="10"/>
  <c r="R34" i="10"/>
  <c r="T40" i="10"/>
  <c r="AE13" i="9"/>
  <c r="T21" i="9"/>
  <c r="R21" i="9"/>
  <c r="S40" i="9"/>
  <c r="S23" i="9"/>
  <c r="T22" i="9"/>
  <c r="R23" i="9"/>
  <c r="R40" i="9"/>
  <c r="Q26" i="9"/>
  <c r="S34" i="9"/>
  <c r="C15" i="11"/>
  <c r="T9" i="11" s="1"/>
  <c r="T40" i="9"/>
  <c r="AA24" i="9" a="1"/>
  <c r="AA24" i="9" s="1"/>
  <c r="R22" i="9"/>
  <c r="R38" i="9"/>
  <c r="T35" i="9"/>
  <c r="S24" i="9"/>
  <c r="Q22" i="4"/>
  <c r="R35" i="4"/>
  <c r="AD7" i="4"/>
  <c r="AE7" i="4" s="1"/>
  <c r="AF7" i="4" s="1"/>
  <c r="AG7" i="4" s="1"/>
  <c r="R39" i="4"/>
  <c r="R38" i="4"/>
  <c r="P37" i="4"/>
  <c r="P38" i="4"/>
  <c r="Y29" i="4"/>
  <c r="R25" i="4"/>
  <c r="P40" i="4"/>
  <c r="S25" i="4"/>
  <c r="S26" i="4"/>
  <c r="T26" i="4"/>
  <c r="Q41" i="4"/>
  <c r="S38" i="4"/>
  <c r="T40" i="4"/>
  <c r="C11" i="16"/>
  <c r="E6" i="31" s="1"/>
  <c r="Y26" i="4"/>
  <c r="S24" i="4"/>
  <c r="T39" i="4"/>
  <c r="R23" i="4"/>
  <c r="Q39" i="4"/>
  <c r="R22" i="4"/>
  <c r="S36" i="4"/>
  <c r="S23" i="4"/>
  <c r="Q25" i="4"/>
  <c r="Z25" i="4" a="1"/>
  <c r="Z25" i="4" s="1"/>
  <c r="Q37" i="4"/>
  <c r="T25" i="4"/>
  <c r="R40" i="4"/>
  <c r="Q27" i="4"/>
  <c r="T41" i="4"/>
  <c r="D7" i="16"/>
  <c r="C7" i="16" s="1"/>
  <c r="E2" i="31" s="1"/>
  <c r="D7" i="21"/>
  <c r="C7" i="22"/>
  <c r="Q7" i="22" s="1"/>
  <c r="R26" i="4"/>
  <c r="T38" i="4"/>
  <c r="T35" i="4"/>
  <c r="C37" i="11"/>
  <c r="V14" i="11" s="1"/>
  <c r="V28" i="11" s="1"/>
  <c r="C12" i="11"/>
  <c r="U8" i="11" s="1"/>
  <c r="C29" i="16"/>
  <c r="C23" i="11"/>
  <c r="T11" i="11" s="1"/>
  <c r="S36" i="13"/>
  <c r="S37" i="4"/>
  <c r="S36" i="10"/>
  <c r="Q38" i="13"/>
  <c r="Q24" i="17"/>
  <c r="S40" i="4"/>
  <c r="Q26" i="4"/>
  <c r="Q23" i="4"/>
  <c r="R25" i="9"/>
  <c r="S21" i="12"/>
  <c r="Q37" i="14"/>
  <c r="T23" i="14"/>
  <c r="AE9" i="13"/>
  <c r="AF9" i="13" s="1"/>
  <c r="AG9" i="13" s="1"/>
  <c r="AH9" i="13" s="1"/>
  <c r="Q25" i="13"/>
  <c r="S38" i="12"/>
  <c r="T25" i="14"/>
  <c r="T26" i="14"/>
  <c r="Q36" i="9"/>
  <c r="C10" i="16"/>
  <c r="E5" i="31" s="1"/>
  <c r="R38" i="17"/>
  <c r="S38" i="17"/>
  <c r="AB14" i="17"/>
  <c r="Q36" i="4"/>
  <c r="Q24" i="4"/>
  <c r="T39" i="13"/>
  <c r="R22" i="14"/>
  <c r="Q39" i="12"/>
  <c r="T38" i="17"/>
  <c r="Q35" i="10"/>
  <c r="R41" i="4"/>
  <c r="T22" i="12"/>
  <c r="R36" i="14"/>
  <c r="T24" i="17"/>
  <c r="T22" i="17"/>
  <c r="AF13" i="4"/>
  <c r="AG13" i="4" s="1"/>
  <c r="AH8" i="10"/>
  <c r="X24" i="17" a="1"/>
  <c r="X24" i="17" s="1"/>
  <c r="Q36" i="10"/>
  <c r="S23" i="13"/>
  <c r="V3" i="14"/>
  <c r="W13" i="14" s="1"/>
  <c r="AF10" i="9"/>
  <c r="AG10" i="9" s="1"/>
  <c r="AH10" i="9" s="1"/>
  <c r="C22" i="16"/>
  <c r="Y31" i="4"/>
  <c r="R35" i="10"/>
  <c r="S41" i="4"/>
  <c r="S24" i="10"/>
  <c r="Q21" i="12"/>
  <c r="Q27" i="13"/>
  <c r="R37" i="9"/>
  <c r="S22" i="10"/>
  <c r="S23" i="17"/>
  <c r="C12" i="16"/>
  <c r="AB9" i="17"/>
  <c r="AC9" i="17" s="1"/>
  <c r="AD9" i="17" s="1"/>
  <c r="AE9" i="17" s="1"/>
  <c r="R25" i="17"/>
  <c r="R24" i="13"/>
  <c r="Q22" i="9"/>
  <c r="T34" i="12"/>
  <c r="R36" i="9"/>
  <c r="T24" i="9"/>
  <c r="S39" i="4"/>
  <c r="Q21" i="9"/>
  <c r="Q22" i="12"/>
  <c r="S38" i="9"/>
  <c r="AB13" i="14"/>
  <c r="AC13" i="14" s="1"/>
  <c r="AD13" i="14" s="1"/>
  <c r="AE13" i="14" s="1"/>
  <c r="R36" i="17"/>
  <c r="AH9" i="10"/>
  <c r="C11" i="11"/>
  <c r="T8" i="11" s="1"/>
  <c r="R27" i="4"/>
  <c r="R26" i="9"/>
  <c r="Q25" i="9"/>
  <c r="T22" i="10"/>
  <c r="C7" i="11"/>
  <c r="T7" i="11" s="1"/>
  <c r="R39" i="17"/>
  <c r="Q23" i="10"/>
  <c r="AE10" i="10"/>
  <c r="AF10" i="10" s="1"/>
  <c r="AG10" i="10" s="1"/>
  <c r="AH10" i="10" s="1"/>
  <c r="Q36" i="17"/>
  <c r="S37" i="10"/>
  <c r="C36" i="11"/>
  <c r="U14" i="11" s="1"/>
  <c r="S25" i="17"/>
  <c r="T36" i="17"/>
  <c r="T36" i="14"/>
  <c r="AF13" i="13"/>
  <c r="AG13" i="13" s="1"/>
  <c r="AH13" i="13" s="1"/>
  <c r="C15" i="16"/>
  <c r="E10" i="31" s="1"/>
  <c r="W12" i="17"/>
  <c r="X13" i="17" s="1"/>
  <c r="Q23" i="17"/>
  <c r="T25" i="17"/>
  <c r="S39" i="17"/>
  <c r="W7" i="17"/>
  <c r="X8" i="17" s="1"/>
  <c r="Z10" i="9"/>
  <c r="R27" i="14"/>
  <c r="T26" i="13"/>
  <c r="AE7" i="9"/>
  <c r="AF7" i="9" s="1"/>
  <c r="AG7" i="9" s="1"/>
  <c r="AH7" i="9" s="1"/>
  <c r="S39" i="9"/>
  <c r="W3" i="17"/>
  <c r="W6" i="17" s="1"/>
  <c r="T38" i="9"/>
  <c r="T24" i="10"/>
  <c r="Q24" i="10"/>
  <c r="AE11" i="10"/>
  <c r="AF11" i="10" s="1"/>
  <c r="AG11" i="10" s="1"/>
  <c r="AH11" i="10" s="1"/>
  <c r="T22" i="4"/>
  <c r="Q28" i="9"/>
  <c r="R41" i="9"/>
  <c r="Z14" i="9"/>
  <c r="AA15" i="9" s="1"/>
  <c r="S37" i="9"/>
  <c r="T25" i="9"/>
  <c r="AB10" i="14"/>
  <c r="AC10" i="14" s="1"/>
  <c r="AD10" i="14" s="1"/>
  <c r="AE10" i="14" s="1"/>
  <c r="AF10" i="4"/>
  <c r="AG10" i="4" s="1"/>
  <c r="W9" i="17"/>
  <c r="X9" i="17" s="1"/>
  <c r="Z8" i="9"/>
  <c r="AA8" i="9" s="1"/>
  <c r="Z14" i="13"/>
  <c r="AA15" i="13" s="1"/>
  <c r="Q28" i="13"/>
  <c r="Q23" i="9"/>
  <c r="S40" i="14"/>
  <c r="R34" i="9"/>
  <c r="S36" i="14"/>
  <c r="R23" i="10"/>
  <c r="Q23" i="14"/>
  <c r="R26" i="13"/>
  <c r="Q40" i="4"/>
  <c r="R24" i="9"/>
  <c r="T25" i="10"/>
  <c r="C26" i="11"/>
  <c r="W11" i="11" s="1"/>
  <c r="Q37" i="12"/>
  <c r="C31" i="11"/>
  <c r="T13" i="11" s="1"/>
  <c r="T27" i="4"/>
  <c r="R40" i="14"/>
  <c r="Q27" i="14"/>
  <c r="AF13" i="10"/>
  <c r="AG13" i="10" s="1"/>
  <c r="AH13" i="10" s="1"/>
  <c r="R35" i="17"/>
  <c r="S27" i="4"/>
  <c r="Q40" i="13"/>
  <c r="C9" i="16"/>
  <c r="W9" i="14"/>
  <c r="W10" i="14"/>
  <c r="W12" i="14"/>
  <c r="W7" i="14"/>
  <c r="W8" i="14"/>
  <c r="W11" i="14"/>
  <c r="W3" i="14"/>
  <c r="W6" i="14" s="1"/>
  <c r="AH12" i="12"/>
  <c r="R40" i="12"/>
  <c r="AF13" i="12"/>
  <c r="AG13" i="12" s="1"/>
  <c r="AH13" i="12" s="1"/>
  <c r="R26" i="12"/>
  <c r="Z14" i="12"/>
  <c r="AA15" i="12" s="1"/>
  <c r="Q28" i="12"/>
  <c r="AE14" i="10"/>
  <c r="AF14" i="10" s="1"/>
  <c r="AG14" i="10" s="1"/>
  <c r="AH14" i="10" s="1"/>
  <c r="Q27" i="12"/>
  <c r="C30" i="16"/>
  <c r="C33" i="16"/>
  <c r="C38" i="16"/>
  <c r="C38" i="11"/>
  <c r="W14" i="11" s="1"/>
  <c r="C37" i="16"/>
  <c r="R41" i="12"/>
  <c r="X52" i="12"/>
  <c r="T40" i="12"/>
  <c r="S40" i="12"/>
  <c r="X51" i="12"/>
  <c r="Y52" i="12" s="1"/>
  <c r="R27" i="12"/>
  <c r="R27" i="13"/>
  <c r="R41" i="13"/>
  <c r="C32" i="11"/>
  <c r="U13" i="11" s="1"/>
  <c r="AF13" i="9"/>
  <c r="AG13" i="9" s="1"/>
  <c r="AH13" i="9" s="1"/>
  <c r="C36" i="16"/>
  <c r="E31" i="31" s="1"/>
  <c r="C8" i="11"/>
  <c r="U7" i="11" s="1"/>
  <c r="C17" i="16"/>
  <c r="C28" i="11"/>
  <c r="U12" i="11" s="1"/>
  <c r="C20" i="11"/>
  <c r="U10" i="11" s="1"/>
  <c r="C27" i="11"/>
  <c r="T12" i="11" s="1"/>
  <c r="C19" i="11"/>
  <c r="T10" i="11" s="1"/>
  <c r="C10" i="11"/>
  <c r="W7" i="11" s="1"/>
  <c r="C31" i="16"/>
  <c r="C34" i="16"/>
  <c r="C24" i="11"/>
  <c r="U11" i="11" s="1"/>
  <c r="C16" i="11"/>
  <c r="U9" i="11" s="1"/>
  <c r="C21" i="11"/>
  <c r="V10" i="11" s="1"/>
  <c r="V24" i="11" s="1"/>
  <c r="C18" i="16"/>
  <c r="C23" i="16"/>
  <c r="C28" i="16"/>
  <c r="C33" i="11"/>
  <c r="V13" i="11" s="1"/>
  <c r="C17" i="11"/>
  <c r="V9" i="11" s="1"/>
  <c r="C9" i="11"/>
  <c r="V7" i="11" s="1"/>
  <c r="C21" i="16"/>
  <c r="C26" i="16"/>
  <c r="E21" i="31" s="1"/>
  <c r="C14" i="16"/>
  <c r="E9" i="31" s="1"/>
  <c r="C19" i="16"/>
  <c r="C30" i="11"/>
  <c r="W12" i="11" s="1"/>
  <c r="C22" i="11"/>
  <c r="W10" i="11" s="1"/>
  <c r="C14" i="11"/>
  <c r="W8" i="11" s="1"/>
  <c r="C8" i="16"/>
  <c r="C29" i="11"/>
  <c r="V12" i="11" s="1"/>
  <c r="V25" i="11" s="1"/>
  <c r="C13" i="11"/>
  <c r="V8" i="11" s="1"/>
  <c r="R39" i="13"/>
  <c r="R21" i="13"/>
  <c r="Q26" i="13"/>
  <c r="Q39" i="13"/>
  <c r="S37" i="13"/>
  <c r="S27" i="13"/>
  <c r="T40" i="13"/>
  <c r="S26" i="13"/>
  <c r="AF10" i="13"/>
  <c r="AG10" i="13" s="1"/>
  <c r="AH10" i="13" s="1"/>
  <c r="R38" i="13"/>
  <c r="T24" i="12"/>
  <c r="S26" i="12"/>
  <c r="R35" i="12"/>
  <c r="T39" i="12"/>
  <c r="C25" i="16"/>
  <c r="Q25" i="12"/>
  <c r="T25" i="12"/>
  <c r="AE11" i="12"/>
  <c r="AF11" i="12" s="1"/>
  <c r="AG11" i="12" s="1"/>
  <c r="AH11" i="12" s="1"/>
  <c r="R38" i="12"/>
  <c r="R21" i="12"/>
  <c r="T26" i="12"/>
  <c r="Q38" i="12"/>
  <c r="S25" i="12"/>
  <c r="C16" i="16"/>
  <c r="S37" i="12"/>
  <c r="C24" i="16"/>
  <c r="T38" i="12"/>
  <c r="Q27" i="9"/>
  <c r="AE14" i="9"/>
  <c r="AF14" i="9" s="1"/>
  <c r="AG14" i="9" s="1"/>
  <c r="AH14" i="9" s="1"/>
  <c r="Q41" i="9"/>
  <c r="D35" i="16"/>
  <c r="D35" i="11"/>
  <c r="E35" i="11"/>
  <c r="E35" i="16"/>
  <c r="F35" i="16"/>
  <c r="F35" i="11"/>
  <c r="Q40" i="10"/>
  <c r="Q37" i="10"/>
  <c r="Q41" i="10"/>
  <c r="R21" i="10"/>
  <c r="R37" i="10"/>
  <c r="S25" i="10"/>
  <c r="Q38" i="10"/>
  <c r="T39" i="10"/>
  <c r="T23" i="10"/>
  <c r="C20" i="16"/>
  <c r="C27" i="16"/>
  <c r="C32" i="16"/>
  <c r="E27" i="31" s="1"/>
  <c r="R41" i="10"/>
  <c r="Q27" i="10"/>
  <c r="T35" i="10"/>
  <c r="S21" i="10"/>
  <c r="Q39" i="10"/>
  <c r="C13" i="16"/>
  <c r="C18" i="11"/>
  <c r="W9" i="11" s="1"/>
  <c r="T38" i="10"/>
  <c r="S35" i="10"/>
  <c r="R22" i="10"/>
  <c r="Q25" i="10"/>
  <c r="R38" i="10"/>
  <c r="W38" i="11"/>
  <c r="W24" i="11"/>
  <c r="W23" i="11"/>
  <c r="Q40" i="9"/>
  <c r="Z12" i="9"/>
  <c r="AA13" i="9" s="1"/>
  <c r="Q38" i="9"/>
  <c r="S25" i="9"/>
  <c r="S26" i="9"/>
  <c r="T39" i="9"/>
  <c r="Z11" i="9"/>
  <c r="T37" i="9"/>
  <c r="Q24" i="9"/>
  <c r="AE11" i="9"/>
  <c r="AF11" i="9" s="1"/>
  <c r="AG11" i="9" s="1"/>
  <c r="AH11" i="9" s="1"/>
  <c r="T26" i="9"/>
  <c r="Z9" i="9"/>
  <c r="X11" i="17"/>
  <c r="V8" i="12" l="1"/>
  <c r="W11" i="16"/>
  <c r="B19" i="31"/>
  <c r="D19" i="31"/>
  <c r="F19" i="31"/>
  <c r="C19" i="31"/>
  <c r="X10" i="16"/>
  <c r="B16" i="31"/>
  <c r="D16" i="31"/>
  <c r="F16" i="31"/>
  <c r="C16" i="31"/>
  <c r="D33" i="31"/>
  <c r="F33" i="31"/>
  <c r="B33" i="31"/>
  <c r="C33" i="31"/>
  <c r="X12" i="16"/>
  <c r="X39" i="16" s="1"/>
  <c r="C24" i="31"/>
  <c r="F24" i="31"/>
  <c r="D24" i="31"/>
  <c r="B24" i="31"/>
  <c r="V13" i="12"/>
  <c r="W7" i="16"/>
  <c r="F3" i="31"/>
  <c r="B3" i="31"/>
  <c r="D3" i="31"/>
  <c r="C3" i="31"/>
  <c r="V10" i="16"/>
  <c r="AJ10" i="16" s="1"/>
  <c r="AK10" i="16" s="1"/>
  <c r="AL10" i="16" s="1"/>
  <c r="AM10" i="16" s="1"/>
  <c r="C14" i="31"/>
  <c r="D14" i="31"/>
  <c r="F14" i="31"/>
  <c r="B14" i="31"/>
  <c r="X13" i="16"/>
  <c r="X40" i="16" s="1"/>
  <c r="B28" i="31"/>
  <c r="C28" i="31"/>
  <c r="D28" i="31"/>
  <c r="F28" i="31"/>
  <c r="W8" i="16"/>
  <c r="F7" i="31"/>
  <c r="B7" i="31"/>
  <c r="C7" i="31"/>
  <c r="D7" i="31"/>
  <c r="W12" i="16"/>
  <c r="D23" i="31"/>
  <c r="F23" i="31"/>
  <c r="B23" i="31"/>
  <c r="C23" i="31"/>
  <c r="X11" i="16"/>
  <c r="F20" i="31"/>
  <c r="C20" i="31"/>
  <c r="D20" i="31"/>
  <c r="B20" i="31"/>
  <c r="W10" i="16"/>
  <c r="W23" i="16" s="1"/>
  <c r="D15" i="31"/>
  <c r="B15" i="31"/>
  <c r="C15" i="31"/>
  <c r="F15" i="31"/>
  <c r="Y13" i="16"/>
  <c r="Y40" i="16" s="1"/>
  <c r="B29" i="31"/>
  <c r="F29" i="31"/>
  <c r="C29" i="31"/>
  <c r="D29" i="31"/>
  <c r="Y10" i="16"/>
  <c r="V38" i="16" s="1"/>
  <c r="D17" i="31"/>
  <c r="C17" i="31"/>
  <c r="B17" i="31"/>
  <c r="F17" i="31"/>
  <c r="E7" i="31"/>
  <c r="Y8" i="16"/>
  <c r="B9" i="31"/>
  <c r="C9" i="31"/>
  <c r="F9" i="31"/>
  <c r="D9" i="31"/>
  <c r="W9" i="16"/>
  <c r="W36" i="16" s="1"/>
  <c r="B11" i="31"/>
  <c r="C11" i="31"/>
  <c r="D11" i="31"/>
  <c r="F11" i="31"/>
  <c r="X8" i="16"/>
  <c r="X21" i="16" s="1"/>
  <c r="B8" i="31"/>
  <c r="C8" i="31"/>
  <c r="D8" i="31"/>
  <c r="F8" i="31"/>
  <c r="E24" i="31"/>
  <c r="E14" i="31"/>
  <c r="W13" i="16"/>
  <c r="W40" i="16" s="1"/>
  <c r="B27" i="31"/>
  <c r="C27" i="31"/>
  <c r="D27" i="31"/>
  <c r="F27" i="31"/>
  <c r="V13" i="16"/>
  <c r="V40" i="16" s="1"/>
  <c r="F26" i="31"/>
  <c r="B26" i="31"/>
  <c r="D26" i="31"/>
  <c r="C26" i="31"/>
  <c r="V8" i="16"/>
  <c r="V35" i="16" s="1"/>
  <c r="D6" i="31"/>
  <c r="F6" i="31"/>
  <c r="B6" i="31"/>
  <c r="C6" i="31"/>
  <c r="F2" i="31"/>
  <c r="C2" i="31"/>
  <c r="D2" i="31"/>
  <c r="B2" i="31"/>
  <c r="Y11" i="16"/>
  <c r="Y38" i="16" s="1"/>
  <c r="B21" i="31"/>
  <c r="C21" i="31"/>
  <c r="D21" i="31"/>
  <c r="F21" i="31"/>
  <c r="E8" i="31"/>
  <c r="Y12" i="16"/>
  <c r="Y39" i="16" s="1"/>
  <c r="C25" i="31"/>
  <c r="F25" i="31"/>
  <c r="D25" i="31"/>
  <c r="B25" i="31"/>
  <c r="Y7" i="16"/>
  <c r="Y34" i="16" s="1"/>
  <c r="B5" i="31"/>
  <c r="D5" i="31"/>
  <c r="F5" i="31"/>
  <c r="C5" i="31"/>
  <c r="E25" i="31"/>
  <c r="V12" i="16"/>
  <c r="V39" i="16" s="1"/>
  <c r="C22" i="31"/>
  <c r="B22" i="31"/>
  <c r="D22" i="31"/>
  <c r="F22" i="31"/>
  <c r="V9" i="12"/>
  <c r="X14" i="16"/>
  <c r="X28" i="16" s="1"/>
  <c r="B32" i="31"/>
  <c r="C32" i="31"/>
  <c r="D32" i="31"/>
  <c r="F32" i="31"/>
  <c r="V11" i="16"/>
  <c r="B18" i="31"/>
  <c r="D18" i="31"/>
  <c r="C18" i="31"/>
  <c r="F18" i="31"/>
  <c r="Y9" i="16"/>
  <c r="C13" i="31"/>
  <c r="B13" i="31"/>
  <c r="D13" i="31"/>
  <c r="F13" i="31"/>
  <c r="E29" i="31"/>
  <c r="E23" i="31"/>
  <c r="X9" i="16"/>
  <c r="Y36" i="16" s="1"/>
  <c r="C12" i="31"/>
  <c r="D12" i="31"/>
  <c r="B12" i="31"/>
  <c r="F12" i="31"/>
  <c r="E13" i="31"/>
  <c r="E32" i="31"/>
  <c r="E19" i="31"/>
  <c r="V9" i="16"/>
  <c r="V36" i="16" s="1"/>
  <c r="D10" i="31"/>
  <c r="F10" i="31"/>
  <c r="C10" i="31"/>
  <c r="B10" i="31"/>
  <c r="V11" i="12"/>
  <c r="E28" i="31"/>
  <c r="X7" i="16"/>
  <c r="X34" i="16" s="1"/>
  <c r="D4" i="31"/>
  <c r="B4" i="31"/>
  <c r="C4" i="31"/>
  <c r="F4" i="31"/>
  <c r="W14" i="16"/>
  <c r="B31" i="31"/>
  <c r="D31" i="31"/>
  <c r="C31" i="31"/>
  <c r="F31" i="31"/>
  <c r="E17" i="31"/>
  <c r="E33" i="31"/>
  <c r="AH9" i="11"/>
  <c r="X9" i="11"/>
  <c r="AA24" i="22" a="1"/>
  <c r="AA24" i="22" s="1"/>
  <c r="U7" i="22"/>
  <c r="V8" i="22" s="1"/>
  <c r="AH7" i="11"/>
  <c r="AI7" i="11" s="1"/>
  <c r="X7" i="11"/>
  <c r="AH11" i="11"/>
  <c r="X11" i="11"/>
  <c r="AH10" i="11"/>
  <c r="AI10" i="11" s="1"/>
  <c r="X10" i="11"/>
  <c r="Y10" i="11" s="1"/>
  <c r="AH12" i="11"/>
  <c r="AI12" i="11" s="1"/>
  <c r="AJ12" i="11" s="1"/>
  <c r="AK12" i="11" s="1"/>
  <c r="X12" i="11"/>
  <c r="Y12" i="11" s="1"/>
  <c r="AH8" i="11"/>
  <c r="AI8" i="11" s="1"/>
  <c r="AJ8" i="11" s="1"/>
  <c r="AK8" i="11" s="1"/>
  <c r="X8" i="11"/>
  <c r="Y8" i="11" s="1"/>
  <c r="AH13" i="11"/>
  <c r="X13" i="11"/>
  <c r="Y13" i="11" s="1"/>
  <c r="W26" i="11"/>
  <c r="AI9" i="11"/>
  <c r="AJ9" i="11" s="1"/>
  <c r="AK9" i="11" s="1"/>
  <c r="T21" i="11"/>
  <c r="U35" i="11"/>
  <c r="V34" i="11"/>
  <c r="R34" i="22"/>
  <c r="Q21" i="22"/>
  <c r="AE7" i="22"/>
  <c r="AF7" i="22" s="1"/>
  <c r="AG7" i="22" s="1"/>
  <c r="AH7" i="22" s="1"/>
  <c r="W25" i="11"/>
  <c r="U34" i="11"/>
  <c r="U38" i="11"/>
  <c r="V35" i="11"/>
  <c r="T40" i="11"/>
  <c r="V27" i="11"/>
  <c r="X25" i="16"/>
  <c r="T35" i="11"/>
  <c r="T38" i="11"/>
  <c r="T22" i="11"/>
  <c r="U21" i="11"/>
  <c r="V7" i="16"/>
  <c r="U39" i="11"/>
  <c r="V37" i="11"/>
  <c r="AJ10" i="11"/>
  <c r="AK10" i="11" s="1"/>
  <c r="W37" i="11"/>
  <c r="U37" i="11"/>
  <c r="U26" i="11"/>
  <c r="W41" i="11"/>
  <c r="W28" i="11"/>
  <c r="U40" i="11"/>
  <c r="Y14" i="16"/>
  <c r="AA11" i="9"/>
  <c r="X8" i="14"/>
  <c r="AA10" i="9"/>
  <c r="AA14" i="9"/>
  <c r="W34" i="11"/>
  <c r="V41" i="11"/>
  <c r="U27" i="11"/>
  <c r="T26" i="11"/>
  <c r="U25" i="11"/>
  <c r="U36" i="11"/>
  <c r="AI11" i="11"/>
  <c r="AJ11" i="11" s="1"/>
  <c r="AK11" i="11" s="1"/>
  <c r="U22" i="11"/>
  <c r="U24" i="11"/>
  <c r="X35" i="16"/>
  <c r="T39" i="11"/>
  <c r="T23" i="11"/>
  <c r="X10" i="17"/>
  <c r="W21" i="16"/>
  <c r="W21" i="11"/>
  <c r="Y25" i="16"/>
  <c r="AI13" i="11"/>
  <c r="AJ13" i="11" s="1"/>
  <c r="AK13" i="11" s="1"/>
  <c r="T25" i="11"/>
  <c r="V38" i="11"/>
  <c r="X12" i="17"/>
  <c r="T24" i="11"/>
  <c r="X11" i="14"/>
  <c r="X12" i="14"/>
  <c r="X13" i="14"/>
  <c r="X10" i="14"/>
  <c r="X9" i="14"/>
  <c r="Q28" i="10"/>
  <c r="F39" i="11"/>
  <c r="C39" i="11" s="1"/>
  <c r="T15" i="11" s="1"/>
  <c r="Q42" i="10"/>
  <c r="AE15" i="10"/>
  <c r="AJ11" i="16"/>
  <c r="AK11" i="16" s="1"/>
  <c r="AL11" i="16" s="1"/>
  <c r="AM11" i="16" s="1"/>
  <c r="X36" i="16"/>
  <c r="X23" i="16"/>
  <c r="W27" i="11"/>
  <c r="W27" i="16"/>
  <c r="V26" i="16"/>
  <c r="U23" i="11"/>
  <c r="Y35" i="16"/>
  <c r="V26" i="11"/>
  <c r="Y26" i="16"/>
  <c r="V39" i="11"/>
  <c r="W39" i="11"/>
  <c r="W40" i="11"/>
  <c r="AJ7" i="11"/>
  <c r="AK7" i="11" s="1"/>
  <c r="V40" i="11"/>
  <c r="V36" i="11"/>
  <c r="V23" i="11"/>
  <c r="W38" i="16"/>
  <c r="W36" i="11"/>
  <c r="Y22" i="16"/>
  <c r="W35" i="11"/>
  <c r="Y21" i="16"/>
  <c r="V21" i="11"/>
  <c r="T36" i="11"/>
  <c r="X24" i="16"/>
  <c r="V22" i="11"/>
  <c r="X38" i="16"/>
  <c r="W25" i="16"/>
  <c r="X22" i="16"/>
  <c r="Z7" i="13"/>
  <c r="Z13" i="13"/>
  <c r="AA14" i="13" s="1"/>
  <c r="Z8" i="13"/>
  <c r="Z9" i="13"/>
  <c r="Z10" i="13"/>
  <c r="Z11" i="13"/>
  <c r="Z12" i="13"/>
  <c r="Z3" i="13"/>
  <c r="Z6" i="13" s="1"/>
  <c r="W22" i="16"/>
  <c r="Z9" i="12"/>
  <c r="Z7" i="12"/>
  <c r="Z12" i="12"/>
  <c r="Z8" i="12"/>
  <c r="Z13" i="12"/>
  <c r="AA14" i="12" s="1"/>
  <c r="Z3" i="12"/>
  <c r="Z6" i="12" s="1"/>
  <c r="Z10" i="12"/>
  <c r="Z11" i="12"/>
  <c r="C35" i="16"/>
  <c r="Q28" i="4"/>
  <c r="Q42" i="4"/>
  <c r="AD14" i="4"/>
  <c r="AE14" i="4" s="1"/>
  <c r="AF14" i="4" s="1"/>
  <c r="AG14" i="4" s="1"/>
  <c r="C35" i="11"/>
  <c r="T14" i="11" s="1"/>
  <c r="X14" i="11" s="1"/>
  <c r="AA9" i="9"/>
  <c r="AA12" i="9"/>
  <c r="T37" i="11"/>
  <c r="W22" i="11"/>
  <c r="V24" i="16" l="1"/>
  <c r="V23" i="16"/>
  <c r="Y23" i="16"/>
  <c r="W26" i="16"/>
  <c r="Z12" i="16"/>
  <c r="AJ12" i="16"/>
  <c r="AK12" i="16" s="1"/>
  <c r="AL12" i="16" s="1"/>
  <c r="AM12" i="16" s="1"/>
  <c r="Z9" i="16"/>
  <c r="Z13" i="16"/>
  <c r="AA13" i="16" s="1"/>
  <c r="X41" i="16"/>
  <c r="B30" i="31"/>
  <c r="D30" i="31"/>
  <c r="C30" i="31"/>
  <c r="F30" i="31"/>
  <c r="E30" i="31"/>
  <c r="Z10" i="16"/>
  <c r="AA10" i="16" s="1"/>
  <c r="V37" i="16"/>
  <c r="AJ8" i="16"/>
  <c r="AK8" i="16" s="1"/>
  <c r="AL8" i="16" s="1"/>
  <c r="AM8" i="16" s="1"/>
  <c r="X37" i="16"/>
  <c r="W24" i="16"/>
  <c r="Z11" i="16"/>
  <c r="AA11" i="16" s="1"/>
  <c r="Y24" i="16"/>
  <c r="X26" i="16"/>
  <c r="Y37" i="16"/>
  <c r="Z8" i="16"/>
  <c r="AA8" i="16" s="1"/>
  <c r="W39" i="16"/>
  <c r="W35" i="16"/>
  <c r="V22" i="16"/>
  <c r="AJ13" i="16"/>
  <c r="AK13" i="16" s="1"/>
  <c r="AL13" i="16" s="1"/>
  <c r="AM13" i="16" s="1"/>
  <c r="X27" i="16"/>
  <c r="W37" i="16"/>
  <c r="V25" i="16"/>
  <c r="AJ9" i="16"/>
  <c r="AK9" i="16" s="1"/>
  <c r="AL9" i="16" s="1"/>
  <c r="AM9" i="16" s="1"/>
  <c r="AJ7" i="16"/>
  <c r="AK7" i="16" s="1"/>
  <c r="AL7" i="16" s="1"/>
  <c r="AM7" i="16" s="1"/>
  <c r="Z7" i="16"/>
  <c r="Y11" i="11"/>
  <c r="Y9" i="11"/>
  <c r="Y14" i="11"/>
  <c r="V21" i="16"/>
  <c r="W34" i="16"/>
  <c r="AH15" i="11"/>
  <c r="V42" i="16"/>
  <c r="Y28" i="16"/>
  <c r="Y27" i="16"/>
  <c r="AH14" i="11"/>
  <c r="AI14" i="11" s="1"/>
  <c r="AJ14" i="11" s="1"/>
  <c r="AK14" i="11" s="1"/>
  <c r="Z15" i="10"/>
  <c r="AA16" i="10" s="1"/>
  <c r="J23" i="3" s="1"/>
  <c r="Z3" i="10"/>
  <c r="Z6" i="10" s="1"/>
  <c r="Z13" i="10"/>
  <c r="Z7" i="10"/>
  <c r="Z14" i="10"/>
  <c r="Z8" i="10"/>
  <c r="Z9" i="10"/>
  <c r="Z11" i="10"/>
  <c r="Z12" i="10"/>
  <c r="Z10" i="10"/>
  <c r="T42" i="11"/>
  <c r="T28" i="11"/>
  <c r="Y41" i="16"/>
  <c r="V14" i="16"/>
  <c r="Z14" i="16" s="1"/>
  <c r="AA14" i="16" s="1"/>
  <c r="AA8" i="13"/>
  <c r="AA11" i="13"/>
  <c r="AA13" i="13"/>
  <c r="AA12" i="13"/>
  <c r="AA13" i="12"/>
  <c r="AA10" i="12"/>
  <c r="AA10" i="13"/>
  <c r="AA8" i="12"/>
  <c r="AA12" i="12"/>
  <c r="AA9" i="13"/>
  <c r="AA9" i="12"/>
  <c r="AA11" i="12"/>
  <c r="U41" i="11"/>
  <c r="T27" i="11"/>
  <c r="T41" i="11"/>
  <c r="AA12" i="16" l="1"/>
  <c r="AA9" i="16"/>
  <c r="V28" i="16"/>
  <c r="AA13" i="10"/>
  <c r="AA10" i="10"/>
  <c r="AA9" i="10"/>
  <c r="AA15" i="10"/>
  <c r="AA14" i="10"/>
  <c r="AA12" i="10"/>
  <c r="AA11" i="10"/>
  <c r="AA8" i="10"/>
  <c r="AJ14" i="16"/>
  <c r="W41" i="16"/>
  <c r="V41" i="16"/>
  <c r="V27" i="16"/>
  <c r="D40" i="11" l="1"/>
  <c r="C40" i="11" s="1"/>
  <c r="U15" i="11" s="1"/>
  <c r="X15" i="11" s="1"/>
  <c r="Y15" i="11" s="1"/>
  <c r="D40" i="16"/>
  <c r="R15" i="4"/>
  <c r="S43" i="4" s="1"/>
  <c r="C40" i="22"/>
  <c r="R15" i="22" s="1"/>
  <c r="R28" i="22" l="1"/>
  <c r="U15" i="22"/>
  <c r="V15" i="22" s="1"/>
  <c r="AI15" i="11"/>
  <c r="AJ15" i="11" s="1"/>
  <c r="V42" i="11"/>
  <c r="R43" i="4"/>
  <c r="C40" i="16"/>
  <c r="R29" i="4"/>
  <c r="Y10" i="4"/>
  <c r="Y8" i="4"/>
  <c r="Y12" i="4"/>
  <c r="Y3" i="4"/>
  <c r="Y6" i="4" s="1"/>
  <c r="Y13" i="4"/>
  <c r="Y14" i="4"/>
  <c r="Y11" i="4"/>
  <c r="Y9" i="4"/>
  <c r="Y15" i="4"/>
  <c r="Z16" i="4" s="1"/>
  <c r="J22" i="3" s="1"/>
  <c r="Y7" i="4"/>
  <c r="U42" i="11"/>
  <c r="S42" i="22"/>
  <c r="U28" i="11"/>
  <c r="R42" i="22"/>
  <c r="D35" i="31" l="1"/>
  <c r="C35" i="31"/>
  <c r="B35" i="31"/>
  <c r="F35" i="31"/>
  <c r="E35" i="31"/>
  <c r="M50" i="16"/>
  <c r="W15" i="16"/>
  <c r="Z9" i="4"/>
  <c r="Z11" i="4"/>
  <c r="Z15" i="4"/>
  <c r="Z13" i="4"/>
  <c r="AC11" i="11"/>
  <c r="AC13" i="11"/>
  <c r="AC12" i="11"/>
  <c r="AC7" i="11"/>
  <c r="AC8" i="11"/>
  <c r="AC3" i="11"/>
  <c r="AC6" i="11" s="1"/>
  <c r="AC14" i="11"/>
  <c r="AC9" i="11"/>
  <c r="AC10" i="11"/>
  <c r="AC15" i="11"/>
  <c r="AD16" i="11" s="1"/>
  <c r="Z14" i="22"/>
  <c r="Z10" i="22"/>
  <c r="Z11" i="22"/>
  <c r="Z15" i="22"/>
  <c r="AA16" i="22" s="1"/>
  <c r="Z9" i="22"/>
  <c r="Z8" i="22"/>
  <c r="Z3" i="22"/>
  <c r="Z6" i="22" s="1"/>
  <c r="Z12" i="22"/>
  <c r="Z7" i="22"/>
  <c r="Z13" i="22"/>
  <c r="Z14" i="4"/>
  <c r="Z12" i="4"/>
  <c r="Z8" i="4"/>
  <c r="Z10" i="4"/>
  <c r="Z15" i="16" l="1"/>
  <c r="AA15" i="16" s="1"/>
  <c r="W29" i="16"/>
  <c r="AF24" i="16" a="1"/>
  <c r="AF24" i="16" s="1"/>
  <c r="W42" i="16"/>
  <c r="X42" i="16"/>
  <c r="W28" i="16"/>
  <c r="Q53" i="16"/>
  <c r="N53" i="16"/>
  <c r="P53" i="16"/>
  <c r="O53" i="16"/>
  <c r="R53" i="16"/>
  <c r="AD15" i="11"/>
  <c r="AD14" i="11"/>
  <c r="AD9" i="11"/>
  <c r="AA11" i="22"/>
  <c r="AA12" i="22"/>
  <c r="AD10" i="11"/>
  <c r="AA15" i="22"/>
  <c r="AA13" i="22"/>
  <c r="AD12" i="11"/>
  <c r="AA10" i="22"/>
  <c r="AA8" i="22"/>
  <c r="AA9" i="22"/>
  <c r="AA14" i="22"/>
  <c r="AD8" i="11"/>
  <c r="AD13" i="11"/>
  <c r="AD11" i="11"/>
  <c r="AE9" i="16" l="1"/>
  <c r="AE3" i="16"/>
  <c r="AE6" i="16" s="1"/>
  <c r="AE13" i="16"/>
  <c r="AE10" i="16"/>
  <c r="AE11" i="16"/>
  <c r="AE15" i="16"/>
  <c r="AF16" i="16" s="1"/>
  <c r="J27" i="3" s="1"/>
  <c r="AE7" i="16"/>
  <c r="AE8" i="16"/>
  <c r="AE12" i="16"/>
  <c r="AE14" i="16"/>
  <c r="AF12" i="16" l="1"/>
  <c r="AF8" i="16"/>
  <c r="AF11" i="16"/>
  <c r="AF14" i="16"/>
  <c r="AF15" i="16"/>
  <c r="AF10" i="16"/>
  <c r="AF13" i="16"/>
  <c r="AF9" i="16"/>
  <c r="J38" i="19" l="1"/>
  <c r="J46" i="19"/>
  <c r="K46" i="19"/>
  <c r="K48" i="19" l="1"/>
  <c r="U9" i="19"/>
  <c r="U15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<sst xmlns="http://schemas.openxmlformats.org/spreadsheetml/2006/main" count="2518" uniqueCount="321">
  <si>
    <t>Cocoa Grindings Outlook</t>
  </si>
  <si>
    <t>ECA</t>
  </si>
  <si>
    <t>NCA</t>
  </si>
  <si>
    <t>CAA</t>
  </si>
  <si>
    <t>Ivory Coast</t>
  </si>
  <si>
    <t>Brazil</t>
  </si>
  <si>
    <t>ECA Grinds</t>
  </si>
  <si>
    <t>Quarter</t>
  </si>
  <si>
    <t>Grind</t>
  </si>
  <si>
    <t>Q1</t>
  </si>
  <si>
    <t>Q2</t>
  </si>
  <si>
    <t>Q3</t>
  </si>
  <si>
    <t>Q4</t>
  </si>
  <si>
    <t>Crop Year</t>
  </si>
  <si>
    <t>%</t>
  </si>
  <si>
    <t>Q1 | 16/17</t>
  </si>
  <si>
    <t>16/17</t>
  </si>
  <si>
    <t>Q2 | 16/17</t>
  </si>
  <si>
    <t>17/18</t>
  </si>
  <si>
    <t>Q3 | 16/17</t>
  </si>
  <si>
    <t>18/19</t>
  </si>
  <si>
    <t>Q4 | 16/17</t>
  </si>
  <si>
    <t>19/20</t>
  </si>
  <si>
    <t>Q1 | 17/18</t>
  </si>
  <si>
    <t>20/21</t>
  </si>
  <si>
    <t>Q2 | 17/18</t>
  </si>
  <si>
    <t>21/22</t>
  </si>
  <si>
    <t>Q3 | 17/18</t>
  </si>
  <si>
    <t>22/23</t>
  </si>
  <si>
    <t>Q4 | 17/18</t>
  </si>
  <si>
    <t>23/24</t>
  </si>
  <si>
    <t>Q1 | 18/19</t>
  </si>
  <si>
    <t>Q2 | 18/19</t>
  </si>
  <si>
    <t>Q3 | 18/19</t>
  </si>
  <si>
    <t>Q4 | 18/19</t>
  </si>
  <si>
    <t>YoY Change</t>
  </si>
  <si>
    <t>Choose Quarter</t>
  </si>
  <si>
    <t>Q1 | 19/20</t>
  </si>
  <si>
    <t>Q2 | 19/20</t>
  </si>
  <si>
    <t>Q3 | 19/20</t>
  </si>
  <si>
    <t>Q4 | 19/20</t>
  </si>
  <si>
    <t>Q1 | 20/21</t>
  </si>
  <si>
    <t>Year</t>
  </si>
  <si>
    <t>Q2 | 20/21</t>
  </si>
  <si>
    <t>Q3 | 20/21</t>
  </si>
  <si>
    <t>Q4 | 20/21</t>
  </si>
  <si>
    <t>Q1 | 21/22</t>
  </si>
  <si>
    <t>Q2 | 21/22</t>
  </si>
  <si>
    <t>Q3 | 21/22</t>
  </si>
  <si>
    <t>Q4 | 21/22</t>
  </si>
  <si>
    <t>Q1 | 22/23</t>
  </si>
  <si>
    <t>Q2 | 22/23</t>
  </si>
  <si>
    <t>QoQ Change</t>
  </si>
  <si>
    <t>Q3 | 22/23</t>
  </si>
  <si>
    <t>Q4 | 22/23</t>
  </si>
  <si>
    <t>Q1 | 23/24</t>
  </si>
  <si>
    <t>Q2 | 23/24</t>
  </si>
  <si>
    <t>Q3 | 23/24</t>
  </si>
  <si>
    <t>Q4 | 23/24</t>
  </si>
  <si>
    <t>CAA Grinds</t>
  </si>
  <si>
    <t>NCA Grinds</t>
  </si>
  <si>
    <t>ECA, CAA &amp; NCA Grinds</t>
  </si>
  <si>
    <t>Total</t>
  </si>
  <si>
    <t>IVC Grinds</t>
  </si>
  <si>
    <t>German Grinds</t>
  </si>
  <si>
    <t>IVC</t>
  </si>
  <si>
    <t>BR</t>
  </si>
  <si>
    <t>GEPEX</t>
  </si>
  <si>
    <t>Product Exp</t>
  </si>
  <si>
    <t>Delta</t>
  </si>
  <si>
    <t>Quarterly Avg</t>
  </si>
  <si>
    <t>Monthly Avg</t>
  </si>
  <si>
    <t>Quarters</t>
  </si>
  <si>
    <t>Q1 | 24/25</t>
  </si>
  <si>
    <t>24/25</t>
  </si>
  <si>
    <t>Q</t>
  </si>
  <si>
    <t>MCB Grind (MT)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</si>
  <si>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</si>
  <si>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</si>
  <si>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</si>
  <si>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</si>
  <si>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</si>
  <si>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</si>
  <si>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</si>
  <si>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</si>
  <si>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</si>
  <si>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</si>
  <si>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</si>
  <si>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</si>
  <si>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</si>
  <si>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</si>
  <si>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</si>
  <si>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</si>
  <si>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</si>
  <si>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</si>
  <si>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</si>
  <si>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</si>
  <si>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</si>
  <si>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</si>
  <si>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</si>
  <si>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</si>
  <si>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</si>
  <si>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</si>
  <si>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</si>
  <si>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</si>
  <si>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</si>
  <si>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</si>
  <si>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</si>
  <si>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</si>
  <si>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</si>
  <si>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</si>
  <si>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</si>
  <si>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</si>
  <si>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</si>
  <si>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</si>
  <si>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</si>
  <si>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</si>
  <si>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</si>
  <si>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</si>
  <si>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</si>
  <si>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</si>
  <si>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</si>
  <si>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</si>
  <si>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</si>
  <si>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</si>
  <si>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</si>
  <si>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</si>
  <si>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</si>
  <si>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</si>
  <si>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</si>
  <si>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</si>
  <si>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</si>
  <si>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</si>
  <si>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</si>
  <si>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</si>
  <si>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</si>
  <si>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</si>
  <si>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</si>
  <si>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</si>
  <si>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</si>
  <si>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</si>
  <si>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</si>
  <si>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Q1-24</t>
  </si>
  <si>
    <t>Q2-24</t>
  </si>
  <si>
    <t>Q3-24</t>
  </si>
  <si>
    <t>Q4-24</t>
  </si>
  <si>
    <t>MCB</t>
  </si>
  <si>
    <t>MCB %</t>
  </si>
  <si>
    <t>Brazil Grinds (Reported)</t>
  </si>
  <si>
    <t>IVC (Gepex)</t>
  </si>
  <si>
    <t xml:space="preserve">All Reported Grind : ECA + CAA + NCA + IVC (Gepex)  + BR </t>
  </si>
  <si>
    <t>Q2 | 24/25</t>
  </si>
  <si>
    <t>Method 1</t>
  </si>
  <si>
    <t>Method 3</t>
  </si>
  <si>
    <t>Q1-25</t>
  </si>
  <si>
    <t>Regression Model Against MCB</t>
  </si>
  <si>
    <t>Method of Proportion</t>
  </si>
  <si>
    <t>Average</t>
  </si>
  <si>
    <t>Germany Grinds</t>
  </si>
  <si>
    <t>Q2-25</t>
  </si>
  <si>
    <t>Q3 | 24/25</t>
  </si>
  <si>
    <t>Avg</t>
  </si>
  <si>
    <t>Q4 | 24/25</t>
  </si>
  <si>
    <t>Q3-25</t>
  </si>
  <si>
    <t>CAA Q4 24/25 Grind Prediction</t>
  </si>
  <si>
    <t>25/26</t>
  </si>
  <si>
    <t>Base</t>
  </si>
  <si>
    <t>Lower</t>
  </si>
  <si>
    <t>Higher</t>
  </si>
  <si>
    <t>CAA Grind Estimates</t>
  </si>
  <si>
    <t>CCS Estimates</t>
  </si>
  <si>
    <t>Visible Grind</t>
  </si>
  <si>
    <t>Global Grind (CCS)</t>
  </si>
  <si>
    <t>Non Visible Grind</t>
  </si>
  <si>
    <t>Old</t>
  </si>
  <si>
    <t>New</t>
  </si>
  <si>
    <t>New-Old</t>
  </si>
  <si>
    <t>CAA Revision</t>
  </si>
  <si>
    <t>Q2 |24/25</t>
  </si>
  <si>
    <t>Q4| 24/25</t>
  </si>
  <si>
    <t>Q3 |24/25</t>
  </si>
  <si>
    <t>Malaysia Grinds</t>
  </si>
  <si>
    <t>CAA : Non Malaysian Grind</t>
  </si>
  <si>
    <t>ECA : Non German Grind</t>
  </si>
  <si>
    <t>Germany Grind</t>
  </si>
  <si>
    <t>Malaysian Grind</t>
  </si>
  <si>
    <t>% ECA</t>
  </si>
  <si>
    <t>Q1 | 25/26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</si>
  <si>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</si>
  <si>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</si>
  <si>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</si>
  <si>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</si>
  <si>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</si>
  <si>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</si>
  <si>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</si>
  <si>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</si>
  <si>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</si>
  <si>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</si>
  <si>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</si>
  <si>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</si>
  <si>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14/15</t>
  </si>
  <si>
    <t>15/16</t>
  </si>
  <si>
    <t/>
  </si>
  <si>
    <t>Exports</t>
  </si>
  <si>
    <t>Grind yoY</t>
  </si>
  <si>
    <t>Beq export</t>
  </si>
  <si>
    <t>exports</t>
  </si>
  <si>
    <t>26/27</t>
  </si>
  <si>
    <t>Q1-Q4</t>
  </si>
  <si>
    <t>Q2 | 25/26</t>
  </si>
  <si>
    <t>Q3 | 25/26</t>
  </si>
  <si>
    <t>Q4 | 25/26</t>
  </si>
  <si>
    <t>Q4-25</t>
  </si>
  <si>
    <t>Name</t>
  </si>
  <si>
    <t>Rows</t>
  </si>
  <si>
    <t>Column</t>
  </si>
  <si>
    <t>COC-GRN-ECA</t>
  </si>
  <si>
    <t>0/1</t>
  </si>
  <si>
    <t>Q1 | 0/1</t>
  </si>
  <si>
    <t>Sum of Grind</t>
  </si>
  <si>
    <t>Column Labels</t>
  </si>
  <si>
    <t>Q2 | 0/1</t>
  </si>
  <si>
    <t>Row Labels</t>
  </si>
  <si>
    <t>Q3 | 0/1</t>
  </si>
  <si>
    <t>Timestamp</t>
  </si>
  <si>
    <t>CLOSE</t>
  </si>
  <si>
    <t>Q4 | 0/1</t>
  </si>
  <si>
    <t>1/2</t>
  </si>
  <si>
    <t>Q1 | 1/2</t>
  </si>
  <si>
    <t>Q2 | 1/2</t>
  </si>
  <si>
    <t>Q3 | 1/2</t>
  </si>
  <si>
    <t>Q4 | 1/2</t>
  </si>
  <si>
    <t>2/3</t>
  </si>
  <si>
    <t>Q1 | 2/3</t>
  </si>
  <si>
    <t>Q2 | 2/3</t>
  </si>
  <si>
    <t>Q3 | 2/3</t>
  </si>
  <si>
    <t>Q4 | 2/3</t>
  </si>
  <si>
    <t>3/4</t>
  </si>
  <si>
    <t>Q1 | 3/4</t>
  </si>
  <si>
    <t>Q2 | 3/4</t>
  </si>
  <si>
    <t>Q3 | 3/4</t>
  </si>
  <si>
    <t>Q4 | 3/4</t>
  </si>
  <si>
    <t>4/5</t>
  </si>
  <si>
    <t>Q1 | 4/5</t>
  </si>
  <si>
    <t>Q2 | 4/5</t>
  </si>
  <si>
    <t>Q3 | 4/5</t>
  </si>
  <si>
    <t>Q4 | 4/5</t>
  </si>
  <si>
    <t>5/6</t>
  </si>
  <si>
    <t>Q1 | 5/6</t>
  </si>
  <si>
    <t>Q2 | 5/6</t>
  </si>
  <si>
    <t>Q3 | 5/6</t>
  </si>
  <si>
    <t>Q4 | 5/6</t>
  </si>
  <si>
    <t>6/7</t>
  </si>
  <si>
    <t>Q1 | 6/7</t>
  </si>
  <si>
    <t>Q2 | 6/7</t>
  </si>
  <si>
    <t>Q3 | 6/7</t>
  </si>
  <si>
    <t>Q4 | 6/7</t>
  </si>
  <si>
    <t>7/8</t>
  </si>
  <si>
    <t>Q1 | 7/8</t>
  </si>
  <si>
    <t>Q2 | 7/8</t>
  </si>
  <si>
    <t>Q3 | 7/8</t>
  </si>
  <si>
    <t>Q4 | 7/8</t>
  </si>
  <si>
    <t>8/9</t>
  </si>
  <si>
    <t>Q1 | 8/9</t>
  </si>
  <si>
    <t>Q2 | 8/9</t>
  </si>
  <si>
    <t>Q3 | 8/9</t>
  </si>
  <si>
    <t>Q4 | 8/9</t>
  </si>
  <si>
    <t>9/10</t>
  </si>
  <si>
    <t>Q1 | 9/10</t>
  </si>
  <si>
    <t>Q2 | 9/10</t>
  </si>
  <si>
    <t>Q3 | 9/10</t>
  </si>
  <si>
    <t>Q4 | 9/10</t>
  </si>
  <si>
    <t>10/11</t>
  </si>
  <si>
    <t>Q1 | 10/11</t>
  </si>
  <si>
    <t>Q2 | 10/11</t>
  </si>
  <si>
    <t>Q3 | 10/11</t>
  </si>
  <si>
    <t>Q4 | 10/11</t>
  </si>
  <si>
    <t>11/12</t>
  </si>
  <si>
    <t>Q1 | 11/12</t>
  </si>
  <si>
    <t>Q2 | 11/12</t>
  </si>
  <si>
    <t>Q3 | 11/12</t>
  </si>
  <si>
    <t>Q4 | 11/12</t>
  </si>
  <si>
    <t>12/13</t>
  </si>
  <si>
    <t>Q1 | 12/13</t>
  </si>
  <si>
    <t>Q2 | 12/13</t>
  </si>
  <si>
    <t>Q3 | 12/13</t>
  </si>
  <si>
    <t>Q4 | 12/13</t>
  </si>
  <si>
    <t>13/14</t>
  </si>
  <si>
    <t>Q1 | 13/14</t>
  </si>
  <si>
    <t>Q2 | 13/14</t>
  </si>
  <si>
    <t>Q3 | 13/14</t>
  </si>
  <si>
    <t>Q4 | 13/14</t>
  </si>
  <si>
    <t>Q1 | 14/15</t>
  </si>
  <si>
    <t>Q2 | 14/15</t>
  </si>
  <si>
    <t>Q3 | 14/15</t>
  </si>
  <si>
    <t>Q4 | 14/15</t>
  </si>
  <si>
    <t>Q1 | 15/16</t>
  </si>
  <si>
    <t>Q2 | 15/16</t>
  </si>
  <si>
    <t>Q3 | 15/16</t>
  </si>
  <si>
    <t>Q4 | 15/16</t>
  </si>
  <si>
    <t>Previous</t>
  </si>
  <si>
    <t>Revision</t>
  </si>
  <si>
    <t>YoY</t>
  </si>
  <si>
    <t>YTD</t>
  </si>
  <si>
    <t>QoQ</t>
  </si>
  <si>
    <t>Avg (last Q)</t>
  </si>
  <si>
    <t>Avg ( last Yr)</t>
  </si>
  <si>
    <t>Avg ( last 5)</t>
  </si>
  <si>
    <t>Avg (last Q2)</t>
  </si>
  <si>
    <t>Q1-26</t>
  </si>
  <si>
    <t>Last 5 Years</t>
  </si>
  <si>
    <t>Regression Statistics</t>
  </si>
  <si>
    <t>Scenario 1</t>
  </si>
  <si>
    <t>CAA / ECA</t>
  </si>
  <si>
    <t>MCB % as of CAA</t>
  </si>
  <si>
    <t>Cocoa Grinds | Q3 25/26</t>
  </si>
  <si>
    <t>jul</t>
  </si>
  <si>
    <t>aug</t>
  </si>
  <si>
    <t>sep</t>
  </si>
  <si>
    <t>Malaysia</t>
  </si>
  <si>
    <t>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</si>
</sst>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.0%"/>
    <numFmt numFmtId="167" formatCode="0.000000000000000%"/>
    <numFmt numFmtId="168" formatCode="_-* #,##0.00000_-;\-* #,##0.00000_-;_-* &quot;-&quot;??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Abadi"/>
      <family val="2"/>
    </font>
    <font>
      <sz val="11"/>
      <name val="Abadi"/>
      <family val="2"/>
    </font>
    <font>
      <sz val="18"/>
      <color theme="1"/>
      <name val="Abadi"/>
      <family val="2"/>
    </font>
    <font>
      <sz val="18"/>
      <color theme="4" tint="0.79998168889431442"/>
      <name val="Abadi"/>
      <family val="2"/>
    </font>
    <font>
      <sz val="11"/>
      <color theme="1"/>
      <name val="Abadi"/>
      <family val="2"/>
    </font>
    <font>
      <sz val="11"/>
      <color theme="4" tint="0.79998168889431442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0"/>
      <color theme="4" tint="0.79998168889431442"/>
      <name val="Calibri"/>
      <family val="2"/>
      <scheme val="minor"/>
    </font>
    <font>
      <i/>
      <sz val="11"/>
      <color theme="5" tint="0.79998168889431442"/>
      <name val="Calibri"/>
      <family val="2"/>
      <scheme val="minor"/>
    </font>
    <font>
      <b/>
      <sz val="12"/>
      <color theme="5" tint="0.79998168889431442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28"/>
      <color theme="0"/>
      <name val="Abad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color theme="7" tint="0.59999389629810485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Arial"/>
      <family val="2"/>
    </font>
    <font>
      <i/>
      <sz val="8"/>
      <color theme="1"/>
      <name val="Arial"/>
      <family val="2"/>
    </font>
    <font>
      <sz val="8"/>
      <color theme="4" tint="-0.249977111117893"/>
      <name val="Arial"/>
      <family val="2"/>
    </font>
    <font>
      <sz val="8"/>
      <color theme="7" tint="0.79998168889431442"/>
      <name val="Arial"/>
      <family val="2"/>
    </font>
    <font>
      <b/>
      <sz val="10"/>
      <color theme="1"/>
      <name val="Arial"/>
      <family val="2"/>
    </font>
    <font>
      <sz val="8"/>
      <color theme="5" tint="0.79998168889431442"/>
      <name val="Arial"/>
      <family val="2"/>
    </font>
    <font>
      <sz val="8"/>
      <color theme="0"/>
      <name val="Arial"/>
      <family val="2"/>
    </font>
    <font>
      <i/>
      <sz val="11"/>
      <color theme="1"/>
      <name val="Calibri"/>
      <family val="2"/>
      <scheme val="minor"/>
    </font>
    <font>
      <sz val="18"/>
      <color theme="0" tint="-4.9989318521683403E-2"/>
      <name val="Abadi"/>
      <family val="2"/>
    </font>
    <font>
      <sz val="14"/>
      <color theme="0" tint="-4.9989318521683403E-2"/>
      <name val="Abadi"/>
      <family val="2"/>
    </font>
    <font>
      <sz val="16"/>
      <color theme="1"/>
      <name val="Abadi"/>
      <family val="2"/>
    </font>
    <font>
      <b/>
      <sz val="16"/>
      <color theme="1"/>
      <name val="Abadi"/>
      <family val="2"/>
    </font>
    <font>
      <sz val="14"/>
      <color theme="1"/>
      <name val="Abadi"/>
      <family val="2"/>
    </font>
    <font>
      <b/>
      <sz val="14"/>
      <color theme="1"/>
      <name val="Abadi"/>
      <family val="2"/>
    </font>
    <font>
      <sz val="8"/>
      <color theme="0" tint="-0.249977111117893"/>
      <name val="Arial"/>
      <family val="2"/>
    </font>
    <font>
      <sz val="9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/>
      <right/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</cellStyleXfs>
  <cellXfs count="16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4" borderId="0" xfId="0" applyFont="1" applyFill="1" applyAlignment="1">
      <alignment vertical="center"/>
    </xf>
    <xf numFmtId="0" fontId="7" fillId="4" borderId="0" xfId="0" applyFont="1" applyFill="1"/>
    <xf numFmtId="0" fontId="3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7" borderId="0" xfId="0" applyFill="1" applyAlignment="1">
      <alignment horizontal="right"/>
    </xf>
    <xf numFmtId="165" fontId="0" fillId="0" borderId="0" xfId="1" applyNumberFormat="1" applyFont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2" applyFont="1" applyAlignment="1">
      <alignment horizontal="right"/>
    </xf>
    <xf numFmtId="166" fontId="0" fillId="0" borderId="0" xfId="2" applyNumberFormat="1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5" borderId="0" xfId="0" applyFont="1" applyFill="1" applyAlignment="1">
      <alignment horizontal="right"/>
    </xf>
    <xf numFmtId="9" fontId="0" fillId="0" borderId="0" xfId="2" applyFont="1" applyAlignment="1">
      <alignment horizontal="center"/>
    </xf>
    <xf numFmtId="0" fontId="10" fillId="9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2" fillId="7" borderId="0" xfId="0" applyFont="1" applyFill="1" applyAlignment="1">
      <alignment horizontal="right"/>
    </xf>
    <xf numFmtId="0" fontId="2" fillId="7" borderId="1" xfId="0" applyFont="1" applyFill="1" applyBorder="1" applyAlignment="1">
      <alignment horizontal="right"/>
    </xf>
    <xf numFmtId="0" fontId="13" fillId="2" borderId="0" xfId="0" applyFont="1" applyFill="1" applyAlignment="1">
      <alignment horizontal="right"/>
    </xf>
    <xf numFmtId="0" fontId="14" fillId="2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3" fillId="10" borderId="0" xfId="0" applyFont="1" applyFill="1" applyAlignment="1">
      <alignment horizontal="right" vertic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/>
    <xf numFmtId="166" fontId="0" fillId="0" borderId="0" xfId="2" applyNumberFormat="1" applyFont="1" applyAlignment="1"/>
    <xf numFmtId="0" fontId="4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5" fontId="16" fillId="0" borderId="0" xfId="1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6" fontId="0" fillId="0" borderId="0" xfId="2" applyNumberFormat="1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165" fontId="0" fillId="0" borderId="8" xfId="1" applyNumberFormat="1" applyFont="1" applyBorder="1" applyAlignment="1">
      <alignment horizontal="center"/>
    </xf>
    <xf numFmtId="0" fontId="18" fillId="12" borderId="0" xfId="0" applyFont="1" applyFill="1" applyAlignment="1">
      <alignment horizontal="center"/>
    </xf>
    <xf numFmtId="0" fontId="18" fillId="12" borderId="0" xfId="0" applyFont="1" applyFill="1" applyAlignment="1">
      <alignment horizontal="right"/>
    </xf>
    <xf numFmtId="164" fontId="0" fillId="13" borderId="0" xfId="0" applyNumberFormat="1" applyFill="1" applyAlignment="1">
      <alignment horizontal="right"/>
    </xf>
    <xf numFmtId="0" fontId="0" fillId="14" borderId="0" xfId="0" applyFill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165" fontId="26" fillId="0" borderId="0" xfId="1" applyNumberFormat="1" applyFont="1" applyBorder="1" applyAlignment="1">
      <alignment horizontal="center" vertical="center"/>
    </xf>
    <xf numFmtId="9" fontId="21" fillId="0" borderId="0" xfId="2" applyFont="1" applyAlignment="1">
      <alignment horizontal="center" vertical="center"/>
    </xf>
    <xf numFmtId="165" fontId="27" fillId="0" borderId="0" xfId="1" applyNumberFormat="1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165" fontId="27" fillId="0" borderId="1" xfId="1" applyNumberFormat="1" applyFont="1" applyBorder="1" applyAlignment="1">
      <alignment horizontal="center" vertical="center"/>
    </xf>
    <xf numFmtId="165" fontId="27" fillId="0" borderId="0" xfId="1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0" fontId="2" fillId="7" borderId="8" xfId="0" applyFont="1" applyFill="1" applyBorder="1" applyAlignment="1">
      <alignment horizontal="right"/>
    </xf>
    <xf numFmtId="165" fontId="2" fillId="0" borderId="0" xfId="1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2" fontId="0" fillId="0" borderId="0" xfId="0" applyNumberFormat="1"/>
    <xf numFmtId="9" fontId="0" fillId="0" borderId="0" xfId="0" applyNumberFormat="1" applyAlignment="1">
      <alignment horizontal="right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165" fontId="32" fillId="15" borderId="0" xfId="0" applyNumberFormat="1" applyFont="1" applyFill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165" fontId="21" fillId="7" borderId="0" xfId="1" applyNumberFormat="1" applyFont="1" applyFill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right"/>
    </xf>
    <xf numFmtId="0" fontId="3" fillId="2" borderId="0" xfId="0" applyFont="1" applyFill="1" applyAlignment="1">
      <alignment vertical="center"/>
    </xf>
    <xf numFmtId="1" fontId="21" fillId="0" borderId="0" xfId="0" applyNumberFormat="1" applyFont="1" applyAlignment="1">
      <alignment horizontal="center" vertical="center"/>
    </xf>
    <xf numFmtId="0" fontId="34" fillId="17" borderId="0" xfId="0" applyFont="1" applyFill="1" applyAlignment="1">
      <alignment horizontal="center" vertical="center"/>
    </xf>
    <xf numFmtId="164" fontId="0" fillId="0" borderId="0" xfId="0" applyNumberFormat="1" applyAlignment="1">
      <alignment horizontal="right"/>
    </xf>
    <xf numFmtId="165" fontId="1" fillId="0" borderId="0" xfId="1" applyNumberFormat="1" applyFont="1" applyBorder="1" applyAlignment="1">
      <alignment horizontal="center"/>
    </xf>
    <xf numFmtId="9" fontId="35" fillId="0" borderId="0" xfId="0" applyNumberFormat="1" applyFont="1" applyAlignment="1">
      <alignment horizontal="left"/>
    </xf>
    <xf numFmtId="0" fontId="35" fillId="0" borderId="0" xfId="0" applyFont="1" applyAlignment="1">
      <alignment horizontal="right"/>
    </xf>
    <xf numFmtId="0" fontId="18" fillId="18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165" fontId="1" fillId="0" borderId="8" xfId="1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left"/>
    </xf>
    <xf numFmtId="0" fontId="0" fillId="0" borderId="0" xfId="0" quotePrefix="1"/>
    <xf numFmtId="0" fontId="0" fillId="0" borderId="13" xfId="0" applyBorder="1" applyAlignment="1">
      <alignment horizontal="left"/>
    </xf>
    <xf numFmtId="14" fontId="0" fillId="0" borderId="0" xfId="0" applyNumberFormat="1"/>
    <xf numFmtId="0" fontId="0" fillId="0" borderId="9" xfId="0" pivotButton="1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43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15" fillId="12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37" fillId="16" borderId="21" xfId="0" applyFont="1" applyFill="1" applyBorder="1" applyAlignment="1">
      <alignment horizontal="center" vertical="center"/>
    </xf>
    <xf numFmtId="166" fontId="40" fillId="4" borderId="20" xfId="0" applyNumberFormat="1" applyFont="1" applyFill="1" applyBorder="1" applyAlignment="1">
      <alignment horizontal="center" vertical="center"/>
    </xf>
    <xf numFmtId="3" fontId="40" fillId="4" borderId="20" xfId="0" applyNumberFormat="1" applyFont="1" applyFill="1" applyBorder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38" fillId="7" borderId="20" xfId="0" applyFont="1" applyFill="1" applyBorder="1" applyAlignment="1">
      <alignment horizontal="center" vertical="center"/>
    </xf>
    <xf numFmtId="0" fontId="39" fillId="7" borderId="20" xfId="0" applyFont="1" applyFill="1" applyBorder="1" applyAlignment="1">
      <alignment horizontal="center" vertical="center"/>
    </xf>
    <xf numFmtId="166" fontId="41" fillId="7" borderId="20" xfId="0" applyNumberFormat="1" applyFont="1" applyFill="1" applyBorder="1" applyAlignment="1">
      <alignment horizontal="center" vertical="center"/>
    </xf>
    <xf numFmtId="3" fontId="41" fillId="7" borderId="20" xfId="0" applyNumberFormat="1" applyFont="1" applyFill="1" applyBorder="1" applyAlignment="1">
      <alignment horizontal="center" vertical="center"/>
    </xf>
    <xf numFmtId="0" fontId="18" fillId="16" borderId="0" xfId="0" applyFont="1" applyFill="1" applyAlignment="1">
      <alignment horizontal="center"/>
    </xf>
    <xf numFmtId="165" fontId="18" fillId="16" borderId="0" xfId="0" applyNumberFormat="1" applyFont="1" applyFill="1" applyAlignment="1">
      <alignment horizontal="center"/>
    </xf>
    <xf numFmtId="166" fontId="21" fillId="0" borderId="0" xfId="0" applyNumberFormat="1" applyFont="1" applyAlignment="1">
      <alignment horizontal="center" vertical="center"/>
    </xf>
    <xf numFmtId="165" fontId="21" fillId="0" borderId="0" xfId="1" applyNumberFormat="1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9" fontId="21" fillId="0" borderId="22" xfId="0" applyNumberFormat="1" applyFont="1" applyBorder="1" applyAlignment="1">
      <alignment horizontal="center" vertical="center"/>
    </xf>
    <xf numFmtId="165" fontId="21" fillId="0" borderId="22" xfId="1" applyNumberFormat="1" applyFont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6" fontId="40" fillId="7" borderId="20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0" fillId="20" borderId="22" xfId="0" applyFill="1" applyBorder="1" applyAlignment="1">
      <alignment horizontal="center"/>
    </xf>
    <xf numFmtId="9" fontId="0" fillId="7" borderId="22" xfId="0" applyNumberForma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165" fontId="2" fillId="15" borderId="0" xfId="1" applyNumberFormat="1" applyFont="1" applyFill="1" applyBorder="1" applyAlignment="1">
      <alignment horizontal="center"/>
    </xf>
    <xf numFmtId="165" fontId="0" fillId="15" borderId="0" xfId="1" applyNumberFormat="1" applyFont="1" applyFill="1" applyBorder="1" applyAlignment="1">
      <alignment horizontal="center"/>
    </xf>
    <xf numFmtId="166" fontId="43" fillId="0" borderId="0" xfId="1" applyNumberFormat="1" applyFont="1" applyBorder="1" applyAlignment="1">
      <alignment horizontal="center"/>
    </xf>
    <xf numFmtId="166" fontId="0" fillId="0" borderId="0" xfId="0" applyNumberFormat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36" fillId="1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28" fillId="5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227FA689-1BD0-4E83-A1D6-DDA19C1941EC}"/>
    <cellStyle name="Percent" xfId="2" builtinId="5"/>
  </cellStyles>
  <dxfs count="0"/>
  <tableStyles count="0" defaultTableStyle="TableStyleMedium2" defaultPivotStyle="PivotStyleLight16"/>
  <colors>
    <mruColors>
      <color rgb="FF660033"/>
      <color rgb="FFCC0000"/>
      <color rgb="FFFF0066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Not Signed In</v>
        <stp/>
        <stp>1</stp>
        <stp>32800640</stp>
        <tr r="X5" s="29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TOTAL!$U$10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TOTAL!$V$6:$Y$6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TOTAL!$V$10:$Y$10</c:f>
              <c:numCache>
                <c:formatCode>_-* #,##0_-;\-* #,##0_-;_-* "-"??_-;_-@_-</c:formatCode>
                <c:ptCount val="4"/>
                <c:pt idx="0">
                  <c:v>894393</c:v>
                </c:pt>
                <c:pt idx="1">
                  <c:v>891865</c:v>
                </c:pt>
                <c:pt idx="2">
                  <c:v>812601</c:v>
                </c:pt>
                <c:pt idx="3">
                  <c:v>860903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85-4CCE-9DF6-16D051AC341B}"/>
            </c:ext>
          </c:extLst>
        </c:ser>
        <c:ser>
          <c:idx val="4"/>
          <c:order val="4"/>
          <c:tx>
            <c:strRef>
              <c:f>TOTAL!$U$11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TOTAL!$V$6:$Y$6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TOTAL!$V$11:$Y$11</c:f>
              <c:numCache>
                <c:formatCode>_-* #,##0_-;\-* #,##0_-;_-* "-"??_-;_-@_-</c:formatCode>
                <c:ptCount val="4"/>
                <c:pt idx="0">
                  <c:v>890571</c:v>
                </c:pt>
                <c:pt idx="1">
                  <c:v>900134</c:v>
                </c:pt>
                <c:pt idx="2">
                  <c:v>865508</c:v>
                </c:pt>
                <c:pt idx="3">
                  <c:v>920397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85-4CCE-9DF6-16D051AC341B}"/>
            </c:ext>
          </c:extLst>
        </c:ser>
        <c:ser>
          <c:idx val="5"/>
          <c:order val="5"/>
          <c:tx>
            <c:strRef>
              <c:f>TOTAL!$U$12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TOTAL!$V$6:$Y$6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TOTAL!$V$12:$Y$12</c:f>
              <c:numCache>
                <c:formatCode>_-* #,##0_-;\-* #,##0_-;_-* "-"??_-;_-@_-</c:formatCode>
                <c:ptCount val="4"/>
                <c:pt idx="0">
                  <c:v>929248</c:v>
                </c:pt>
                <c:pt idx="1">
                  <c:v>912398</c:v>
                </c:pt>
                <c:pt idx="2">
                  <c:v>916242</c:v>
                </c:pt>
                <c:pt idx="3">
                  <c:v>950094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85-4CCE-9DF6-16D051AC341B}"/>
            </c:ext>
          </c:extLst>
        </c:ser>
        <c:ser>
          <c:idx val="6"/>
          <c:order val="6"/>
          <c:tx>
            <c:strRef>
              <c:f>TOTAL!$U$13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TOTAL!$V$6:$Y$6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TOTAL!$V$13:$Y$13</c:f>
              <c:numCache>
                <c:formatCode>_-* #,##0_-;\-* #,##0_-;_-* "-"??_-;_-@_-</c:formatCode>
                <c:ptCount val="4"/>
                <c:pt idx="0">
                  <c:v>930529</c:v>
                </c:pt>
                <c:pt idx="1">
                  <c:v>960085</c:v>
                </c:pt>
                <c:pt idx="2">
                  <c:v>884179</c:v>
                </c:pt>
                <c:pt idx="3">
                  <c:v>922671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85-4CCE-9DF6-16D051AC341B}"/>
            </c:ext>
          </c:extLst>
        </c:ser>
        <c:ser>
          <c:idx val="7"/>
          <c:order val="7"/>
          <c:tx>
            <c:strRef>
              <c:f>TOTAL!$U$14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TOTAL!$V$6:$Y$6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TOTAL!$V$14:$Y$14</c:f>
              <c:numCache>
                <c:formatCode>_-* #,##0_-;\-* #,##0_-;_-* "-"??_-;_-@_-</c:formatCode>
                <c:ptCount val="4"/>
                <c:pt idx="0">
                  <c:v>898937</c:v>
                </c:pt>
                <c:pt idx="1">
                  <c:v>935533</c:v>
                </c:pt>
                <c:pt idx="2">
                  <c:v>862065</c:v>
                </c:pt>
                <c:pt idx="3">
                  <c:v>913855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4-48A8-9F8C-420FD80EC524}"/>
            </c:ext>
          </c:extLst>
        </c:ser>
        <c:ser>
          <c:idx val="8"/>
          <c:order val="8"/>
          <c:tx>
            <c:strRef>
              <c:f>TOTAL!$U$15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strRef>
              <c:f>TOTAL!$V$6:$Y$6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TOTAL!$V$15:$Y$15</c:f>
              <c:numCache>
                <c:formatCode>_-* #,##0_-;\-* #,##0_-;_-* "-"??_-;_-@_-</c:formatCode>
                <c:ptCount val="4"/>
                <c:pt idx="0">
                  <c:v>894012</c:v>
                </c:pt>
                <c:pt idx="1">
                  <c:v>905164</c:v>
                </c:pt>
                <c:pt idx="2">
                  <c:v>788079</c:v>
                </c:pt>
                <c:pt idx="3">
                  <c:v>794361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D-4AF6-A419-11F32B8D5A8B}"/>
            </c:ext>
          </c:extLst>
        </c:ser>
        <c:ser>
          <c:idx val="9"/>
          <c:order val="9"/>
          <c:tx>
            <c:strRef>
              <c:f>TOTAL!$U$16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TOTAL!$V$6:$Y$6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TOTAL!$V$16:$Y$16</c:f>
              <c:numCache>
                <c:formatCode>_-* #,##0_-;\-* #,##0_-;_-* "-"??_-;_-@_-</c:formatCode>
                <c:ptCount val="4"/>
                <c:pt idx="0">
                  <c:v>824574</c:v>
                </c:pt>
                <c:pt idx="1">
                  <c:v>878999</c:v>
                </c:pt>
                <c:pt idx="2">
                  <c:v>856388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B-42CB-9C90-1912ED65D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TOTAL!$U$7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TOTAL!$V$6:$Y$6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TOTAL!$V$7:$Y$7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822589</c:v>
                      </c:pt>
                      <c:pt idx="1">
                        <c:v>822589</c:v>
                      </c:pt>
                      <c:pt idx="2">
                        <c:v>798014</c:v>
                      </c:pt>
                      <c:pt idx="3">
                        <c:v>850839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085-4CCE-9DF6-16D051AC341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TOTAL!$U$8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TOTAL!$V$6:$Y$6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TOTAL!$V$8:$Y$8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850107</c:v>
                      </c:pt>
                      <c:pt idx="1">
                        <c:v>855759</c:v>
                      </c:pt>
                      <c:pt idx="2">
                        <c:v>837530</c:v>
                      </c:pt>
                      <c:pt idx="3">
                        <c:v>874536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085-4CCE-9DF6-16D051AC341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TOTAL!$U$9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TOTAL!$V$6:$Y$6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TOTAL!$V$9:$Y$9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881322</c:v>
                      </c:pt>
                      <c:pt idx="1">
                        <c:v>890013</c:v>
                      </c:pt>
                      <c:pt idx="2">
                        <c:v>882822</c:v>
                      </c:pt>
                      <c:pt idx="3">
                        <c:v>910769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85-4CCE-9DF6-16D051AC341B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7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TOTAL!$U$7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TOTAL!$AJ$7:$AM$7</c:f>
              <c:numCache>
                <c:formatCode>_-* #,##0_-;\-* #,##0_-;_-* "-"??_-;_-@_-</c:formatCode>
                <c:ptCount val="4"/>
                <c:pt idx="0">
                  <c:v>822589</c:v>
                </c:pt>
                <c:pt idx="1">
                  <c:v>1645178</c:v>
                </c:pt>
                <c:pt idx="2">
                  <c:v>2443192</c:v>
                </c:pt>
                <c:pt idx="3">
                  <c:v>3294031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9-46F9-8D3B-1C81091FB10E}"/>
            </c:ext>
          </c:extLst>
        </c:ser>
        <c:ser>
          <c:idx val="1"/>
          <c:order val="1"/>
          <c:tx>
            <c:strRef>
              <c:f>TOTAL!$U$8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TOTAL!$AJ$8:$AM$8</c:f>
              <c:numCache>
                <c:formatCode>_-* #,##0_-;\-* #,##0_-;_-* "-"??_-;_-@_-</c:formatCode>
                <c:ptCount val="4"/>
                <c:pt idx="0">
                  <c:v>850107</c:v>
                </c:pt>
                <c:pt idx="1">
                  <c:v>1705866</c:v>
                </c:pt>
                <c:pt idx="2">
                  <c:v>2543396</c:v>
                </c:pt>
                <c:pt idx="3">
                  <c:v>3417932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9-46F9-8D3B-1C81091FB10E}"/>
            </c:ext>
          </c:extLst>
        </c:ser>
        <c:ser>
          <c:idx val="2"/>
          <c:order val="2"/>
          <c:tx>
            <c:strRef>
              <c:f>TOTAL!$U$9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TOTAL!$AJ$9:$AM$9</c:f>
              <c:numCache>
                <c:formatCode>_-* #,##0_-;\-* #,##0_-;_-* "-"??_-;_-@_-</c:formatCode>
                <c:ptCount val="4"/>
                <c:pt idx="0">
                  <c:v>881322</c:v>
                </c:pt>
                <c:pt idx="1">
                  <c:v>1771335</c:v>
                </c:pt>
                <c:pt idx="2">
                  <c:v>2654157</c:v>
                </c:pt>
                <c:pt idx="3">
                  <c:v>3564926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9-46F9-8D3B-1C81091FB10E}"/>
            </c:ext>
          </c:extLst>
        </c:ser>
        <c:ser>
          <c:idx val="3"/>
          <c:order val="3"/>
          <c:tx>
            <c:strRef>
              <c:f>TOTAL!$U$10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TOTAL!$AJ$10:$AM$10</c:f>
              <c:numCache>
                <c:formatCode>_-* #,##0_-;\-* #,##0_-;_-* "-"??_-;_-@_-</c:formatCode>
                <c:ptCount val="4"/>
                <c:pt idx="0">
                  <c:v>894393</c:v>
                </c:pt>
                <c:pt idx="1">
                  <c:v>1786258</c:v>
                </c:pt>
                <c:pt idx="2">
                  <c:v>2598859</c:v>
                </c:pt>
                <c:pt idx="3">
                  <c:v>3459762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F9-46F9-8D3B-1C81091FB10E}"/>
            </c:ext>
          </c:extLst>
        </c:ser>
        <c:ser>
          <c:idx val="4"/>
          <c:order val="4"/>
          <c:tx>
            <c:strRef>
              <c:f>TOTAL!$U$11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TOTAL!$AJ$11:$AM$11</c:f>
              <c:numCache>
                <c:formatCode>_-* #,##0_-;\-* #,##0_-;_-* "-"??_-;_-@_-</c:formatCode>
                <c:ptCount val="4"/>
                <c:pt idx="0">
                  <c:v>890571</c:v>
                </c:pt>
                <c:pt idx="1">
                  <c:v>1790705</c:v>
                </c:pt>
                <c:pt idx="2">
                  <c:v>2656213</c:v>
                </c:pt>
                <c:pt idx="3">
                  <c:v>3576610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F9-46F9-8D3B-1C81091FB10E}"/>
            </c:ext>
          </c:extLst>
        </c:ser>
        <c:ser>
          <c:idx val="5"/>
          <c:order val="5"/>
          <c:tx>
            <c:strRef>
              <c:f>TOTAL!$U$12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TOTAL!$AJ$12:$AM$12</c:f>
              <c:numCache>
                <c:formatCode>_-* #,##0_-;\-* #,##0_-;_-* "-"??_-;_-@_-</c:formatCode>
                <c:ptCount val="4"/>
                <c:pt idx="0">
                  <c:v>929248</c:v>
                </c:pt>
                <c:pt idx="1">
                  <c:v>1841646</c:v>
                </c:pt>
                <c:pt idx="2">
                  <c:v>2757888</c:v>
                </c:pt>
                <c:pt idx="3">
                  <c:v>3707982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F9-46F9-8D3B-1C81091FB10E}"/>
            </c:ext>
          </c:extLst>
        </c:ser>
        <c:ser>
          <c:idx val="6"/>
          <c:order val="6"/>
          <c:tx>
            <c:strRef>
              <c:f>TOTAL!$U$13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TOTAL!$AJ$13:$AM$13</c:f>
              <c:numCache>
                <c:formatCode>_-* #,##0_-;\-* #,##0_-;_-* "-"??_-;_-@_-</c:formatCode>
                <c:ptCount val="4"/>
                <c:pt idx="0">
                  <c:v>930529</c:v>
                </c:pt>
                <c:pt idx="1">
                  <c:v>1890614</c:v>
                </c:pt>
                <c:pt idx="2">
                  <c:v>2774793</c:v>
                </c:pt>
                <c:pt idx="3">
                  <c:v>3697464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F9-46F9-8D3B-1C81091FB10E}"/>
            </c:ext>
          </c:extLst>
        </c:ser>
        <c:ser>
          <c:idx val="7"/>
          <c:order val="7"/>
          <c:tx>
            <c:strRef>
              <c:f>TOTAL!$U$14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TOTAL!$AJ$14:$AM$14</c:f>
              <c:numCache>
                <c:formatCode>_-* #,##0_-;\-* #,##0_-;_-* "-"??_-;_-@_-</c:formatCode>
                <c:ptCount val="4"/>
                <c:pt idx="0">
                  <c:v>898937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8-4376-B037-0BDBBCB150B2}"/>
            </c:ext>
          </c:extLst>
        </c:ser>
        <c:ser>
          <c:idx val="8"/>
          <c:order val="8"/>
          <c:tx>
            <c:strRef>
              <c:f>TOTAL!$U$15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TOTAL!$AJ$6:$AM$6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TOTAL!$AJ$15:$AM$15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8-4376-B037-0BDBBCB15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TOTAL!$AE$6</c:f>
          <c:strCache>
            <c:ptCount val="1"/>
            <c:pt idx="0">
              <c:v>YTD (Q1 to Q3)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TOTAL!$AE$6</c:f>
              <c:strCache>
                <c:ptCount val="1"/>
                <c:pt idx="0">
                  <c:v>YTD (Q1 to Q3)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TOTAL!$AD$7:$AD$16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TOTAL!$AE$7:$AE$16</c:f>
              <c:numCache>
                <c:formatCode>_-* #,##0_-;\-* #,##0_-;_-* "-"??_-;_-@_-</c:formatCode>
                <c:ptCount val="10"/>
                <c:pt idx="0">
                  <c:v>2443192</c:v>
                </c:pt>
                <c:pt idx="1">
                  <c:v>2543396</c:v>
                </c:pt>
                <c:pt idx="2">
                  <c:v>2654157</c:v>
                </c:pt>
                <c:pt idx="3">
                  <c:v>2598859</c:v>
                </c:pt>
                <c:pt idx="4">
                  <c:v>2656213</c:v>
                </c:pt>
                <c:pt idx="5">
                  <c:v>2757888</c:v>
                </c:pt>
                <c:pt idx="6">
                  <c:v>2774793</c:v>
                </c:pt>
                <c:pt idx="7">
                  <c:v>2696535</c:v>
                </c:pt>
                <c:pt idx="8">
                  <c:v>2587255</c:v>
                </c:pt>
                <c:pt idx="9">
                  <c:v>2559961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0-4F53-896D-37480E0CD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TOTAL!$AF$6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TOTAL!$AD$7:$AD$16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TOTAL!$AF$7:$AF$16</c:f>
              <c:numCache>
                <c:formatCode>0.0%</c:formatCode>
                <c:ptCount val="10"/>
                <c:pt idx="1">
                  <c:v>4.10135593109342E-2</c:v>
                </c:pt>
                <c:pt idx="2">
                  <c:v>4.3548468268409746E-2</c:v>
                </c:pt>
                <c:pt idx="3">
                  <c:v>-2.0834487183689632E-2</c:v>
                </c:pt>
                <c:pt idx="4">
                  <c:v>2.206891562797364E-2</c:v>
                </c:pt>
                <c:pt idx="5">
                  <c:v>3.8278180251357874E-2</c:v>
                </c:pt>
                <c:pt idx="6">
                  <c:v>6.1296905458090301E-3</c:v>
                </c:pt>
                <c:pt idx="7">
                  <c:v>-2.8203184886223975E-2</c:v>
                </c:pt>
                <c:pt idx="8">
                  <c:v>-4.0526082546675668E-2</c:v>
                </c:pt>
                <c:pt idx="9">
                  <c:v>-1.0549404677930863E-2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0-4F53-896D-37480E0CD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TOTAL!$AH$25</c:f>
          <c:strCache>
            <c:ptCount val="1"/>
            <c:pt idx="0">
              <c:v>All Reported Grind : ECA + CAA + NCA + IVC (Gepex)  + BR  Q3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TOTAL!$AF$23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TOTAL!$AE$25:$AE$33</c:f>
              <c:strCache>
                <c:ptCount val="9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TOTAL!$AF$25:$AF$33</c:f>
              <c:numCache>
                <c:formatCode>_-* #,##0_-;\-* #,##0_-;_-* "-"??_-;_-@_-</c:formatCode>
                <c:ptCount val="9"/>
                <c:pt idx="0">
                  <c:v>837530</c:v>
                </c:pt>
                <c:pt idx="1">
                  <c:v>882822</c:v>
                </c:pt>
                <c:pt idx="2">
                  <c:v>812601</c:v>
                </c:pt>
                <c:pt idx="3">
                  <c:v>865508</c:v>
                </c:pt>
                <c:pt idx="4">
                  <c:v>916242</c:v>
                </c:pt>
                <c:pt idx="5">
                  <c:v>884179</c:v>
                </c:pt>
                <c:pt idx="6">
                  <c:v>862065</c:v>
                </c:pt>
                <c:pt idx="7">
                  <c:v>788079</c:v>
                </c:pt>
                <c:pt idx="8">
                  <c:v>856388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A-4766-865E-B6AB07323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TOTAL!$A$1</c:f>
          <c:strCache>
            <c:ptCount val="1"/>
            <c:pt idx="0">
              <c:v>All Reported Grind : ECA + CAA + NCA + IVC (Gepex)  + BR 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TOTAL!$D$6</c:f>
              <c:strCache>
                <c:ptCount val="1"/>
                <c:pt idx="0">
                  <c:v>ECA</c:v>
                </c:pt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cat>
            <c:strRef>
              <c:f>TOTAL!$B$7:$B$45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TOTAL!$D$7:$D$45</c:f>
              <c:numCache>
                <c:formatCode>_-* #,##0_-;\-* #,##0_-;_-* "-"??_-;_-@_-</c:formatCode>
                <c:ptCount val="39"/>
                <c:pt idx="0">
                  <c:v>339741</c:v>
                </c:pt>
                <c:pt idx="1">
                  <c:v>339741</c:v>
                </c:pt>
                <c:pt idx="2">
                  <c:v>331970</c:v>
                </c:pt>
                <c:pt idx="3">
                  <c:v>353544</c:v>
                </c:pt>
                <c:pt idx="4">
                  <c:v>353286</c:v>
                </c:pt>
                <c:pt idx="5">
                  <c:v>358432</c:v>
                </c:pt>
                <c:pt idx="6">
                  <c:v>356109</c:v>
                </c:pt>
                <c:pt idx="7">
                  <c:v>363122</c:v>
                </c:pt>
                <c:pt idx="8">
                  <c:v>359103</c:v>
                </c:pt>
                <c:pt idx="9">
                  <c:v>370359</c:v>
                </c:pt>
                <c:pt idx="10">
                  <c:v>344890</c:v>
                </c:pt>
                <c:pt idx="11">
                  <c:v>362940</c:v>
                </c:pt>
                <c:pt idx="12">
                  <c:v>355201</c:v>
                </c:pt>
                <c:pt idx="13">
                  <c:v>368934</c:v>
                </c:pt>
                <c:pt idx="14">
                  <c:v>314108</c:v>
                </c:pt>
                <c:pt idx="15">
                  <c:v>345730</c:v>
                </c:pt>
                <c:pt idx="16">
                  <c:v>344151</c:v>
                </c:pt>
                <c:pt idx="17">
                  <c:v>357815</c:v>
                </c:pt>
                <c:pt idx="18">
                  <c:v>356854</c:v>
                </c:pt>
                <c:pt idx="19">
                  <c:v>375811</c:v>
                </c:pt>
                <c:pt idx="20">
                  <c:v>365826</c:v>
                </c:pt>
                <c:pt idx="21">
                  <c:v>373498</c:v>
                </c:pt>
                <c:pt idx="22">
                  <c:v>364081</c:v>
                </c:pt>
                <c:pt idx="23">
                  <c:v>369679</c:v>
                </c:pt>
                <c:pt idx="24">
                  <c:v>359577</c:v>
                </c:pt>
                <c:pt idx="25">
                  <c:v>375375</c:v>
                </c:pt>
                <c:pt idx="26">
                  <c:v>343283</c:v>
                </c:pt>
                <c:pt idx="27">
                  <c:v>366298</c:v>
                </c:pt>
                <c:pt idx="28">
                  <c:v>350739</c:v>
                </c:pt>
                <c:pt idx="29">
                  <c:v>367287</c:v>
                </c:pt>
                <c:pt idx="30">
                  <c:v>357502</c:v>
                </c:pt>
                <c:pt idx="31">
                  <c:v>354334</c:v>
                </c:pt>
                <c:pt idx="32">
                  <c:v>331853</c:v>
                </c:pt>
                <c:pt idx="33">
                  <c:v>353522</c:v>
                </c:pt>
                <c:pt idx="34">
                  <c:v>331762</c:v>
                </c:pt>
                <c:pt idx="35">
                  <c:v>337353</c:v>
                </c:pt>
                <c:pt idx="36">
                  <c:v>304470</c:v>
                </c:pt>
                <c:pt idx="37">
                  <c:v>325895</c:v>
                </c:pt>
                <c:pt idx="38">
                  <c:v>316366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E81-401F-BD86-60DBF8898FB6}"/>
            </c:ext>
          </c:extLst>
        </c:ser>
        <c:ser>
          <c:idx val="1"/>
          <c:order val="1"/>
          <c:tx>
            <c:strRef>
              <c:f>TOTAL!$E$6</c:f>
              <c:strCache>
                <c:ptCount val="1"/>
                <c:pt idx="0">
                  <c:v>CAA</c:v>
                </c:pt>
              </c:strCache>
            </c:strRef>
          </c:tx>
          <c:spPr>
            <a:solidFill>
              <a:srgbClr val="660033"/>
            </a:solidFill>
            <a:ln>
              <a:noFill/>
            </a:ln>
            <a:effectLst/>
          </c:spPr>
          <c:cat>
            <c:strRef>
              <c:f>TOTAL!$B$7:$B$45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TOTAL!$E$7:$E$45</c:f>
              <c:numCache>
                <c:formatCode>_-* #,##0_-;\-* #,##0_-;_-* "-"??_-;_-@_-</c:formatCode>
                <c:ptCount val="39"/>
                <c:pt idx="0">
                  <c:v>177450</c:v>
                </c:pt>
                <c:pt idx="1">
                  <c:v>177450</c:v>
                </c:pt>
                <c:pt idx="2">
                  <c:v>160878</c:v>
                </c:pt>
                <c:pt idx="3">
                  <c:v>189407</c:v>
                </c:pt>
                <c:pt idx="4">
                  <c:v>196476</c:v>
                </c:pt>
                <c:pt idx="5">
                  <c:v>190244</c:v>
                </c:pt>
                <c:pt idx="6">
                  <c:v>185394</c:v>
                </c:pt>
                <c:pt idx="7">
                  <c:v>196418</c:v>
                </c:pt>
                <c:pt idx="8">
                  <c:v>208900</c:v>
                </c:pt>
                <c:pt idx="9">
                  <c:v>208388</c:v>
                </c:pt>
                <c:pt idx="10">
                  <c:v>215574</c:v>
                </c:pt>
                <c:pt idx="11">
                  <c:v>225356</c:v>
                </c:pt>
                <c:pt idx="12">
                  <c:v>227013</c:v>
                </c:pt>
                <c:pt idx="13">
                  <c:v>207356</c:v>
                </c:pt>
                <c:pt idx="14">
                  <c:v>202674</c:v>
                </c:pt>
                <c:pt idx="15">
                  <c:v>202665</c:v>
                </c:pt>
                <c:pt idx="16">
                  <c:v>217546</c:v>
                </c:pt>
                <c:pt idx="17">
                  <c:v>213858</c:v>
                </c:pt>
                <c:pt idx="18">
                  <c:v>220865</c:v>
                </c:pt>
                <c:pt idx="19">
                  <c:v>210970</c:v>
                </c:pt>
                <c:pt idx="20">
                  <c:v>231309</c:v>
                </c:pt>
                <c:pt idx="21">
                  <c:v>213313</c:v>
                </c:pt>
                <c:pt idx="22">
                  <c:v>228895</c:v>
                </c:pt>
                <c:pt idx="23">
                  <c:v>231080</c:v>
                </c:pt>
                <c:pt idx="24">
                  <c:v>230806</c:v>
                </c:pt>
                <c:pt idx="25">
                  <c:v>222028</c:v>
                </c:pt>
                <c:pt idx="26">
                  <c:v>213977</c:v>
                </c:pt>
                <c:pt idx="27">
                  <c:v>211468</c:v>
                </c:pt>
                <c:pt idx="28">
                  <c:v>211202</c:v>
                </c:pt>
                <c:pt idx="29">
                  <c:v>225562</c:v>
                </c:pt>
                <c:pt idx="30">
                  <c:v>215528</c:v>
                </c:pt>
                <c:pt idx="31">
                  <c:v>221205</c:v>
                </c:pt>
                <c:pt idx="32">
                  <c:v>214505</c:v>
                </c:pt>
                <c:pt idx="33">
                  <c:v>217459</c:v>
                </c:pt>
                <c:pt idx="34">
                  <c:v>182118</c:v>
                </c:pt>
                <c:pt idx="35">
                  <c:v>183413</c:v>
                </c:pt>
                <c:pt idx="36">
                  <c:v>197022</c:v>
                </c:pt>
                <c:pt idx="37">
                  <c:v>223503</c:v>
                </c:pt>
                <c:pt idx="38">
                  <c:v>224646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1-401F-BD86-60DBF8898FB6}"/>
            </c:ext>
          </c:extLst>
        </c:ser>
        <c:ser>
          <c:idx val="2"/>
          <c:order val="2"/>
          <c:tx>
            <c:strRef>
              <c:f>TOTAL!$F$6</c:f>
              <c:strCache>
                <c:ptCount val="1"/>
                <c:pt idx="0">
                  <c:v>NCA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strRef>
              <c:f>TOTAL!$B$7:$B$45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TOTAL!$F$7:$F$45</c:f>
              <c:numCache>
                <c:formatCode>_-* #,##0_-;\-* #,##0_-;_-* "-"??_-;_-@_-</c:formatCode>
                <c:ptCount val="39"/>
                <c:pt idx="0">
                  <c:v>120152</c:v>
                </c:pt>
                <c:pt idx="1">
                  <c:v>120152</c:v>
                </c:pt>
                <c:pt idx="2">
                  <c:v>123125</c:v>
                </c:pt>
                <c:pt idx="3">
                  <c:v>125323</c:v>
                </c:pt>
                <c:pt idx="4">
                  <c:v>116080</c:v>
                </c:pt>
                <c:pt idx="5">
                  <c:v>118778</c:v>
                </c:pt>
                <c:pt idx="6">
                  <c:v>119301</c:v>
                </c:pt>
                <c:pt idx="7">
                  <c:v>128494</c:v>
                </c:pt>
                <c:pt idx="8">
                  <c:v>117222</c:v>
                </c:pt>
                <c:pt idx="9">
                  <c:v>121801</c:v>
                </c:pt>
                <c:pt idx="10">
                  <c:v>124050</c:v>
                </c:pt>
                <c:pt idx="11">
                  <c:v>123208</c:v>
                </c:pt>
                <c:pt idx="12">
                  <c:v>110371</c:v>
                </c:pt>
                <c:pt idx="13">
                  <c:v>115591</c:v>
                </c:pt>
                <c:pt idx="14">
                  <c:v>110776</c:v>
                </c:pt>
                <c:pt idx="15">
                  <c:v>118260</c:v>
                </c:pt>
                <c:pt idx="16">
                  <c:v>118043</c:v>
                </c:pt>
                <c:pt idx="17">
                  <c:v>117956</c:v>
                </c:pt>
                <c:pt idx="18">
                  <c:v>123719</c:v>
                </c:pt>
                <c:pt idx="19">
                  <c:v>123399</c:v>
                </c:pt>
                <c:pt idx="20">
                  <c:v>116641</c:v>
                </c:pt>
                <c:pt idx="21">
                  <c:v>114694</c:v>
                </c:pt>
                <c:pt idx="22">
                  <c:v>115899</c:v>
                </c:pt>
                <c:pt idx="23">
                  <c:v>119244</c:v>
                </c:pt>
                <c:pt idx="24">
                  <c:v>107130</c:v>
                </c:pt>
                <c:pt idx="25">
                  <c:v>109666</c:v>
                </c:pt>
                <c:pt idx="26">
                  <c:v>102493</c:v>
                </c:pt>
                <c:pt idx="27">
                  <c:v>97881</c:v>
                </c:pt>
                <c:pt idx="28">
                  <c:v>103971</c:v>
                </c:pt>
                <c:pt idx="29">
                  <c:v>113683</c:v>
                </c:pt>
                <c:pt idx="30">
                  <c:v>104781</c:v>
                </c:pt>
                <c:pt idx="31">
                  <c:v>109264</c:v>
                </c:pt>
                <c:pt idx="32">
                  <c:v>102761</c:v>
                </c:pt>
                <c:pt idx="33">
                  <c:v>110278</c:v>
                </c:pt>
                <c:pt idx="34">
                  <c:v>101865</c:v>
                </c:pt>
                <c:pt idx="35">
                  <c:v>112784</c:v>
                </c:pt>
                <c:pt idx="36">
                  <c:v>103117</c:v>
                </c:pt>
                <c:pt idx="37">
                  <c:v>106087</c:v>
                </c:pt>
                <c:pt idx="38">
                  <c:v>109659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1-401F-BD86-60DBF8898FB6}"/>
            </c:ext>
          </c:extLst>
        </c:ser>
        <c:ser>
          <c:idx val="3"/>
          <c:order val="3"/>
          <c:tx>
            <c:strRef>
              <c:f>TOTAL!$G$6</c:f>
              <c:strCache>
                <c:ptCount val="1"/>
                <c:pt idx="0">
                  <c:v>IVC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TOTAL!$B$7:$B$45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TOTAL!$G$7:$G$45</c:f>
              <c:numCache>
                <c:formatCode>_-* #,##0_-;\-* #,##0_-;_-* "-"??_-;_-@_-</c:formatCode>
                <c:ptCount val="39"/>
                <c:pt idx="0">
                  <c:v>127000</c:v>
                </c:pt>
                <c:pt idx="1">
                  <c:v>127000</c:v>
                </c:pt>
                <c:pt idx="2">
                  <c:v>127000</c:v>
                </c:pt>
                <c:pt idx="3">
                  <c:v>128000</c:v>
                </c:pt>
                <c:pt idx="4">
                  <c:v>124000</c:v>
                </c:pt>
                <c:pt idx="5">
                  <c:v>130000</c:v>
                </c:pt>
                <c:pt idx="6">
                  <c:v>125000</c:v>
                </c:pt>
                <c:pt idx="7">
                  <c:v>126347</c:v>
                </c:pt>
                <c:pt idx="8">
                  <c:v>135510</c:v>
                </c:pt>
                <c:pt idx="9">
                  <c:v>133000</c:v>
                </c:pt>
                <c:pt idx="10">
                  <c:v>139000</c:v>
                </c:pt>
                <c:pt idx="11">
                  <c:v>140473</c:v>
                </c:pt>
                <c:pt idx="12">
                  <c:v>144314</c:v>
                </c:pt>
                <c:pt idx="13">
                  <c:v>139821</c:v>
                </c:pt>
                <c:pt idx="14">
                  <c:v>139559</c:v>
                </c:pt>
                <c:pt idx="15">
                  <c:v>135954</c:v>
                </c:pt>
                <c:pt idx="16">
                  <c:v>150241</c:v>
                </c:pt>
                <c:pt idx="17">
                  <c:v>150593</c:v>
                </c:pt>
                <c:pt idx="18">
                  <c:v>109471</c:v>
                </c:pt>
                <c:pt idx="19">
                  <c:v>154121</c:v>
                </c:pt>
                <c:pt idx="20">
                  <c:v>158272</c:v>
                </c:pt>
                <c:pt idx="21">
                  <c:v>155454</c:v>
                </c:pt>
                <c:pt idx="22">
                  <c:v>156723</c:v>
                </c:pt>
                <c:pt idx="23">
                  <c:v>171000</c:v>
                </c:pt>
                <c:pt idx="24">
                  <c:v>172357</c:v>
                </c:pt>
                <c:pt idx="25">
                  <c:v>189000</c:v>
                </c:pt>
                <c:pt idx="26">
                  <c:v>162000</c:v>
                </c:pt>
                <c:pt idx="27">
                  <c:v>183000</c:v>
                </c:pt>
                <c:pt idx="28">
                  <c:v>170000</c:v>
                </c:pt>
                <c:pt idx="29">
                  <c:v>169059</c:v>
                </c:pt>
                <c:pt idx="30">
                  <c:v>129819</c:v>
                </c:pt>
                <c:pt idx="31">
                  <c:v>173684</c:v>
                </c:pt>
                <c:pt idx="32">
                  <c:v>182325</c:v>
                </c:pt>
                <c:pt idx="33">
                  <c:v>169163</c:v>
                </c:pt>
                <c:pt idx="34">
                  <c:v>124277</c:v>
                </c:pt>
                <c:pt idx="35">
                  <c:v>112341</c:v>
                </c:pt>
                <c:pt idx="36">
                  <c:v>165558</c:v>
                </c:pt>
                <c:pt idx="37">
                  <c:v>169213</c:v>
                </c:pt>
                <c:pt idx="38">
                  <c:v>153520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81-401F-BD86-60DBF8898FB6}"/>
            </c:ext>
          </c:extLst>
        </c:ser>
        <c:ser>
          <c:idx val="4"/>
          <c:order val="4"/>
          <c:tx>
            <c:strRef>
              <c:f>TOTAL!$H$6</c:f>
              <c:strCache>
                <c:ptCount val="1"/>
                <c:pt idx="0">
                  <c:v>BR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TOTAL!$B$7:$B$45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TOTAL!$H$7:$H$45</c:f>
              <c:numCache>
                <c:formatCode>_-* #,##0_-;\-* #,##0_-;_-* "-"??_-;_-@_-</c:formatCode>
                <c:ptCount val="39"/>
                <c:pt idx="0">
                  <c:v>58246</c:v>
                </c:pt>
                <c:pt idx="1">
                  <c:v>58246</c:v>
                </c:pt>
                <c:pt idx="2">
                  <c:v>55041</c:v>
                </c:pt>
                <c:pt idx="3">
                  <c:v>54565</c:v>
                </c:pt>
                <c:pt idx="4">
                  <c:v>60265</c:v>
                </c:pt>
                <c:pt idx="5">
                  <c:v>58305</c:v>
                </c:pt>
                <c:pt idx="6">
                  <c:v>51726</c:v>
                </c:pt>
                <c:pt idx="7">
                  <c:v>60155</c:v>
                </c:pt>
                <c:pt idx="8">
                  <c:v>60587</c:v>
                </c:pt>
                <c:pt idx="9">
                  <c:v>56465</c:v>
                </c:pt>
                <c:pt idx="10">
                  <c:v>59308</c:v>
                </c:pt>
                <c:pt idx="11">
                  <c:v>58792</c:v>
                </c:pt>
                <c:pt idx="12">
                  <c:v>57494</c:v>
                </c:pt>
                <c:pt idx="13">
                  <c:v>60163</c:v>
                </c:pt>
                <c:pt idx="14">
                  <c:v>45484</c:v>
                </c:pt>
                <c:pt idx="15">
                  <c:v>58294</c:v>
                </c:pt>
                <c:pt idx="16">
                  <c:v>60590</c:v>
                </c:pt>
                <c:pt idx="17">
                  <c:v>59912</c:v>
                </c:pt>
                <c:pt idx="18">
                  <c:v>54599</c:v>
                </c:pt>
                <c:pt idx="19">
                  <c:v>56096</c:v>
                </c:pt>
                <c:pt idx="20">
                  <c:v>57200</c:v>
                </c:pt>
                <c:pt idx="21">
                  <c:v>55439</c:v>
                </c:pt>
                <c:pt idx="22">
                  <c:v>50644</c:v>
                </c:pt>
                <c:pt idx="23">
                  <c:v>59091</c:v>
                </c:pt>
                <c:pt idx="24">
                  <c:v>60659</c:v>
                </c:pt>
                <c:pt idx="25">
                  <c:v>64016</c:v>
                </c:pt>
                <c:pt idx="26">
                  <c:v>62426</c:v>
                </c:pt>
                <c:pt idx="27">
                  <c:v>64024</c:v>
                </c:pt>
                <c:pt idx="28">
                  <c:v>63025</c:v>
                </c:pt>
                <c:pt idx="29">
                  <c:v>59942</c:v>
                </c:pt>
                <c:pt idx="30">
                  <c:v>54435</c:v>
                </c:pt>
                <c:pt idx="31">
                  <c:v>55368</c:v>
                </c:pt>
                <c:pt idx="32">
                  <c:v>62568</c:v>
                </c:pt>
                <c:pt idx="33">
                  <c:v>54742</c:v>
                </c:pt>
                <c:pt idx="34">
                  <c:v>48057</c:v>
                </c:pt>
                <c:pt idx="35">
                  <c:v>48470</c:v>
                </c:pt>
                <c:pt idx="36">
                  <c:v>54407</c:v>
                </c:pt>
                <c:pt idx="37">
                  <c:v>54301</c:v>
                </c:pt>
                <c:pt idx="38">
                  <c:v>52197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81-401F-BD86-60DBF8898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85039"/>
        <c:axId val="1237162576"/>
        <c:extLst/>
      </c:areaChart>
      <c:catAx>
        <c:axId val="21098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62576"/>
        <c:crosses val="autoZero"/>
        <c:auto val="1"/>
        <c:lblAlgn val="ctr"/>
        <c:lblOffset val="100"/>
        <c:noMultiLvlLbl val="0"/>
      </c:catAx>
      <c:valAx>
        <c:axId val="12371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5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</a:t>
            </a:r>
            <a:r>
              <a:rPr lang="en-US" baseline="0"/>
              <a:t> Grind</a:t>
            </a: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23-4F8D-9AA9-812460CA679C}"/>
              </c:ext>
            </c:extLst>
          </c:dPt>
          <c:dPt>
            <c:idx val="1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23-4F8D-9AA9-812460CA67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23-4F8D-9AA9-812460CA67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23-4F8D-9AA9-812460CA679C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23-4F8D-9AA9-812460CA679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TOTAL!$N$49:$R$49</c:f>
              <c:strCache>
                <c:ptCount val="5"/>
                <c:pt idx="0">
                  <c:v>ECA</c:v>
                </c:pt>
                <c:pt idx="1">
                  <c:v>CAA</c:v>
                </c:pt>
                <c:pt idx="2">
                  <c:v>NCA</c:v>
                </c:pt>
                <c:pt idx="3">
                  <c:v>IVC</c:v>
                </c:pt>
                <c:pt idx="4">
                  <c:v>BR</c:v>
                </c:pt>
              </c:strCache>
            </c:strRef>
          </c:cat>
          <c:val>
            <c:numRef>
              <c:f>TOTAL!$N$50:$R$50</c:f>
              <c:numCache>
                <c:formatCode>_-* #,##0_-;\-* #,##0_-;_-* "-"??_-;_-@_-</c:formatCode>
                <c:ptCount val="5"/>
                <c:pt idx="0">
                  <c:v>352926.48648648651</c:v>
                </c:pt>
                <c:pt idx="1">
                  <c:v>207723.56756756757</c:v>
                </c:pt>
                <c:pt idx="2">
                  <c:v>114647.37837837837</c:v>
                </c:pt>
                <c:pt idx="3">
                  <c:v>146768.54054054053</c:v>
                </c:pt>
                <c:pt idx="4">
                  <c:v>57266.108108108107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0-4DB8-8722-A2A037929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>
                    <a:lumMod val="95000"/>
                  </a:schemeClr>
                </a:solidFill>
              </a:rPr>
              <a:t>Visible</a:t>
            </a:r>
            <a:r>
              <a:rPr lang="en-US" sz="2000" baseline="0">
                <a:solidFill>
                  <a:schemeClr val="bg1">
                    <a:lumMod val="95000"/>
                  </a:schemeClr>
                </a:solidFill>
              </a:rPr>
              <a:t> Grind (ECA + NCA + CAA + IVC Gepex + BR) and  World Grind </a:t>
            </a:r>
            <a:endParaRPr lang="en-US" sz="2000">
              <a:solidFill>
                <a:schemeClr val="bg1">
                  <a:lumMod val="95000"/>
                </a:schemeClr>
              </a:solidFill>
            </a:endParaRPr>
          </a:p>
        </c:rich>
      </c:tx>
      <c:layout>
        <c:manualLayout>
          <c:xMode val="edge"/>
          <c:yMode val="edge"/>
          <c:x val="0.17620980106421108"/>
          <c:y val="2.2703819291900056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TOTAL!$I$137</c:f>
              <c:strCache>
                <c:ptCount val="1"/>
                <c:pt idx="0">
                  <c:v>Non Visible Grind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TOTAL!$F$138:$F$145</c:f>
              <c:strCache>
                <c:ptCount val="8"/>
                <c:pt idx="0">
                  <c:v>Q1 | 23/24</c:v>
                </c:pt>
                <c:pt idx="1">
                  <c:v>Q2 | 23/24</c:v>
                </c:pt>
                <c:pt idx="2">
                  <c:v>Q3 | 23/24</c:v>
                </c:pt>
                <c:pt idx="3">
                  <c:v>Q4 | 23/24</c:v>
                </c:pt>
                <c:pt idx="4">
                  <c:v>Q1 | 24/25</c:v>
                </c:pt>
                <c:pt idx="5">
                  <c:v>Q2 | 24/25</c:v>
                </c:pt>
                <c:pt idx="6">
                  <c:v>Q3 | 24/25</c:v>
                </c:pt>
                <c:pt idx="7">
                  <c:v>Q4 | 24/25</c:v>
                </c:pt>
              </c:strCache>
            </c:strRef>
          </c:cat>
          <c:val>
            <c:numRef>
              <c:f>TOTAL!$I$138:$I$145</c:f>
              <c:numCache>
                <c:formatCode>#,##0</c:formatCode>
                <c:ptCount val="8"/>
                <c:pt idx="0">
                  <c:v>234682</c:v>
                </c:pt>
                <c:pt idx="1">
                  <c:v>257431</c:v>
                </c:pt>
                <c:pt idx="2">
                  <c:v>290279</c:v>
                </c:pt>
                <c:pt idx="3">
                  <c:v>229641</c:v>
                </c:pt>
                <c:pt idx="4">
                  <c:v>241255</c:v>
                </c:pt>
                <c:pt idx="5">
                  <c:v>299660</c:v>
                </c:pt>
                <c:pt idx="6">
                  <c:v>328365</c:v>
                </c:pt>
                <c:pt idx="7">
                  <c:v>223088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A-4495-95DE-B61AD633B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74255"/>
        <c:axId val="453270127"/>
      </c:barChart>
      <c:lineChart>
        <c:grouping val="standard"/>
        <c:varyColors val="0"/>
        <c:ser>
          <c:idx val="0"/>
          <c:order val="0"/>
          <c:tx>
            <c:strRef>
              <c:f>TOTAL!$G$137</c:f>
              <c:strCache>
                <c:ptCount val="1"/>
                <c:pt idx="0">
                  <c:v>Visible Grind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TOTAL!$F$138:$F$145</c:f>
              <c:strCache>
                <c:ptCount val="8"/>
                <c:pt idx="0">
                  <c:v>Q1 | 23/24</c:v>
                </c:pt>
                <c:pt idx="1">
                  <c:v>Q2 | 23/24</c:v>
                </c:pt>
                <c:pt idx="2">
                  <c:v>Q3 | 23/24</c:v>
                </c:pt>
                <c:pt idx="3">
                  <c:v>Q4 | 23/24</c:v>
                </c:pt>
                <c:pt idx="4">
                  <c:v>Q1 | 24/25</c:v>
                </c:pt>
                <c:pt idx="5">
                  <c:v>Q2 | 24/25</c:v>
                </c:pt>
                <c:pt idx="6">
                  <c:v>Q3 | 24/25</c:v>
                </c:pt>
                <c:pt idx="7">
                  <c:v>Q4 | 24/25</c:v>
                </c:pt>
              </c:strCache>
            </c:strRef>
          </c:cat>
          <c:val>
            <c:numRef>
              <c:f>TOTAL!$G$138:$G$145</c:f>
              <c:numCache>
                <c:formatCode>#,##0</c:formatCode>
                <c:ptCount val="8"/>
                <c:pt idx="0">
                  <c:v>898937</c:v>
                </c:pt>
                <c:pt idx="1">
                  <c:v>931501</c:v>
                </c:pt>
                <c:pt idx="2">
                  <c:v>857505</c:v>
                </c:pt>
                <c:pt idx="3">
                  <c:v>909648</c:v>
                </c:pt>
                <c:pt idx="4">
                  <c:v>886639</c:v>
                </c:pt>
                <c:pt idx="5">
                  <c:v>898996</c:v>
                </c:pt>
                <c:pt idx="6">
                  <c:v>775695</c:v>
                </c:pt>
                <c:pt idx="7">
                  <c:v>796661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A-4495-95DE-B61AD633B608}"/>
            </c:ext>
          </c:extLst>
        </c:ser>
        <c:ser>
          <c:idx val="1"/>
          <c:order val="1"/>
          <c:tx>
            <c:strRef>
              <c:f>TOTAL!$H$137</c:f>
              <c:strCache>
                <c:ptCount val="1"/>
                <c:pt idx="0">
                  <c:v>Global Grind (CCS)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TOTAL!$F$138:$F$145</c:f>
              <c:strCache>
                <c:ptCount val="8"/>
                <c:pt idx="0">
                  <c:v>Q1 | 23/24</c:v>
                </c:pt>
                <c:pt idx="1">
                  <c:v>Q2 | 23/24</c:v>
                </c:pt>
                <c:pt idx="2">
                  <c:v>Q3 | 23/24</c:v>
                </c:pt>
                <c:pt idx="3">
                  <c:v>Q4 | 23/24</c:v>
                </c:pt>
                <c:pt idx="4">
                  <c:v>Q1 | 24/25</c:v>
                </c:pt>
                <c:pt idx="5">
                  <c:v>Q2 | 24/25</c:v>
                </c:pt>
                <c:pt idx="6">
                  <c:v>Q3 | 24/25</c:v>
                </c:pt>
                <c:pt idx="7">
                  <c:v>Q4 | 24/25</c:v>
                </c:pt>
              </c:strCache>
            </c:strRef>
          </c:cat>
          <c:val>
            <c:numRef>
              <c:f>TOTAL!$H$138:$H$145</c:f>
              <c:numCache>
                <c:formatCode>#,##0</c:formatCode>
                <c:ptCount val="8"/>
                <c:pt idx="0">
                  <c:v>1133619</c:v>
                </c:pt>
                <c:pt idx="1">
                  <c:v>1188932</c:v>
                </c:pt>
                <c:pt idx="2">
                  <c:v>1147784</c:v>
                </c:pt>
                <c:pt idx="3">
                  <c:v>1139289</c:v>
                </c:pt>
                <c:pt idx="4">
                  <c:v>1127894</c:v>
                </c:pt>
                <c:pt idx="5">
                  <c:v>1198656</c:v>
                </c:pt>
                <c:pt idx="6">
                  <c:v>1104060</c:v>
                </c:pt>
                <c:pt idx="7">
                  <c:v>1019749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A-4495-95DE-B61AD633B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74255"/>
        <c:axId val="453270127"/>
      </c:lineChart>
      <c:catAx>
        <c:axId val="4817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270127"/>
        <c:crosses val="autoZero"/>
        <c:auto val="1"/>
        <c:lblAlgn val="ctr"/>
        <c:lblOffset val="100"/>
        <c:noMultiLvlLbl val="0"/>
      </c:catAx>
      <c:valAx>
        <c:axId val="45327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TOTAL!$I$6</c:f>
              <c:strCache>
                <c:ptCount val="1"/>
                <c:pt idx="0">
                  <c:v>CAA / ECA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TOTAL!$B$7:$B$45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TOTAL!$I$7:$I$45</c:f>
              <c:numCache>
                <c:formatCode>0%</c:formatCode>
                <c:ptCount val="39"/>
                <c:pt idx="0">
                  <c:v>0.52230964175651451</c:v>
                </c:pt>
                <c:pt idx="1">
                  <c:v>0.52230964175651451</c:v>
                </c:pt>
                <c:pt idx="2">
                  <c:v>0.48461607976624393</c:v>
                </c:pt>
                <c:pt idx="3">
                  <c:v>0.53573812594754822</c:v>
                </c:pt>
                <c:pt idx="4">
                  <c:v>0.55613865253647188</c:v>
                </c:pt>
                <c:pt idx="5">
                  <c:v>0.53076734220158917</c:v>
                </c:pt>
                <c:pt idx="6">
                  <c:v>0.52061026258814014</c:v>
                </c:pt>
                <c:pt idx="7">
                  <c:v>0.54091462373527355</c:v>
                </c:pt>
                <c:pt idx="8">
                  <c:v>0.58172724817113752</c:v>
                </c:pt>
                <c:pt idx="9">
                  <c:v>0.562664873811626</c:v>
                </c:pt>
                <c:pt idx="10">
                  <c:v>0.62505146568471104</c:v>
                </c:pt>
                <c:pt idx="11">
                  <c:v>0.62091805808122558</c:v>
                </c:pt>
                <c:pt idx="12">
                  <c:v>0.63911137637562954</c:v>
                </c:pt>
                <c:pt idx="13">
                  <c:v>0.56204090704570464</c:v>
                </c:pt>
                <c:pt idx="14">
                  <c:v>0.64523667018987096</c:v>
                </c:pt>
                <c:pt idx="15">
                  <c:v>0.58619442917883902</c:v>
                </c:pt>
                <c:pt idx="16">
                  <c:v>0.63212368989193701</c:v>
                </c:pt>
                <c:pt idx="17">
                  <c:v>0.59767757081173234</c:v>
                </c:pt>
                <c:pt idx="18">
                  <c:v>0.61892258458641347</c:v>
                </c:pt>
                <c:pt idx="19">
                  <c:v>0.56137260484658513</c:v>
                </c:pt>
                <c:pt idx="20">
                  <c:v>0.63229240130553865</c:v>
                </c:pt>
                <c:pt idx="21">
                  <c:v>0.57112220145757142</c:v>
                </c:pt>
                <c:pt idx="22">
                  <c:v>0.62869251622578493</c:v>
                </c:pt>
                <c:pt idx="23">
                  <c:v>0.6250828421414254</c:v>
                </c:pt>
                <c:pt idx="24">
                  <c:v>0.64188198911498784</c:v>
                </c:pt>
                <c:pt idx="25">
                  <c:v>0.59148318348318352</c:v>
                </c:pt>
                <c:pt idx="26">
                  <c:v>0.62332536129083005</c:v>
                </c:pt>
                <c:pt idx="27">
                  <c:v>0.57731136943144656</c:v>
                </c:pt>
                <c:pt idx="28">
                  <c:v>0.60216286184313694</c:v>
                </c:pt>
                <c:pt idx="29">
                  <c:v>0.61413009444929989</c:v>
                </c:pt>
                <c:pt idx="30">
                  <c:v>0.60287215176418596</c:v>
                </c:pt>
                <c:pt idx="31">
                  <c:v>0.6242838677631839</c:v>
                </c:pt>
                <c:pt idx="32">
                  <c:v>0.64638559844268395</c:v>
                </c:pt>
                <c:pt idx="33">
                  <c:v>0.61512154830533883</c:v>
                </c:pt>
                <c:pt idx="34">
                  <c:v>0.54894171122672275</c:v>
                </c:pt>
                <c:pt idx="35">
                  <c:v>0.54368272995941935</c:v>
                </c:pt>
                <c:pt idx="36">
                  <c:v>0.64709823627943641</c:v>
                </c:pt>
                <c:pt idx="37">
                  <c:v>0.68581291520274934</c:v>
                </c:pt>
                <c:pt idx="38">
                  <c:v>0.71008262581946224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55-4BA2-B594-4215761D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08512"/>
        <c:axId val="52608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TOTAL!$C$6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TOTAL!$B$7:$B$45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TOTAL!$C$7:$C$45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9"/>
                      <c:pt idx="0">
                        <c:v>822589</c:v>
                      </c:pt>
                      <c:pt idx="1">
                        <c:v>822589</c:v>
                      </c:pt>
                      <c:pt idx="2">
                        <c:v>798014</c:v>
                      </c:pt>
                      <c:pt idx="3">
                        <c:v>850839</c:v>
                      </c:pt>
                      <c:pt idx="4">
                        <c:v>850107</c:v>
                      </c:pt>
                      <c:pt idx="5">
                        <c:v>855759</c:v>
                      </c:pt>
                      <c:pt idx="6">
                        <c:v>837530</c:v>
                      </c:pt>
                      <c:pt idx="7">
                        <c:v>874536</c:v>
                      </c:pt>
                      <c:pt idx="8">
                        <c:v>881322</c:v>
                      </c:pt>
                      <c:pt idx="9">
                        <c:v>890013</c:v>
                      </c:pt>
                      <c:pt idx="10">
                        <c:v>882822</c:v>
                      </c:pt>
                      <c:pt idx="11">
                        <c:v>910769</c:v>
                      </c:pt>
                      <c:pt idx="12">
                        <c:v>894393</c:v>
                      </c:pt>
                      <c:pt idx="13">
                        <c:v>891865</c:v>
                      </c:pt>
                      <c:pt idx="14">
                        <c:v>812601</c:v>
                      </c:pt>
                      <c:pt idx="15">
                        <c:v>860903</c:v>
                      </c:pt>
                      <c:pt idx="16">
                        <c:v>890571</c:v>
                      </c:pt>
                      <c:pt idx="17">
                        <c:v>900134</c:v>
                      </c:pt>
                      <c:pt idx="18">
                        <c:v>865508</c:v>
                      </c:pt>
                      <c:pt idx="19">
                        <c:v>920397</c:v>
                      </c:pt>
                      <c:pt idx="20">
                        <c:v>929248</c:v>
                      </c:pt>
                      <c:pt idx="21">
                        <c:v>912398</c:v>
                      </c:pt>
                      <c:pt idx="22">
                        <c:v>916242</c:v>
                      </c:pt>
                      <c:pt idx="23">
                        <c:v>950094</c:v>
                      </c:pt>
                      <c:pt idx="24">
                        <c:v>930529</c:v>
                      </c:pt>
                      <c:pt idx="25">
                        <c:v>960085</c:v>
                      </c:pt>
                      <c:pt idx="26">
                        <c:v>884179</c:v>
                      </c:pt>
                      <c:pt idx="27">
                        <c:v>922671</c:v>
                      </c:pt>
                      <c:pt idx="28">
                        <c:v>898937</c:v>
                      </c:pt>
                      <c:pt idx="29">
                        <c:v>935533</c:v>
                      </c:pt>
                      <c:pt idx="30">
                        <c:v>862065</c:v>
                      </c:pt>
                      <c:pt idx="31">
                        <c:v>913855</c:v>
                      </c:pt>
                      <c:pt idx="32">
                        <c:v>894012</c:v>
                      </c:pt>
                      <c:pt idx="33">
                        <c:v>905164</c:v>
                      </c:pt>
                      <c:pt idx="34">
                        <c:v>788079</c:v>
                      </c:pt>
                      <c:pt idx="35">
                        <c:v>794361</c:v>
                      </c:pt>
                      <c:pt idx="36">
                        <c:v>824574</c:v>
                      </c:pt>
                      <c:pt idx="37">
                        <c:v>878999</c:v>
                      </c:pt>
                      <c:pt idx="38">
                        <c:v>856388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E55-4BA2-B594-4215761D06A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TOTAL!$D$6</c15:sqref>
                        </c15:formulaRef>
                      </c:ext>
                    </c:extLst>
                    <c:strCache>
                      <c:ptCount val="1"/>
                      <c:pt idx="0">
                        <c:v>ECA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TOTAL!$B$7:$B$45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TOTAL!$D$7:$D$45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9"/>
                      <c:pt idx="0">
                        <c:v>339741</c:v>
                      </c:pt>
                      <c:pt idx="1">
                        <c:v>339741</c:v>
                      </c:pt>
                      <c:pt idx="2">
                        <c:v>331970</c:v>
                      </c:pt>
                      <c:pt idx="3">
                        <c:v>353544</c:v>
                      </c:pt>
                      <c:pt idx="4">
                        <c:v>353286</c:v>
                      </c:pt>
                      <c:pt idx="5">
                        <c:v>358432</c:v>
                      </c:pt>
                      <c:pt idx="6">
                        <c:v>356109</c:v>
                      </c:pt>
                      <c:pt idx="7">
                        <c:v>363122</c:v>
                      </c:pt>
                      <c:pt idx="8">
                        <c:v>359103</c:v>
                      </c:pt>
                      <c:pt idx="9">
                        <c:v>370359</c:v>
                      </c:pt>
                      <c:pt idx="10">
                        <c:v>344890</c:v>
                      </c:pt>
                      <c:pt idx="11">
                        <c:v>362940</c:v>
                      </c:pt>
                      <c:pt idx="12">
                        <c:v>355201</c:v>
                      </c:pt>
                      <c:pt idx="13">
                        <c:v>368934</c:v>
                      </c:pt>
                      <c:pt idx="14">
                        <c:v>314108</c:v>
                      </c:pt>
                      <c:pt idx="15">
                        <c:v>345730</c:v>
                      </c:pt>
                      <c:pt idx="16">
                        <c:v>344151</c:v>
                      </c:pt>
                      <c:pt idx="17">
                        <c:v>357815</c:v>
                      </c:pt>
                      <c:pt idx="18">
                        <c:v>356854</c:v>
                      </c:pt>
                      <c:pt idx="19">
                        <c:v>375811</c:v>
                      </c:pt>
                      <c:pt idx="20">
                        <c:v>365826</c:v>
                      </c:pt>
                      <c:pt idx="21">
                        <c:v>373498</c:v>
                      </c:pt>
                      <c:pt idx="22">
                        <c:v>364081</c:v>
                      </c:pt>
                      <c:pt idx="23">
                        <c:v>369679</c:v>
                      </c:pt>
                      <c:pt idx="24">
                        <c:v>359577</c:v>
                      </c:pt>
                      <c:pt idx="25">
                        <c:v>375375</c:v>
                      </c:pt>
                      <c:pt idx="26">
                        <c:v>343283</c:v>
                      </c:pt>
                      <c:pt idx="27">
                        <c:v>366298</c:v>
                      </c:pt>
                      <c:pt idx="28">
                        <c:v>350739</c:v>
                      </c:pt>
                      <c:pt idx="29">
                        <c:v>367287</c:v>
                      </c:pt>
                      <c:pt idx="30">
                        <c:v>357502</c:v>
                      </c:pt>
                      <c:pt idx="31">
                        <c:v>354334</c:v>
                      </c:pt>
                      <c:pt idx="32">
                        <c:v>331853</c:v>
                      </c:pt>
                      <c:pt idx="33">
                        <c:v>353522</c:v>
                      </c:pt>
                      <c:pt idx="34">
                        <c:v>331762</c:v>
                      </c:pt>
                      <c:pt idx="35">
                        <c:v>337353</c:v>
                      </c:pt>
                      <c:pt idx="36">
                        <c:v>304470</c:v>
                      </c:pt>
                      <c:pt idx="37">
                        <c:v>325895</c:v>
                      </c:pt>
                      <c:pt idx="38">
                        <c:v>316366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55-4BA2-B594-4215761D06A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TOTAL!$E$6</c15:sqref>
                        </c15:formulaRef>
                      </c:ext>
                    </c:extLst>
                    <c:strCache>
                      <c:ptCount val="1"/>
                      <c:pt idx="0">
                        <c:v>CAA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TOTAL!$B$7:$B$45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TOTAL!$E$7:$E$45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9"/>
                      <c:pt idx="0">
                        <c:v>177450</c:v>
                      </c:pt>
                      <c:pt idx="1">
                        <c:v>177450</c:v>
                      </c:pt>
                      <c:pt idx="2">
                        <c:v>160878</c:v>
                      </c:pt>
                      <c:pt idx="3">
                        <c:v>189407</c:v>
                      </c:pt>
                      <c:pt idx="4">
                        <c:v>196476</c:v>
                      </c:pt>
                      <c:pt idx="5">
                        <c:v>190244</c:v>
                      </c:pt>
                      <c:pt idx="6">
                        <c:v>185394</c:v>
                      </c:pt>
                      <c:pt idx="7">
                        <c:v>196418</c:v>
                      </c:pt>
                      <c:pt idx="8">
                        <c:v>208900</c:v>
                      </c:pt>
                      <c:pt idx="9">
                        <c:v>208388</c:v>
                      </c:pt>
                      <c:pt idx="10">
                        <c:v>215574</c:v>
                      </c:pt>
                      <c:pt idx="11">
                        <c:v>225356</c:v>
                      </c:pt>
                      <c:pt idx="12">
                        <c:v>227013</c:v>
                      </c:pt>
                      <c:pt idx="13">
                        <c:v>207356</c:v>
                      </c:pt>
                      <c:pt idx="14">
                        <c:v>202674</c:v>
                      </c:pt>
                      <c:pt idx="15">
                        <c:v>202665</c:v>
                      </c:pt>
                      <c:pt idx="16">
                        <c:v>217546</c:v>
                      </c:pt>
                      <c:pt idx="17">
                        <c:v>213858</c:v>
                      </c:pt>
                      <c:pt idx="18">
                        <c:v>220865</c:v>
                      </c:pt>
                      <c:pt idx="19">
                        <c:v>210970</c:v>
                      </c:pt>
                      <c:pt idx="20">
                        <c:v>231309</c:v>
                      </c:pt>
                      <c:pt idx="21">
                        <c:v>213313</c:v>
                      </c:pt>
                      <c:pt idx="22">
                        <c:v>228895</c:v>
                      </c:pt>
                      <c:pt idx="23">
                        <c:v>231080</c:v>
                      </c:pt>
                      <c:pt idx="24">
                        <c:v>230806</c:v>
                      </c:pt>
                      <c:pt idx="25">
                        <c:v>222028</c:v>
                      </c:pt>
                      <c:pt idx="26">
                        <c:v>213977</c:v>
                      </c:pt>
                      <c:pt idx="27">
                        <c:v>211468</c:v>
                      </c:pt>
                      <c:pt idx="28">
                        <c:v>211202</c:v>
                      </c:pt>
                      <c:pt idx="29">
                        <c:v>225562</c:v>
                      </c:pt>
                      <c:pt idx="30">
                        <c:v>215528</c:v>
                      </c:pt>
                      <c:pt idx="31">
                        <c:v>221205</c:v>
                      </c:pt>
                      <c:pt idx="32">
                        <c:v>214505</c:v>
                      </c:pt>
                      <c:pt idx="33">
                        <c:v>217459</c:v>
                      </c:pt>
                      <c:pt idx="34">
                        <c:v>182118</c:v>
                      </c:pt>
                      <c:pt idx="35">
                        <c:v>183413</c:v>
                      </c:pt>
                      <c:pt idx="36">
                        <c:v>197022</c:v>
                      </c:pt>
                      <c:pt idx="37">
                        <c:v>223503</c:v>
                      </c:pt>
                      <c:pt idx="38">
                        <c:v>224646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E55-4BA2-B594-4215761D06A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TOTAL!$F$6</c15:sqref>
                        </c15:formulaRef>
                      </c:ext>
                    </c:extLst>
                    <c:strCache>
                      <c:ptCount val="1"/>
                      <c:pt idx="0">
                        <c:v>NCA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TOTAL!$B$7:$B$45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TOTAL!$F$7:$F$45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9"/>
                      <c:pt idx="0">
                        <c:v>120152</c:v>
                      </c:pt>
                      <c:pt idx="1">
                        <c:v>120152</c:v>
                      </c:pt>
                      <c:pt idx="2">
                        <c:v>123125</c:v>
                      </c:pt>
                      <c:pt idx="3">
                        <c:v>125323</c:v>
                      </c:pt>
                      <c:pt idx="4">
                        <c:v>116080</c:v>
                      </c:pt>
                      <c:pt idx="5">
                        <c:v>118778</c:v>
                      </c:pt>
                      <c:pt idx="6">
                        <c:v>119301</c:v>
                      </c:pt>
                      <c:pt idx="7">
                        <c:v>128494</c:v>
                      </c:pt>
                      <c:pt idx="8">
                        <c:v>117222</c:v>
                      </c:pt>
                      <c:pt idx="9">
                        <c:v>121801</c:v>
                      </c:pt>
                      <c:pt idx="10">
                        <c:v>124050</c:v>
                      </c:pt>
                      <c:pt idx="11">
                        <c:v>123208</c:v>
                      </c:pt>
                      <c:pt idx="12">
                        <c:v>110371</c:v>
                      </c:pt>
                      <c:pt idx="13">
                        <c:v>115591</c:v>
                      </c:pt>
                      <c:pt idx="14">
                        <c:v>110776</c:v>
                      </c:pt>
                      <c:pt idx="15">
                        <c:v>118260</c:v>
                      </c:pt>
                      <c:pt idx="16">
                        <c:v>118043</c:v>
                      </c:pt>
                      <c:pt idx="17">
                        <c:v>117956</c:v>
                      </c:pt>
                      <c:pt idx="18">
                        <c:v>123719</c:v>
                      </c:pt>
                      <c:pt idx="19">
                        <c:v>123399</c:v>
                      </c:pt>
                      <c:pt idx="20">
                        <c:v>116641</c:v>
                      </c:pt>
                      <c:pt idx="21">
                        <c:v>114694</c:v>
                      </c:pt>
                      <c:pt idx="22">
                        <c:v>115899</c:v>
                      </c:pt>
                      <c:pt idx="23">
                        <c:v>119244</c:v>
                      </c:pt>
                      <c:pt idx="24">
                        <c:v>107130</c:v>
                      </c:pt>
                      <c:pt idx="25">
                        <c:v>109666</c:v>
                      </c:pt>
                      <c:pt idx="26">
                        <c:v>102493</c:v>
                      </c:pt>
                      <c:pt idx="27">
                        <c:v>97881</c:v>
                      </c:pt>
                      <c:pt idx="28">
                        <c:v>103971</c:v>
                      </c:pt>
                      <c:pt idx="29">
                        <c:v>113683</c:v>
                      </c:pt>
                      <c:pt idx="30">
                        <c:v>104781</c:v>
                      </c:pt>
                      <c:pt idx="31">
                        <c:v>109264</c:v>
                      </c:pt>
                      <c:pt idx="32">
                        <c:v>102761</c:v>
                      </c:pt>
                      <c:pt idx="33">
                        <c:v>110278</c:v>
                      </c:pt>
                      <c:pt idx="34">
                        <c:v>101865</c:v>
                      </c:pt>
                      <c:pt idx="35">
                        <c:v>112784</c:v>
                      </c:pt>
                      <c:pt idx="36">
                        <c:v>103117</c:v>
                      </c:pt>
                      <c:pt idx="37">
                        <c:v>106087</c:v>
                      </c:pt>
                      <c:pt idx="38">
                        <c:v>109659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55-4BA2-B594-4215761D06A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TOTAL!$G$6</c15:sqref>
                        </c15:formulaRef>
                      </c:ext>
                    </c:extLst>
                    <c:strCache>
                      <c:ptCount val="1"/>
                      <c:pt idx="0">
                        <c:v>IVC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TOTAL!$B$7:$B$45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TOTAL!$G$7:$G$45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9"/>
                      <c:pt idx="0">
                        <c:v>127000</c:v>
                      </c:pt>
                      <c:pt idx="1">
                        <c:v>127000</c:v>
                      </c:pt>
                      <c:pt idx="2">
                        <c:v>127000</c:v>
                      </c:pt>
                      <c:pt idx="3">
                        <c:v>128000</c:v>
                      </c:pt>
                      <c:pt idx="4">
                        <c:v>124000</c:v>
                      </c:pt>
                      <c:pt idx="5">
                        <c:v>130000</c:v>
                      </c:pt>
                      <c:pt idx="6">
                        <c:v>125000</c:v>
                      </c:pt>
                      <c:pt idx="7">
                        <c:v>126347</c:v>
                      </c:pt>
                      <c:pt idx="8">
                        <c:v>135510</c:v>
                      </c:pt>
                      <c:pt idx="9">
                        <c:v>133000</c:v>
                      </c:pt>
                      <c:pt idx="10">
                        <c:v>139000</c:v>
                      </c:pt>
                      <c:pt idx="11">
                        <c:v>140473</c:v>
                      </c:pt>
                      <c:pt idx="12">
                        <c:v>144314</c:v>
                      </c:pt>
                      <c:pt idx="13">
                        <c:v>139821</c:v>
                      </c:pt>
                      <c:pt idx="14">
                        <c:v>139559</c:v>
                      </c:pt>
                      <c:pt idx="15">
                        <c:v>135954</c:v>
                      </c:pt>
                      <c:pt idx="16">
                        <c:v>150241</c:v>
                      </c:pt>
                      <c:pt idx="17">
                        <c:v>150593</c:v>
                      </c:pt>
                      <c:pt idx="18">
                        <c:v>109471</c:v>
                      </c:pt>
                      <c:pt idx="19">
                        <c:v>154121</c:v>
                      </c:pt>
                      <c:pt idx="20">
                        <c:v>158272</c:v>
                      </c:pt>
                      <c:pt idx="21">
                        <c:v>155454</c:v>
                      </c:pt>
                      <c:pt idx="22">
                        <c:v>156723</c:v>
                      </c:pt>
                      <c:pt idx="23">
                        <c:v>171000</c:v>
                      </c:pt>
                      <c:pt idx="24">
                        <c:v>172357</c:v>
                      </c:pt>
                      <c:pt idx="25">
                        <c:v>189000</c:v>
                      </c:pt>
                      <c:pt idx="26">
                        <c:v>162000</c:v>
                      </c:pt>
                      <c:pt idx="27">
                        <c:v>183000</c:v>
                      </c:pt>
                      <c:pt idx="28">
                        <c:v>170000</c:v>
                      </c:pt>
                      <c:pt idx="29">
                        <c:v>169059</c:v>
                      </c:pt>
                      <c:pt idx="30">
                        <c:v>129819</c:v>
                      </c:pt>
                      <c:pt idx="31">
                        <c:v>173684</c:v>
                      </c:pt>
                      <c:pt idx="32">
                        <c:v>182325</c:v>
                      </c:pt>
                      <c:pt idx="33">
                        <c:v>169163</c:v>
                      </c:pt>
                      <c:pt idx="34">
                        <c:v>124277</c:v>
                      </c:pt>
                      <c:pt idx="35">
                        <c:v>112341</c:v>
                      </c:pt>
                      <c:pt idx="36">
                        <c:v>165558</c:v>
                      </c:pt>
                      <c:pt idx="37">
                        <c:v>169213</c:v>
                      </c:pt>
                      <c:pt idx="38">
                        <c:v>153520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55-4BA2-B594-4215761D06A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TOTAL!$H$6</c15:sqref>
                        </c15:formulaRef>
                      </c:ext>
                    </c:extLst>
                    <c:strCache>
                      <c:ptCount val="1"/>
                      <c:pt idx="0">
                        <c:v>BR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TOTAL!$B$7:$B$45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TOTAL!$H$7:$H$45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9"/>
                      <c:pt idx="0">
                        <c:v>58246</c:v>
                      </c:pt>
                      <c:pt idx="1">
                        <c:v>58246</c:v>
                      </c:pt>
                      <c:pt idx="2">
                        <c:v>55041</c:v>
                      </c:pt>
                      <c:pt idx="3">
                        <c:v>54565</c:v>
                      </c:pt>
                      <c:pt idx="4">
                        <c:v>60265</c:v>
                      </c:pt>
                      <c:pt idx="5">
                        <c:v>58305</c:v>
                      </c:pt>
                      <c:pt idx="6">
                        <c:v>51726</c:v>
                      </c:pt>
                      <c:pt idx="7">
                        <c:v>60155</c:v>
                      </c:pt>
                      <c:pt idx="8">
                        <c:v>60587</c:v>
                      </c:pt>
                      <c:pt idx="9">
                        <c:v>56465</c:v>
                      </c:pt>
                      <c:pt idx="10">
                        <c:v>59308</c:v>
                      </c:pt>
                      <c:pt idx="11">
                        <c:v>58792</c:v>
                      </c:pt>
                      <c:pt idx="12">
                        <c:v>57494</c:v>
                      </c:pt>
                      <c:pt idx="13">
                        <c:v>60163</c:v>
                      </c:pt>
                      <c:pt idx="14">
                        <c:v>45484</c:v>
                      </c:pt>
                      <c:pt idx="15">
                        <c:v>58294</c:v>
                      </c:pt>
                      <c:pt idx="16">
                        <c:v>60590</c:v>
                      </c:pt>
                      <c:pt idx="17">
                        <c:v>59912</c:v>
                      </c:pt>
                      <c:pt idx="18">
                        <c:v>54599</c:v>
                      </c:pt>
                      <c:pt idx="19">
                        <c:v>56096</c:v>
                      </c:pt>
                      <c:pt idx="20">
                        <c:v>57200</c:v>
                      </c:pt>
                      <c:pt idx="21">
                        <c:v>55439</c:v>
                      </c:pt>
                      <c:pt idx="22">
                        <c:v>50644</c:v>
                      </c:pt>
                      <c:pt idx="23">
                        <c:v>59091</c:v>
                      </c:pt>
                      <c:pt idx="24">
                        <c:v>60659</c:v>
                      </c:pt>
                      <c:pt idx="25">
                        <c:v>64016</c:v>
                      </c:pt>
                      <c:pt idx="26">
                        <c:v>62426</c:v>
                      </c:pt>
                      <c:pt idx="27">
                        <c:v>64024</c:v>
                      </c:pt>
                      <c:pt idx="28">
                        <c:v>63025</c:v>
                      </c:pt>
                      <c:pt idx="29">
                        <c:v>59942</c:v>
                      </c:pt>
                      <c:pt idx="30">
                        <c:v>54435</c:v>
                      </c:pt>
                      <c:pt idx="31">
                        <c:v>55368</c:v>
                      </c:pt>
                      <c:pt idx="32">
                        <c:v>62568</c:v>
                      </c:pt>
                      <c:pt idx="33">
                        <c:v>54742</c:v>
                      </c:pt>
                      <c:pt idx="34">
                        <c:v>48057</c:v>
                      </c:pt>
                      <c:pt idx="35">
                        <c:v>48470</c:v>
                      </c:pt>
                      <c:pt idx="36">
                        <c:v>54407</c:v>
                      </c:pt>
                      <c:pt idx="37">
                        <c:v>54301</c:v>
                      </c:pt>
                      <c:pt idx="38">
                        <c:v>52197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E55-4BA2-B594-4215761D06AE}"/>
                  </c:ext>
                </c:extLst>
              </c15:ser>
            </c15:filteredLineSeries>
          </c:ext>
        </c:extLst>
      </c:lineChart>
      <c:catAx>
        <c:axId val="526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8992"/>
        <c:crosses val="autoZero"/>
        <c:auto val="1"/>
        <c:lblAlgn val="ctr"/>
        <c:lblOffset val="100"/>
        <c:noMultiLvlLbl val="0"/>
      </c:catAx>
      <c:valAx>
        <c:axId val="5260899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Proportion of Total Reported</a:t>
            </a:r>
            <a:r>
              <a:rPr lang="en-US" baseline="0">
                <a:solidFill>
                  <a:schemeClr val="bg1"/>
                </a:solidFill>
              </a:rPr>
              <a:t> Grind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6744433205123078"/>
          <c:y val="1.1108023929190866E-2"/>
        </c:manualLayout>
      </c:layout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Proportion!$B$1</c:f>
              <c:strCache>
                <c:ptCount val="1"/>
                <c:pt idx="0">
                  <c:v>ECA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Proportion!$A$2:$A$40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Proportion!$B$2:$B$40</c:f>
              <c:numCache>
                <c:formatCode>0.0%</c:formatCode>
                <c:ptCount val="39"/>
                <c:pt idx="0">
                  <c:v>0.41301427565892568</c:v>
                </c:pt>
                <c:pt idx="1">
                  <c:v>0.41301427565892568</c:v>
                </c:pt>
                <c:pt idx="2">
                  <c:v>0.4159952081041185</c:v>
                </c:pt>
                <c:pt idx="3">
                  <c:v>0.41552397104505084</c:v>
                </c:pt>
                <c:pt idx="4">
                  <c:v>0.4155782742642985</c:v>
                </c:pt>
                <c:pt idx="5">
                  <c:v>0.41884689497860961</c:v>
                </c:pt>
                <c:pt idx="6">
                  <c:v>0.42518954544911824</c:v>
                </c:pt>
                <c:pt idx="7">
                  <c:v>0.41521675494204929</c:v>
                </c:pt>
                <c:pt idx="8">
                  <c:v>0.40745947565135104</c:v>
                </c:pt>
                <c:pt idx="9">
                  <c:v>0.41612762959642163</c:v>
                </c:pt>
                <c:pt idx="10">
                  <c:v>0.39066765440824991</c:v>
                </c:pt>
                <c:pt idx="11">
                  <c:v>0.39849841178169215</c:v>
                </c:pt>
                <c:pt idx="12">
                  <c:v>0.39714197226498865</c:v>
                </c:pt>
                <c:pt idx="13">
                  <c:v>0.41366574537626211</c:v>
                </c:pt>
                <c:pt idx="14">
                  <c:v>0.38654641084615943</c:v>
                </c:pt>
                <c:pt idx="15">
                  <c:v>0.40158995845060363</c:v>
                </c:pt>
                <c:pt idx="16">
                  <c:v>0.38643858827651023</c:v>
                </c:pt>
                <c:pt idx="17">
                  <c:v>0.39751303694783219</c:v>
                </c:pt>
                <c:pt idx="18">
                  <c:v>0.41230583657227893</c:v>
                </c:pt>
                <c:pt idx="19">
                  <c:v>0.40831402101484471</c:v>
                </c:pt>
                <c:pt idx="20">
                  <c:v>0.39367962051034816</c:v>
                </c:pt>
                <c:pt idx="21">
                  <c:v>0.40935863515702575</c:v>
                </c:pt>
                <c:pt idx="22">
                  <c:v>0.39736336033493336</c:v>
                </c:pt>
                <c:pt idx="23">
                  <c:v>0.38909728932084614</c:v>
                </c:pt>
                <c:pt idx="24">
                  <c:v>0.38642213192710811</c:v>
                </c:pt>
                <c:pt idx="25">
                  <c:v>0.39098100689001497</c:v>
                </c:pt>
                <c:pt idx="26">
                  <c:v>0.3882505691720794</c:v>
                </c:pt>
                <c:pt idx="27">
                  <c:v>0.3969974129456762</c:v>
                </c:pt>
                <c:pt idx="28">
                  <c:v>0.39017083510857825</c:v>
                </c:pt>
                <c:pt idx="29">
                  <c:v>0.39259651984483712</c:v>
                </c:pt>
                <c:pt idx="30">
                  <c:v>0.41470422763944714</c:v>
                </c:pt>
                <c:pt idx="31">
                  <c:v>0.38773547225763388</c:v>
                </c:pt>
                <c:pt idx="32">
                  <c:v>0.37119524122718711</c:v>
                </c:pt>
                <c:pt idx="33">
                  <c:v>0.39056126845521916</c:v>
                </c:pt>
                <c:pt idx="34">
                  <c:v>0.42097556209466308</c:v>
                </c:pt>
                <c:pt idx="35">
                  <c:v>0.42468474660765065</c:v>
                </c:pt>
                <c:pt idx="36">
                  <c:v>0.36924521025402207</c:v>
                </c:pt>
                <c:pt idx="37">
                  <c:v>0.37075696331850205</c:v>
                </c:pt>
                <c:pt idx="38">
                  <c:v>0.36941900166746849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B-41AB-9850-BF4853A916E9}"/>
            </c:ext>
          </c:extLst>
        </c:ser>
        <c:ser>
          <c:idx val="1"/>
          <c:order val="1"/>
          <c:tx>
            <c:strRef>
              <c:f>Proportion!$C$1</c:f>
              <c:strCache>
                <c:ptCount val="1"/>
                <c:pt idx="0">
                  <c:v>CAA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Proportion!$A$2:$A$40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Proportion!$C$2:$C$40</c:f>
              <c:numCache>
                <c:formatCode>0.0%</c:formatCode>
                <c:ptCount val="39"/>
                <c:pt idx="0">
                  <c:v>0.21572133835973981</c:v>
                </c:pt>
                <c:pt idx="1">
                  <c:v>0.21572133835973981</c:v>
                </c:pt>
                <c:pt idx="2">
                  <c:v>0.20159796695296073</c:v>
                </c:pt>
                <c:pt idx="3">
                  <c:v>0.22261203353395884</c:v>
                </c:pt>
                <c:pt idx="4">
                  <c:v>0.23111914147277932</c:v>
                </c:pt>
                <c:pt idx="5">
                  <c:v>0.22231025323718476</c:v>
                </c:pt>
                <c:pt idx="6">
                  <c:v>0.22135804090599739</c:v>
                </c:pt>
                <c:pt idx="7">
                  <c:v>0.22459681476805987</c:v>
                </c:pt>
                <c:pt idx="8">
                  <c:v>0.23703027951191505</c:v>
                </c:pt>
                <c:pt idx="9">
                  <c:v>0.23414040019640162</c:v>
                </c:pt>
                <c:pt idx="10">
                  <c:v>0.24418738998348477</c:v>
                </c:pt>
                <c:pt idx="11">
                  <c:v>0.24743485999194087</c:v>
                </c:pt>
                <c:pt idx="12">
                  <c:v>0.25381795251080902</c:v>
                </c:pt>
                <c:pt idx="13">
                  <c:v>0.23249707074501186</c:v>
                </c:pt>
                <c:pt idx="14">
                  <c:v>0.24941391900822174</c:v>
                </c:pt>
                <c:pt idx="15">
                  <c:v>0.23540979645790525</c:v>
                </c:pt>
                <c:pt idx="16">
                  <c:v>0.24427698633797867</c:v>
                </c:pt>
                <c:pt idx="17">
                  <c:v>0.23758462628897475</c:v>
                </c:pt>
                <c:pt idx="18">
                  <c:v>0.2551853940113783</c:v>
                </c:pt>
                <c:pt idx="19">
                  <c:v>0.22921630557248665</c:v>
                </c:pt>
                <c:pt idx="20">
                  <c:v>0.24892063259754124</c:v>
                </c:pt>
                <c:pt idx="21">
                  <c:v>0.23379380489654733</c:v>
                </c:pt>
                <c:pt idx="22">
                  <c:v>0.2498193708649025</c:v>
                </c:pt>
                <c:pt idx="23">
                  <c:v>0.24321803947819901</c:v>
                </c:pt>
                <c:pt idx="24">
                  <c:v>0.24803740667942645</c:v>
                </c:pt>
                <c:pt idx="25">
                  <c:v>0.23125869063676655</c:v>
                </c:pt>
                <c:pt idx="26">
                  <c:v>0.2420064263005568</c:v>
                </c:pt>
                <c:pt idx="27">
                  <c:v>0.22919112012840981</c:v>
                </c:pt>
                <c:pt idx="28">
                  <c:v>0.23494638667670817</c:v>
                </c:pt>
                <c:pt idx="29">
                  <c:v>0.24110533781277624</c:v>
                </c:pt>
                <c:pt idx="30">
                  <c:v>0.25001363006269828</c:v>
                </c:pt>
                <c:pt idx="31">
                  <c:v>0.24205700028998037</c:v>
                </c:pt>
                <c:pt idx="32">
                  <c:v>0.23993525813971178</c:v>
                </c:pt>
                <c:pt idx="33">
                  <c:v>0.24024265216027152</c:v>
                </c:pt>
                <c:pt idx="34">
                  <c:v>0.23109104544087586</c:v>
                </c:pt>
                <c:pt idx="35">
                  <c:v>0.23089376240777179</c:v>
                </c:pt>
                <c:pt idx="36">
                  <c:v>0.23893792431000735</c:v>
                </c:pt>
                <c:pt idx="37">
                  <c:v>0.25426991384518072</c:v>
                </c:pt>
                <c:pt idx="38">
                  <c:v>0.26231801473164035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B-41AB-9850-BF4853A916E9}"/>
            </c:ext>
          </c:extLst>
        </c:ser>
        <c:ser>
          <c:idx val="2"/>
          <c:order val="2"/>
          <c:tx>
            <c:strRef>
              <c:f>Proportion!$D$1</c:f>
              <c:strCache>
                <c:ptCount val="1"/>
                <c:pt idx="0">
                  <c:v>NCA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Proportion!$A$2:$A$40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Proportion!$D$2:$D$40</c:f>
              <c:numCache>
                <c:formatCode>0.0%</c:formatCode>
                <c:ptCount val="39"/>
                <c:pt idx="0">
                  <c:v>0.14606565368610569</c:v>
                </c:pt>
                <c:pt idx="1">
                  <c:v>0.14606565368610569</c:v>
                </c:pt>
                <c:pt idx="2">
                  <c:v>0.15428927312052171</c:v>
                </c:pt>
                <c:pt idx="3">
                  <c:v>0.14729343624351962</c:v>
                </c:pt>
                <c:pt idx="4">
                  <c:v>0.1365475169596298</c:v>
                </c:pt>
                <c:pt idx="5">
                  <c:v>0.13879842338789308</c:v>
                </c:pt>
                <c:pt idx="6">
                  <c:v>0.14244385275751317</c:v>
                </c:pt>
                <c:pt idx="7">
                  <c:v>0.14692819963958031</c:v>
                </c:pt>
                <c:pt idx="8">
                  <c:v>0.13300700538509194</c:v>
                </c:pt>
                <c:pt idx="9">
                  <c:v>0.13685305720253524</c:v>
                </c:pt>
                <c:pt idx="10">
                  <c:v>0.14051530206542201</c:v>
                </c:pt>
                <c:pt idx="11">
                  <c:v>0.13527908833085009</c:v>
                </c:pt>
                <c:pt idx="12">
                  <c:v>0.12340324667120606</c:v>
                </c:pt>
                <c:pt idx="13">
                  <c:v>0.12960593811843721</c:v>
                </c:pt>
                <c:pt idx="14">
                  <c:v>0.13632274634168554</c:v>
                </c:pt>
                <c:pt idx="15">
                  <c:v>0.13736739214522425</c:v>
                </c:pt>
                <c:pt idx="16">
                  <c:v>0.13254754533888932</c:v>
                </c:pt>
                <c:pt idx="17">
                  <c:v>0.13104271141852214</c:v>
                </c:pt>
                <c:pt idx="18">
                  <c:v>0.14294379716883032</c:v>
                </c:pt>
                <c:pt idx="19">
                  <c:v>0.13407149306223293</c:v>
                </c:pt>
                <c:pt idx="20">
                  <c:v>0.12552192740796858</c:v>
                </c:pt>
                <c:pt idx="21">
                  <c:v>0.1257061063264058</c:v>
                </c:pt>
                <c:pt idx="22">
                  <c:v>0.12649387388921268</c:v>
                </c:pt>
                <c:pt idx="23">
                  <c:v>0.12550758135510803</c:v>
                </c:pt>
                <c:pt idx="24">
                  <c:v>0.11512806156498077</c:v>
                </c:pt>
                <c:pt idx="25">
                  <c:v>0.11422530296796637</c:v>
                </c:pt>
                <c:pt idx="26">
                  <c:v>0.11591883543943025</c:v>
                </c:pt>
                <c:pt idx="27">
                  <c:v>0.10608440061517052</c:v>
                </c:pt>
                <c:pt idx="28">
                  <c:v>0.11565994057425603</c:v>
                </c:pt>
                <c:pt idx="29">
                  <c:v>0.12151682516811273</c:v>
                </c:pt>
                <c:pt idx="30">
                  <c:v>0.12154651911398792</c:v>
                </c:pt>
                <c:pt idx="31">
                  <c:v>0.11956382577104682</c:v>
                </c:pt>
                <c:pt idx="32">
                  <c:v>0.1149436472888507</c:v>
                </c:pt>
                <c:pt idx="33">
                  <c:v>0.1218320657913925</c:v>
                </c:pt>
                <c:pt idx="34">
                  <c:v>0.12925734602749217</c:v>
                </c:pt>
                <c:pt idx="35">
                  <c:v>0.14198078707287995</c:v>
                </c:pt>
                <c:pt idx="36">
                  <c:v>0.12505487682124344</c:v>
                </c:pt>
                <c:pt idx="37">
                  <c:v>0.12069069475619426</c:v>
                </c:pt>
                <c:pt idx="38">
                  <c:v>0.12804826784121215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B-41AB-9850-BF4853A916E9}"/>
            </c:ext>
          </c:extLst>
        </c:ser>
        <c:ser>
          <c:idx val="3"/>
          <c:order val="3"/>
          <c:tx>
            <c:strRef>
              <c:f>Proportion!$E$1</c:f>
              <c:strCache>
                <c:ptCount val="1"/>
                <c:pt idx="0">
                  <c:v>IVC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Proportion!$A$2:$A$40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Proportion!$E$2:$E$40</c:f>
              <c:numCache>
                <c:formatCode>0.0%</c:formatCode>
                <c:ptCount val="39"/>
                <c:pt idx="0">
                  <c:v>0.15439058873872613</c:v>
                </c:pt>
                <c:pt idx="1">
                  <c:v>0.15439058873872613</c:v>
                </c:pt>
                <c:pt idx="2">
                  <c:v>0.15914507765527924</c:v>
                </c:pt>
                <c:pt idx="3">
                  <c:v>0.15043974241895353</c:v>
                </c:pt>
                <c:pt idx="4">
                  <c:v>0.14586399123874993</c:v>
                </c:pt>
                <c:pt idx="5">
                  <c:v>0.15191192847518986</c:v>
                </c:pt>
                <c:pt idx="6">
                  <c:v>0.14924838513247288</c:v>
                </c:pt>
                <c:pt idx="7">
                  <c:v>0.14447318349387561</c:v>
                </c:pt>
                <c:pt idx="8">
                  <c:v>0.15375765043877265</c:v>
                </c:pt>
                <c:pt idx="9">
                  <c:v>0.14943601947387286</c:v>
                </c:pt>
                <c:pt idx="10">
                  <c:v>0.15744963310837293</c:v>
                </c:pt>
                <c:pt idx="11">
                  <c:v>0.15423559651239777</c:v>
                </c:pt>
                <c:pt idx="12">
                  <c:v>0.1613541250881883</c:v>
                </c:pt>
                <c:pt idx="13">
                  <c:v>0.15677372696540395</c:v>
                </c:pt>
                <c:pt idx="14">
                  <c:v>0.17174357402956678</c:v>
                </c:pt>
                <c:pt idx="15">
                  <c:v>0.15792023026984456</c:v>
                </c:pt>
                <c:pt idx="16">
                  <c:v>0.16870187778402845</c:v>
                </c:pt>
                <c:pt idx="17">
                  <c:v>0.16730064634821037</c:v>
                </c:pt>
                <c:pt idx="18">
                  <c:v>0.12648178872985577</c:v>
                </c:pt>
                <c:pt idx="19">
                  <c:v>0.16745056752683896</c:v>
                </c:pt>
                <c:pt idx="20">
                  <c:v>0.17032266951341299</c:v>
                </c:pt>
                <c:pt idx="21">
                  <c:v>0.17037959311616202</c:v>
                </c:pt>
                <c:pt idx="22">
                  <c:v>0.17104978815640409</c:v>
                </c:pt>
                <c:pt idx="23">
                  <c:v>0.17998219123581455</c:v>
                </c:pt>
                <c:pt idx="24">
                  <c:v>0.18522474850327073</c:v>
                </c:pt>
                <c:pt idx="25">
                  <c:v>0.19685756990266487</c:v>
                </c:pt>
                <c:pt idx="26">
                  <c:v>0.18322081840894208</c:v>
                </c:pt>
                <c:pt idx="27">
                  <c:v>0.19833721879196375</c:v>
                </c:pt>
                <c:pt idx="28">
                  <c:v>0.18911225147034774</c:v>
                </c:pt>
                <c:pt idx="29">
                  <c:v>0.18070875105421189</c:v>
                </c:pt>
                <c:pt idx="30">
                  <c:v>0.1505907327173705</c:v>
                </c:pt>
                <c:pt idx="31">
                  <c:v>0.19005640938660948</c:v>
                </c:pt>
                <c:pt idx="32">
                  <c:v>0.20394021556757627</c:v>
                </c:pt>
                <c:pt idx="33">
                  <c:v>0.18688657525045185</c:v>
                </c:pt>
                <c:pt idx="34">
                  <c:v>0.15769611929768462</c:v>
                </c:pt>
                <c:pt idx="35">
                  <c:v>0.14142310611925812</c:v>
                </c:pt>
                <c:pt idx="36">
                  <c:v>0.20078003914748707</c:v>
                </c:pt>
                <c:pt idx="37">
                  <c:v>0.19250647611658261</c:v>
                </c:pt>
                <c:pt idx="38">
                  <c:v>0.17926453897065348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AB-41AB-9850-BF4853A916E9}"/>
            </c:ext>
          </c:extLst>
        </c:ser>
        <c:ser>
          <c:idx val="4"/>
          <c:order val="4"/>
          <c:tx>
            <c:strRef>
              <c:f>Proportion!$F$1</c:f>
              <c:strCache>
                <c:ptCount val="1"/>
                <c:pt idx="0">
                  <c:v>BR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Proportion!$A$2:$A$40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Proportion!$F$2:$F$40</c:f>
              <c:numCache>
                <c:formatCode>0.0%</c:formatCode>
                <c:ptCount val="39"/>
                <c:pt idx="0">
                  <c:v>7.0808143556502695E-2</c:v>
                </c:pt>
                <c:pt idx="1">
                  <c:v>7.0808143556502695E-2</c:v>
                </c:pt>
                <c:pt idx="2">
                  <c:v>6.8972474167119879E-2</c:v>
                </c:pt>
                <c:pt idx="3">
                  <c:v>6.4130816758517187E-2</c:v>
                </c:pt>
                <c:pt idx="4">
                  <c:v>7.0891076064542466E-2</c:v>
                </c:pt>
                <c:pt idx="5">
                  <c:v>6.813249992112265E-2</c:v>
                </c:pt>
                <c:pt idx="6">
                  <c:v>6.1760175754898332E-2</c:v>
                </c:pt>
                <c:pt idx="7">
                  <c:v>6.878504715643495E-2</c:v>
                </c:pt>
                <c:pt idx="8">
                  <c:v>6.8745589012869299E-2</c:v>
                </c:pt>
                <c:pt idx="9">
                  <c:v>6.3442893530768651E-2</c:v>
                </c:pt>
                <c:pt idx="10">
                  <c:v>6.7180020434470369E-2</c:v>
                </c:pt>
                <c:pt idx="11">
                  <c:v>6.4552043383119095E-2</c:v>
                </c:pt>
                <c:pt idx="12">
                  <c:v>6.428270346480798E-2</c:v>
                </c:pt>
                <c:pt idx="13">
                  <c:v>6.7457518794884874E-2</c:v>
                </c:pt>
                <c:pt idx="14">
                  <c:v>5.5973349774366507E-2</c:v>
                </c:pt>
                <c:pt idx="15">
                  <c:v>6.7712622676422321E-2</c:v>
                </c:pt>
                <c:pt idx="16">
                  <c:v>6.8035002262593319E-2</c:v>
                </c:pt>
                <c:pt idx="17">
                  <c:v>6.655897899646053E-2</c:v>
                </c:pt>
                <c:pt idx="18">
                  <c:v>6.3083183517656682E-2</c:v>
                </c:pt>
                <c:pt idx="19">
                  <c:v>6.0947612823596772E-2</c:v>
                </c:pt>
                <c:pt idx="20">
                  <c:v>6.1555149970729021E-2</c:v>
                </c:pt>
                <c:pt idx="21">
                  <c:v>6.076186050385906E-2</c:v>
                </c:pt>
                <c:pt idx="22">
                  <c:v>5.5273606754547379E-2</c:v>
                </c:pt>
                <c:pt idx="23">
                  <c:v>6.2194898610032273E-2</c:v>
                </c:pt>
                <c:pt idx="24">
                  <c:v>6.5187651325213938E-2</c:v>
                </c:pt>
                <c:pt idx="25">
                  <c:v>6.6677429602587268E-2</c:v>
                </c:pt>
                <c:pt idx="26">
                  <c:v>7.0603350678991469E-2</c:v>
                </c:pt>
                <c:pt idx="27">
                  <c:v>6.9389847518779718E-2</c:v>
                </c:pt>
                <c:pt idx="28">
                  <c:v>7.0110586170109804E-2</c:v>
                </c:pt>
                <c:pt idx="29">
                  <c:v>6.4072566120062041E-2</c:v>
                </c:pt>
                <c:pt idx="30">
                  <c:v>6.3144890466496142E-2</c:v>
                </c:pt>
                <c:pt idx="31">
                  <c:v>6.0587292294729471E-2</c:v>
                </c:pt>
                <c:pt idx="32">
                  <c:v>6.9985637776674145E-2</c:v>
                </c:pt>
                <c:pt idx="33">
                  <c:v>6.0477438342664974E-2</c:v>
                </c:pt>
                <c:pt idx="34">
                  <c:v>6.0979927139284261E-2</c:v>
                </c:pt>
                <c:pt idx="35">
                  <c:v>6.1017597792439461E-2</c:v>
                </c:pt>
                <c:pt idx="36">
                  <c:v>6.598194946724005E-2</c:v>
                </c:pt>
                <c:pt idx="37">
                  <c:v>6.1775951963540347E-2</c:v>
                </c:pt>
                <c:pt idx="38">
                  <c:v>6.0950176789025534E-2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AB-41AB-9850-BF4853A91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531807"/>
        <c:axId val="2086444784"/>
      </c:lineChart>
      <c:catAx>
        <c:axId val="5045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784"/>
        <c:crosses val="autoZero"/>
        <c:auto val="1"/>
        <c:lblAlgn val="ctr"/>
        <c:lblOffset val="100"/>
        <c:noMultiLvlLbl val="0"/>
      </c:catAx>
      <c:valAx>
        <c:axId val="208644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3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ECA!$A$1</c:f>
          <c:strCache>
            <c:ptCount val="1"/>
            <c:pt idx="0">
              <c:v>ECA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ECA!$B$7:$B$46</c:f>
              <c:strCache>
                <c:ptCount val="40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  <c:pt idx="39">
                  <c:v>Q4 | 25/26</c:v>
                </c:pt>
              </c:strCache>
            </c:strRef>
          </c:cat>
          <c:val>
            <c:numRef>
              <c:f>ECA!$C$7:$C$46</c:f>
              <c:numCache>
                <c:formatCode>_-* #,##0_-;\-* #,##0_-;_-* "-"??_-;_-@_-</c:formatCode>
                <c:ptCount val="40"/>
                <c:pt idx="0">
                  <c:v>339741</c:v>
                </c:pt>
                <c:pt idx="1">
                  <c:v>339741</c:v>
                </c:pt>
                <c:pt idx="2">
                  <c:v>331970</c:v>
                </c:pt>
                <c:pt idx="3">
                  <c:v>353544</c:v>
                </c:pt>
                <c:pt idx="4">
                  <c:v>353286</c:v>
                </c:pt>
                <c:pt idx="5">
                  <c:v>358432</c:v>
                </c:pt>
                <c:pt idx="6">
                  <c:v>356109</c:v>
                </c:pt>
                <c:pt idx="7">
                  <c:v>363122</c:v>
                </c:pt>
                <c:pt idx="8">
                  <c:v>359103</c:v>
                </c:pt>
                <c:pt idx="9">
                  <c:v>370359</c:v>
                </c:pt>
                <c:pt idx="10">
                  <c:v>344890</c:v>
                </c:pt>
                <c:pt idx="11">
                  <c:v>362940</c:v>
                </c:pt>
                <c:pt idx="12">
                  <c:v>355201</c:v>
                </c:pt>
                <c:pt idx="13">
                  <c:v>368934</c:v>
                </c:pt>
                <c:pt idx="14">
                  <c:v>314108</c:v>
                </c:pt>
                <c:pt idx="15">
                  <c:v>345730</c:v>
                </c:pt>
                <c:pt idx="16">
                  <c:v>344151</c:v>
                </c:pt>
                <c:pt idx="17">
                  <c:v>357815</c:v>
                </c:pt>
                <c:pt idx="18">
                  <c:v>356854</c:v>
                </c:pt>
                <c:pt idx="19">
                  <c:v>375811</c:v>
                </c:pt>
                <c:pt idx="20">
                  <c:v>365826</c:v>
                </c:pt>
                <c:pt idx="21">
                  <c:v>373498</c:v>
                </c:pt>
                <c:pt idx="22">
                  <c:v>364081</c:v>
                </c:pt>
                <c:pt idx="23">
                  <c:v>369679</c:v>
                </c:pt>
                <c:pt idx="24">
                  <c:v>359577</c:v>
                </c:pt>
                <c:pt idx="25">
                  <c:v>375375</c:v>
                </c:pt>
                <c:pt idx="26">
                  <c:v>343283</c:v>
                </c:pt>
                <c:pt idx="27">
                  <c:v>366298</c:v>
                </c:pt>
                <c:pt idx="28">
                  <c:v>350739</c:v>
                </c:pt>
                <c:pt idx="29">
                  <c:v>367287</c:v>
                </c:pt>
                <c:pt idx="30">
                  <c:v>357502</c:v>
                </c:pt>
                <c:pt idx="31">
                  <c:v>354334</c:v>
                </c:pt>
                <c:pt idx="32">
                  <c:v>331853</c:v>
                </c:pt>
                <c:pt idx="33">
                  <c:v>353522</c:v>
                </c:pt>
                <c:pt idx="34">
                  <c:v>331762</c:v>
                </c:pt>
                <c:pt idx="35">
                  <c:v>337353</c:v>
                </c:pt>
                <c:pt idx="36">
                  <c:v>304470</c:v>
                </c:pt>
                <c:pt idx="37">
                  <c:v>325895</c:v>
                </c:pt>
                <c:pt idx="38">
                  <c:v>316366</c:v>
                </c:pt>
                <c:pt idx="39">
                  <c:v>348215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9-4634-ACCC-F194FBCFA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  <c:min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4"/>
          <c:order val="4"/>
          <c:tx>
            <c:strRef>
              <c:f>ECA!$P$11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ECA!$Q$6:$T$6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ECA!$Q$11:$T$11</c:f>
              <c:numCache>
                <c:formatCode>_-* #,##0_-;\-* #,##0_-;_-* "-"??_-;_-@_-</c:formatCode>
                <c:ptCount val="4"/>
                <c:pt idx="0">
                  <c:v>344151</c:v>
                </c:pt>
                <c:pt idx="1">
                  <c:v>357815</c:v>
                </c:pt>
                <c:pt idx="2">
                  <c:v>356854</c:v>
                </c:pt>
                <c:pt idx="3">
                  <c:v>375811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4E-4D56-8F4E-E0836E1BC826}"/>
            </c:ext>
          </c:extLst>
        </c:ser>
        <c:ser>
          <c:idx val="5"/>
          <c:order val="5"/>
          <c:tx>
            <c:strRef>
              <c:f>ECA!$P$12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ECA!$Q$6:$T$6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ECA!$Q$12:$T$12</c:f>
              <c:numCache>
                <c:formatCode>_-* #,##0_-;\-* #,##0_-;_-* "-"??_-;_-@_-</c:formatCode>
                <c:ptCount val="4"/>
                <c:pt idx="0">
                  <c:v>365826</c:v>
                </c:pt>
                <c:pt idx="1">
                  <c:v>373498</c:v>
                </c:pt>
                <c:pt idx="2">
                  <c:v>364081</c:v>
                </c:pt>
                <c:pt idx="3">
                  <c:v>369679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4E-4D56-8F4E-E0836E1BC826}"/>
            </c:ext>
          </c:extLst>
        </c:ser>
        <c:ser>
          <c:idx val="6"/>
          <c:order val="6"/>
          <c:tx>
            <c:strRef>
              <c:f>ECA!$P$13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ECA!$Q$6:$T$6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ECA!$Q$13:$T$13</c:f>
              <c:numCache>
                <c:formatCode>_-* #,##0_-;\-* #,##0_-;_-* "-"??_-;_-@_-</c:formatCode>
                <c:ptCount val="4"/>
                <c:pt idx="0">
                  <c:v>359577</c:v>
                </c:pt>
                <c:pt idx="1">
                  <c:v>375375</c:v>
                </c:pt>
                <c:pt idx="2">
                  <c:v>343283</c:v>
                </c:pt>
                <c:pt idx="3">
                  <c:v>366298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4E-4D56-8F4E-E0836E1BC826}"/>
            </c:ext>
          </c:extLst>
        </c:ser>
        <c:ser>
          <c:idx val="7"/>
          <c:order val="7"/>
          <c:tx>
            <c:strRef>
              <c:f>ECA!$P$14</c:f>
              <c:strCache>
                <c:ptCount val="1"/>
                <c:pt idx="0">
                  <c:v>23/24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ECA!$Q$6:$T$6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ECA!$Q$14:$T$14</c:f>
              <c:numCache>
                <c:formatCode>_-* #,##0_-;\-* #,##0_-;_-* "-"??_-;_-@_-</c:formatCode>
                <c:ptCount val="4"/>
                <c:pt idx="0">
                  <c:v>350739</c:v>
                </c:pt>
                <c:pt idx="1">
                  <c:v>367287</c:v>
                </c:pt>
                <c:pt idx="2">
                  <c:v>357502</c:v>
                </c:pt>
                <c:pt idx="3">
                  <c:v>354334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D6-43B6-B0CF-DB7898B3C34B}"/>
            </c:ext>
          </c:extLst>
        </c:ser>
        <c:ser>
          <c:idx val="8"/>
          <c:order val="8"/>
          <c:tx>
            <c:strRef>
              <c:f>ECA!$P$15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ECA!$Q$6:$T$6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ECA!$Q$15:$T$15</c:f>
              <c:numCache>
                <c:formatCode>_-* #,##0_-;\-* #,##0_-;_-* "-"??_-;_-@_-</c:formatCode>
                <c:ptCount val="4"/>
                <c:pt idx="0">
                  <c:v>331853</c:v>
                </c:pt>
                <c:pt idx="1">
                  <c:v>353522</c:v>
                </c:pt>
                <c:pt idx="2">
                  <c:v>331762</c:v>
                </c:pt>
                <c:pt idx="3">
                  <c:v>337353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D-46B4-8114-C7CE802315C5}"/>
            </c:ext>
          </c:extLst>
        </c:ser>
        <c:ser>
          <c:idx val="9"/>
          <c:order val="9"/>
          <c:tx>
            <c:strRef>
              <c:f>ECA!$P$16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ECA!$Q$6:$T$6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ECA!$Q$16:$T$16</c:f>
              <c:numCache>
                <c:formatCode>_-* #,##0_-;\-* #,##0_-;_-* "-"??_-;_-@_-</c:formatCode>
                <c:ptCount val="4"/>
                <c:pt idx="0">
                  <c:v>304470</c:v>
                </c:pt>
                <c:pt idx="1">
                  <c:v>325895</c:v>
                </c:pt>
                <c:pt idx="2">
                  <c:v>316366</c:v>
                </c:pt>
                <c:pt idx="3">
                  <c:v>348215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5-4F12-8C5C-1D2B28E6B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ECA!$P$7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ECA!$Q$6:$T$6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ECA!$Q$7:$T$7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339741</c:v>
                      </c:pt>
                      <c:pt idx="1">
                        <c:v>339741</c:v>
                      </c:pt>
                      <c:pt idx="2">
                        <c:v>331970</c:v>
                      </c:pt>
                      <c:pt idx="3">
                        <c:v>353544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C4E-4D56-8F4E-E0836E1BC82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353286</c:v>
                      </c:pt>
                      <c:pt idx="1">
                        <c:v>358432</c:v>
                      </c:pt>
                      <c:pt idx="2">
                        <c:v>356109</c:v>
                      </c:pt>
                      <c:pt idx="3">
                        <c:v>363122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C4E-4D56-8F4E-E0836E1BC82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359103</c:v>
                      </c:pt>
                      <c:pt idx="1">
                        <c:v>370359</c:v>
                      </c:pt>
                      <c:pt idx="2">
                        <c:v>344890</c:v>
                      </c:pt>
                      <c:pt idx="3">
                        <c:v>362940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4E-4D56-8F4E-E0836E1BC82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ECA!$P$10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ECA!$Q$10:$T$10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355201</c:v>
                      </c:pt>
                      <c:pt idx="1">
                        <c:v>368934</c:v>
                      </c:pt>
                      <c:pt idx="2">
                        <c:v>314108</c:v>
                      </c:pt>
                      <c:pt idx="3">
                        <c:v>345730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4E-4D56-8F4E-E0836E1BC826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25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ECA!$P$7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ECA!$AD$7:$AG$7</c:f>
              <c:numCache>
                <c:formatCode>_-* #,##0_-;\-* #,##0_-;_-* "-"??_-;_-@_-</c:formatCode>
                <c:ptCount val="4"/>
                <c:pt idx="0">
                  <c:v>339741</c:v>
                </c:pt>
                <c:pt idx="1">
                  <c:v>679482</c:v>
                </c:pt>
                <c:pt idx="2">
                  <c:v>1011452</c:v>
                </c:pt>
                <c:pt idx="3">
                  <c:v>1364996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3-49CC-8D7C-60D5154D141F}"/>
            </c:ext>
          </c:extLst>
        </c:ser>
        <c:ser>
          <c:idx val="1"/>
          <c:order val="1"/>
          <c:tx>
            <c:strRef>
              <c:f>ECA!$P$8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ECA!$AD$8:$AG$8</c:f>
              <c:numCache>
                <c:formatCode>_-* #,##0_-;\-* #,##0_-;_-* "-"??_-;_-@_-</c:formatCode>
                <c:ptCount val="4"/>
                <c:pt idx="0">
                  <c:v>353286</c:v>
                </c:pt>
                <c:pt idx="1">
                  <c:v>711718</c:v>
                </c:pt>
                <c:pt idx="2">
                  <c:v>1067827</c:v>
                </c:pt>
                <c:pt idx="3">
                  <c:v>1430949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3-49CC-8D7C-60D5154D141F}"/>
            </c:ext>
          </c:extLst>
        </c:ser>
        <c:ser>
          <c:idx val="2"/>
          <c:order val="2"/>
          <c:tx>
            <c:strRef>
              <c:f>ECA!$P$9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ECA!$AD$9:$AG$9</c:f>
              <c:numCache>
                <c:formatCode>_-* #,##0_-;\-* #,##0_-;_-* "-"??_-;_-@_-</c:formatCode>
                <c:ptCount val="4"/>
                <c:pt idx="0">
                  <c:v>359103</c:v>
                </c:pt>
                <c:pt idx="1">
                  <c:v>729462</c:v>
                </c:pt>
                <c:pt idx="2">
                  <c:v>1074352</c:v>
                </c:pt>
                <c:pt idx="3">
                  <c:v>1437292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3-49CC-8D7C-60D5154D141F}"/>
            </c:ext>
          </c:extLst>
        </c:ser>
        <c:ser>
          <c:idx val="3"/>
          <c:order val="3"/>
          <c:tx>
            <c:strRef>
              <c:f>ECA!$P$10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ECA!$AD$10:$AG$10</c:f>
              <c:numCache>
                <c:formatCode>_-* #,##0_-;\-* #,##0_-;_-* "-"??_-;_-@_-</c:formatCode>
                <c:ptCount val="4"/>
                <c:pt idx="0">
                  <c:v>355201</c:v>
                </c:pt>
                <c:pt idx="1">
                  <c:v>724135</c:v>
                </c:pt>
                <c:pt idx="2">
                  <c:v>1038243</c:v>
                </c:pt>
                <c:pt idx="3">
                  <c:v>1383973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93-49CC-8D7C-60D5154D141F}"/>
            </c:ext>
          </c:extLst>
        </c:ser>
        <c:ser>
          <c:idx val="4"/>
          <c:order val="4"/>
          <c:tx>
            <c:strRef>
              <c:f>ECA!$P$11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ECA!$AD$11:$AG$11</c:f>
              <c:numCache>
                <c:formatCode>_-* #,##0_-;\-* #,##0_-;_-* "-"??_-;_-@_-</c:formatCode>
                <c:ptCount val="4"/>
                <c:pt idx="0">
                  <c:v>344151</c:v>
                </c:pt>
                <c:pt idx="1">
                  <c:v>701966</c:v>
                </c:pt>
                <c:pt idx="2">
                  <c:v>1058820</c:v>
                </c:pt>
                <c:pt idx="3">
                  <c:v>1434631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93-49CC-8D7C-60D5154D141F}"/>
            </c:ext>
          </c:extLst>
        </c:ser>
        <c:ser>
          <c:idx val="5"/>
          <c:order val="5"/>
          <c:tx>
            <c:strRef>
              <c:f>ECA!$P$12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ECA!$AD$12:$AG$12</c:f>
              <c:numCache>
                <c:formatCode>_-* #,##0_-;\-* #,##0_-;_-* "-"??_-;_-@_-</c:formatCode>
                <c:ptCount val="4"/>
                <c:pt idx="0">
                  <c:v>365826</c:v>
                </c:pt>
                <c:pt idx="1">
                  <c:v>739324</c:v>
                </c:pt>
                <c:pt idx="2">
                  <c:v>1103405</c:v>
                </c:pt>
                <c:pt idx="3">
                  <c:v>1473084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93-49CC-8D7C-60D5154D141F}"/>
            </c:ext>
          </c:extLst>
        </c:ser>
        <c:ser>
          <c:idx val="6"/>
          <c:order val="6"/>
          <c:tx>
            <c:strRef>
              <c:f>ECA!$P$13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ECA!$AD$13:$AG$13</c:f>
              <c:numCache>
                <c:formatCode>_-* #,##0_-;\-* #,##0_-;_-* "-"??_-;_-@_-</c:formatCode>
                <c:ptCount val="4"/>
                <c:pt idx="0">
                  <c:v>359577</c:v>
                </c:pt>
                <c:pt idx="1">
                  <c:v>734952</c:v>
                </c:pt>
                <c:pt idx="2">
                  <c:v>1078235</c:v>
                </c:pt>
                <c:pt idx="3">
                  <c:v>1444533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93-49CC-8D7C-60D5154D141F}"/>
            </c:ext>
          </c:extLst>
        </c:ser>
        <c:ser>
          <c:idx val="7"/>
          <c:order val="7"/>
          <c:tx>
            <c:strRef>
              <c:f>ECA!$P$14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ECA!$AD$14:$AG$14</c:f>
              <c:numCache>
                <c:formatCode>_-* #,##0_-;\-* #,##0_-;_-* "-"??_-;_-@_-</c:formatCode>
                <c:ptCount val="4"/>
                <c:pt idx="0">
                  <c:v>350739</c:v>
                </c:pt>
                <c:pt idx="1">
                  <c:v>718026</c:v>
                </c:pt>
                <c:pt idx="2">
                  <c:v>1075528</c:v>
                </c:pt>
                <c:pt idx="3">
                  <c:v>1429862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6-49BB-9144-9F2FD2D6896E}"/>
            </c:ext>
          </c:extLst>
        </c:ser>
        <c:ser>
          <c:idx val="8"/>
          <c:order val="8"/>
          <c:tx>
            <c:strRef>
              <c:f>ECA!$P$15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ECA!$AD$6:$AG$6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ECA!$AD$15:$AG$15</c:f>
              <c:numCache>
                <c:formatCode>General</c:formatCode>
                <c:ptCount val="4"/>
                <c:pt idx="0" formatCode="_-* #,##0_-;\-* #,##0_-;_-* &quot;-&quot;??_-;_-@_-">
                  <c:v>331853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6-49BB-9144-9F2FD2D68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ECA!$Y$6</c:f>
          <c:strCache>
            <c:ptCount val="1"/>
            <c:pt idx="0">
              <c:v>YTD (Q1 to Q4)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ECA!$Y$6</c:f>
              <c:strCache>
                <c:ptCount val="1"/>
                <c:pt idx="0">
                  <c:v>YTD (Q1 to Q4)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ECA!$X$7:$X$17</c15:sqref>
                  </c15:fullRef>
                </c:ext>
              </c:extLst>
              <c:f>ECA!$X$7:$X$16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ECA!$Y$7:$Y$17</c15:sqref>
                  </c15:fullRef>
                </c:ext>
              </c:extLst>
              <c:f>ECA!$Y$7:$Y$16</c:f>
              <c:numCache>
                <c:formatCode>_-* #,##0_-;\-* #,##0_-;_-* "-"??_-;_-@_-</c:formatCode>
                <c:ptCount val="10"/>
                <c:pt idx="0">
                  <c:v>1364996</c:v>
                </c:pt>
                <c:pt idx="1">
                  <c:v>1430949</c:v>
                </c:pt>
                <c:pt idx="2">
                  <c:v>1437292</c:v>
                </c:pt>
                <c:pt idx="3">
                  <c:v>1383973</c:v>
                </c:pt>
                <c:pt idx="4">
                  <c:v>1434631</c:v>
                </c:pt>
                <c:pt idx="5">
                  <c:v>1473084</c:v>
                </c:pt>
                <c:pt idx="6">
                  <c:v>1444533</c:v>
                </c:pt>
                <c:pt idx="7">
                  <c:v>1429862</c:v>
                </c:pt>
                <c:pt idx="8">
                  <c:v>1354490</c:v>
                </c:pt>
                <c:pt idx="9">
                  <c:v>1294946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9-4CB0-AE6C-5929B9A47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ECA!$Z$6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ECA!$X$7:$X$16</c15:sqref>
                  </c15:fullRef>
                </c:ext>
              </c:extLst>
              <c:f>ECA!$X$7:$X$16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ECA!$Z$7:$Z$16</c15:sqref>
                  </c15:fullRef>
                </c:ext>
              </c:extLst>
              <c:f>ECA!$Z$7:$Z$16</c:f>
              <c:numCache>
                <c:formatCode>0.0%</c:formatCode>
                <c:ptCount val="10"/>
                <c:pt idx="1">
                  <c:v>4.8317357706542774E-2</c:v>
                </c:pt>
                <c:pt idx="2">
                  <c:v>4.4327226197440339E-3</c:v>
                </c:pt>
                <c:pt idx="3">
                  <c:v>-3.7096846013197071E-2</c:v>
                </c:pt>
                <c:pt idx="4">
                  <c:v>3.6603315238086243E-2</c:v>
                </c:pt>
                <c:pt idx="5">
                  <c:v>2.6803407984352878E-2</c:v>
                </c:pt>
                <c:pt idx="6">
                  <c:v>-1.9381786782016519E-2</c:v>
                </c:pt>
                <c:pt idx="7">
                  <c:v>-1.0156223499220851E-2</c:v>
                </c:pt>
                <c:pt idx="8">
                  <c:v>-5.2712779275202792E-2</c:v>
                </c:pt>
                <c:pt idx="9">
                  <c:v>-4.3960457441546308E-2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9-4CB0-AE6C-5929B9A47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ECA!$AB$25</c:f>
          <c:strCache>
            <c:ptCount val="1"/>
            <c:pt idx="0">
              <c:v>ECA Grinds Q4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ECA!$Z$24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ECA!$Y$25:$Y$34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ECA!$Z$25:$Z$34</c:f>
              <c:numCache>
                <c:formatCode>_-* #,##0_-;\-* #,##0_-;_-* "-"??_-;_-@_-</c:formatCode>
                <c:ptCount val="10"/>
                <c:pt idx="0">
                  <c:v>353544</c:v>
                </c:pt>
                <c:pt idx="1">
                  <c:v>363122</c:v>
                </c:pt>
                <c:pt idx="2">
                  <c:v>362940</c:v>
                </c:pt>
                <c:pt idx="3">
                  <c:v>345730</c:v>
                </c:pt>
                <c:pt idx="4">
                  <c:v>375811</c:v>
                </c:pt>
                <c:pt idx="5">
                  <c:v>369679</c:v>
                </c:pt>
                <c:pt idx="6">
                  <c:v>366298</c:v>
                </c:pt>
                <c:pt idx="7">
                  <c:v>354334</c:v>
                </c:pt>
                <c:pt idx="8">
                  <c:v>337353</c:v>
                </c:pt>
                <c:pt idx="9">
                  <c:v>348215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0-4FE2-B731-D9C3682BA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 (Larger History)'!$A$1</c:f>
          <c:strCache>
            <c:ptCount val="1"/>
            <c:pt idx="0">
              <c:v>ECA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'ECA (Larger History)'!$B$7:$B$43</c:f>
              <c:strCache>
                <c:ptCount val="37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</c:strCache>
            </c:strRef>
          </c:cat>
          <c:val>
            <c:numRef>
              <c:f>'ECA (Larger History)'!$C$7:$C$43</c:f>
              <c:numCache>
                <c:formatCode>_-* #,##0_-;\-* #,##0_-;_-* "-"??_-;_-@_-</c:formatCode>
                <c:ptCount val="37"/>
                <c:pt idx="0">
                  <c:v>339741</c:v>
                </c:pt>
                <c:pt idx="1">
                  <c:v>339741</c:v>
                </c:pt>
                <c:pt idx="2">
                  <c:v>331970</c:v>
                </c:pt>
                <c:pt idx="3">
                  <c:v>353544</c:v>
                </c:pt>
                <c:pt idx="4">
                  <c:v>353286</c:v>
                </c:pt>
                <c:pt idx="5">
                  <c:v>358432</c:v>
                </c:pt>
                <c:pt idx="6">
                  <c:v>356109</c:v>
                </c:pt>
                <c:pt idx="7">
                  <c:v>363122</c:v>
                </c:pt>
                <c:pt idx="8">
                  <c:v>359103</c:v>
                </c:pt>
                <c:pt idx="9">
                  <c:v>370359</c:v>
                </c:pt>
                <c:pt idx="10">
                  <c:v>344890</c:v>
                </c:pt>
                <c:pt idx="11">
                  <c:v>362940</c:v>
                </c:pt>
                <c:pt idx="12">
                  <c:v>355201</c:v>
                </c:pt>
                <c:pt idx="13">
                  <c:v>368934</c:v>
                </c:pt>
                <c:pt idx="14">
                  <c:v>314108</c:v>
                </c:pt>
                <c:pt idx="15">
                  <c:v>345730</c:v>
                </c:pt>
                <c:pt idx="16">
                  <c:v>344151</c:v>
                </c:pt>
                <c:pt idx="17">
                  <c:v>357815</c:v>
                </c:pt>
                <c:pt idx="18">
                  <c:v>356854</c:v>
                </c:pt>
                <c:pt idx="19">
                  <c:v>375811</c:v>
                </c:pt>
                <c:pt idx="20">
                  <c:v>365826</c:v>
                </c:pt>
                <c:pt idx="21">
                  <c:v>373498</c:v>
                </c:pt>
                <c:pt idx="22">
                  <c:v>364081</c:v>
                </c:pt>
                <c:pt idx="23">
                  <c:v>369679</c:v>
                </c:pt>
                <c:pt idx="24">
                  <c:v>359577</c:v>
                </c:pt>
                <c:pt idx="25">
                  <c:v>375375</c:v>
                </c:pt>
                <c:pt idx="26">
                  <c:v>343283</c:v>
                </c:pt>
                <c:pt idx="27">
                  <c:v>366298</c:v>
                </c:pt>
                <c:pt idx="28">
                  <c:v>350739</c:v>
                </c:pt>
                <c:pt idx="29">
                  <c:v>367287</c:v>
                </c:pt>
                <c:pt idx="30">
                  <c:v>357502</c:v>
                </c:pt>
                <c:pt idx="31">
                  <c:v>354334</c:v>
                </c:pt>
                <c:pt idx="32">
                  <c:v>331853</c:v>
                </c:pt>
                <c:pt idx="33">
                  <c:v>353522</c:v>
                </c:pt>
                <c:pt idx="34">
                  <c:v>331762</c:v>
                </c:pt>
                <c:pt idx="35">
                  <c:v>337353</c:v>
                </c:pt>
                <c:pt idx="36">
                  <c:v>304470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8-46FF-BE2B-F1D94CDC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4"/>
          <c:order val="4"/>
          <c:tx>
            <c:strRef>
              <c:f>'ECA (Larger History)'!$P$11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'ECA (Larger History)'!$Q$6:$T$6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(Larger History)'!$Q$11:$T$11</c:f>
              <c:numCache>
                <c:formatCode>_-* #,##0_-;\-* #,##0_-;_-* "-"??_-;_-@_-</c:formatCode>
                <c:ptCount val="4"/>
                <c:pt idx="0">
                  <c:v>344151</c:v>
                </c:pt>
                <c:pt idx="1">
                  <c:v>357815</c:v>
                </c:pt>
                <c:pt idx="2">
                  <c:v>356854</c:v>
                </c:pt>
                <c:pt idx="3">
                  <c:v>375811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3-46E3-AE70-E5CADB3471D2}"/>
            </c:ext>
          </c:extLst>
        </c:ser>
        <c:ser>
          <c:idx val="5"/>
          <c:order val="5"/>
          <c:tx>
            <c:strRef>
              <c:f>'ECA (Larger History)'!$P$12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'ECA (Larger History)'!$Q$6:$T$6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(Larger History)'!$Q$12:$T$12</c:f>
              <c:numCache>
                <c:formatCode>_-* #,##0_-;\-* #,##0_-;_-* "-"??_-;_-@_-</c:formatCode>
                <c:ptCount val="4"/>
                <c:pt idx="0">
                  <c:v>365826</c:v>
                </c:pt>
                <c:pt idx="1">
                  <c:v>373498</c:v>
                </c:pt>
                <c:pt idx="2">
                  <c:v>364081</c:v>
                </c:pt>
                <c:pt idx="3">
                  <c:v>369679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E3-46E3-AE70-E5CADB3471D2}"/>
            </c:ext>
          </c:extLst>
        </c:ser>
        <c:ser>
          <c:idx val="6"/>
          <c:order val="6"/>
          <c:tx>
            <c:strRef>
              <c:f>'ECA (Larger History)'!$P$13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'ECA (Larger History)'!$Q$6:$T$6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(Larger History)'!$Q$13:$T$13</c:f>
              <c:numCache>
                <c:formatCode>_-* #,##0_-;\-* #,##0_-;_-* "-"??_-;_-@_-</c:formatCode>
                <c:ptCount val="4"/>
                <c:pt idx="0">
                  <c:v>359577</c:v>
                </c:pt>
                <c:pt idx="1">
                  <c:v>375375</c:v>
                </c:pt>
                <c:pt idx="2">
                  <c:v>343283</c:v>
                </c:pt>
                <c:pt idx="3">
                  <c:v>366298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3-46E3-AE70-E5CADB3471D2}"/>
            </c:ext>
          </c:extLst>
        </c:ser>
        <c:ser>
          <c:idx val="7"/>
          <c:order val="7"/>
          <c:tx>
            <c:strRef>
              <c:f>'ECA (Larger History)'!$P$14</c:f>
              <c:strCache>
                <c:ptCount val="1"/>
                <c:pt idx="0">
                  <c:v>23/24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'ECA (Larger History)'!$Q$6:$T$6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(Larger History)'!$Q$14:$T$14</c:f>
              <c:numCache>
                <c:formatCode>_-* #,##0_-;\-* #,##0_-;_-* "-"??_-;_-@_-</c:formatCode>
                <c:ptCount val="4"/>
                <c:pt idx="0">
                  <c:v>350739</c:v>
                </c:pt>
                <c:pt idx="1">
                  <c:v>367287</c:v>
                </c:pt>
                <c:pt idx="2">
                  <c:v>357502</c:v>
                </c:pt>
                <c:pt idx="3">
                  <c:v>354334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E3-46E3-AE70-E5CADB3471D2}"/>
            </c:ext>
          </c:extLst>
        </c:ser>
        <c:ser>
          <c:idx val="8"/>
          <c:order val="8"/>
          <c:tx>
            <c:strRef>
              <c:f>'ECA (Larger History)'!$P$15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 (Larger History)'!$Q$6:$T$6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(Larger History)'!$Q$15:$T$15</c:f>
              <c:numCache>
                <c:formatCode>_-* #,##0_-;\-* #,##0_-;_-* "-"??_-;_-@_-</c:formatCode>
                <c:ptCount val="4"/>
                <c:pt idx="0">
                  <c:v>331853</c:v>
                </c:pt>
                <c:pt idx="1">
                  <c:v>353522</c:v>
                </c:pt>
                <c:pt idx="2">
                  <c:v>331762</c:v>
                </c:pt>
                <c:pt idx="3">
                  <c:v>337353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E3-46E3-AE70-E5CADB3471D2}"/>
            </c:ext>
          </c:extLst>
        </c:ser>
        <c:ser>
          <c:idx val="9"/>
          <c:order val="9"/>
          <c:tx>
            <c:strRef>
              <c:f>'ECA (Larger History)'!$P$16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 (Larger History)'!$Q$6:$T$6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(Larger History)'!$Q$16:$T$16</c:f>
              <c:numCache>
                <c:formatCode>General</c:formatCode>
                <c:ptCount val="4"/>
                <c:pt idx="0" formatCode="_-* #,##0_-;\-* #,##0_-;_-* &quot;-&quot;??_-;_-@_-">
                  <c:v>304470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E3-46E3-AE70-E5CADB347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'ECA (Larger History)'!$P$7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'ECA (Larger History)'!$Q$6:$T$6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'ECA (Larger History)'!$Q$7:$T$7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339741</c:v>
                      </c:pt>
                      <c:pt idx="1">
                        <c:v>339741</c:v>
                      </c:pt>
                      <c:pt idx="2">
                        <c:v>331970</c:v>
                      </c:pt>
                      <c:pt idx="3">
                        <c:v>353544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CE3-46E3-AE70-E5CADB3471D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353286</c:v>
                      </c:pt>
                      <c:pt idx="1">
                        <c:v>358432</c:v>
                      </c:pt>
                      <c:pt idx="2">
                        <c:v>356109</c:v>
                      </c:pt>
                      <c:pt idx="3">
                        <c:v>363122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CE3-46E3-AE70-E5CADB3471D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359103</c:v>
                      </c:pt>
                      <c:pt idx="1">
                        <c:v>370359</c:v>
                      </c:pt>
                      <c:pt idx="2">
                        <c:v>344890</c:v>
                      </c:pt>
                      <c:pt idx="3">
                        <c:v>362940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CE3-46E3-AE70-E5CADB3471D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History)'!$P$10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(Larger History)'!$Q$10:$T$10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355201</c:v>
                      </c:pt>
                      <c:pt idx="1">
                        <c:v>368934</c:v>
                      </c:pt>
                      <c:pt idx="2">
                        <c:v>314108</c:v>
                      </c:pt>
                      <c:pt idx="3">
                        <c:v>345730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CE3-46E3-AE70-E5CADB3471D2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25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 (Larger History)'!$Y$6</c:f>
          <c:strCache>
            <c:ptCount val="1"/>
            <c:pt idx="0">
              <c:v>YTD (Q1 to Q1)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'ECA (Larger History)'!$Y$6</c:f>
              <c:strCache>
                <c:ptCount val="1"/>
                <c:pt idx="0">
                  <c:v>YTD (Q1 to Q1)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'ECA (Larger History)'!$X$7:$X$17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'ECA (Larger History)'!$Y$7:$Y$17</c:f>
              <c:numCache>
                <c:formatCode>_-* #,##0_-;\-* #,##0_-;_-* "-"??_-;_-@_-</c:formatCode>
                <c:ptCount val="11"/>
                <c:pt idx="0">
                  <c:v>339741</c:v>
                </c:pt>
                <c:pt idx="1">
                  <c:v>353286</c:v>
                </c:pt>
                <c:pt idx="2">
                  <c:v>359103</c:v>
                </c:pt>
                <c:pt idx="3">
                  <c:v>355201</c:v>
                </c:pt>
                <c:pt idx="4">
                  <c:v>344151</c:v>
                </c:pt>
                <c:pt idx="5">
                  <c:v>365826</c:v>
                </c:pt>
                <c:pt idx="6">
                  <c:v>359577</c:v>
                </c:pt>
                <c:pt idx="7">
                  <c:v>350739</c:v>
                </c:pt>
                <c:pt idx="8">
                  <c:v>331853</c:v>
                </c:pt>
                <c:pt idx="9">
                  <c:v>304470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4-4D25-B8A2-A6A02D04D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'ECA (Larger History)'!$Z$6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'ECA (Larger History)'!$X$7:$X$16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 (Larger History)'!$Z$7:$Z$16</c:f>
              <c:numCache>
                <c:formatCode>0.0%</c:formatCode>
                <c:ptCount val="10"/>
                <c:pt idx="1">
                  <c:v>3.9868605790881917E-2</c:v>
                </c:pt>
                <c:pt idx="2">
                  <c:v>1.6465413291214537E-2</c:v>
                </c:pt>
                <c:pt idx="3">
                  <c:v>-1.0865963247313482E-2</c:v>
                </c:pt>
                <c:pt idx="4">
                  <c:v>-3.1109146652177233E-2</c:v>
                </c:pt>
                <c:pt idx="5">
                  <c:v>6.2981075167586331E-2</c:v>
                </c:pt>
                <c:pt idx="6">
                  <c:v>-1.7081891390989146E-2</c:v>
                </c:pt>
                <c:pt idx="7">
                  <c:v>-2.4578880184216501E-2</c:v>
                </c:pt>
                <c:pt idx="8">
                  <c:v>-5.3846307368156987E-2</c:v>
                </c:pt>
                <c:pt idx="9">
                  <c:v>-8.2515451118416849E-2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4-4D25-B8A2-A6A02D04D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 (Larger History)'!$AB$25</c:f>
          <c:strCache>
            <c:ptCount val="1"/>
            <c:pt idx="0">
              <c:v>ECA Grinds Q1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'ECA (Larger History)'!$Z$24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'ECA (Larger History)'!$Y$25:$Y$34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 (Larger History)'!$Z$25:$Z$34</c:f>
              <c:numCache>
                <c:formatCode>_-* #,##0_-;\-* #,##0_-;_-* "-"??_-;_-@_-</c:formatCode>
                <c:ptCount val="10"/>
                <c:pt idx="0">
                  <c:v>339741</c:v>
                </c:pt>
                <c:pt idx="1">
                  <c:v>353286</c:v>
                </c:pt>
                <c:pt idx="2">
                  <c:v>359103</c:v>
                </c:pt>
                <c:pt idx="3">
                  <c:v>355201</c:v>
                </c:pt>
                <c:pt idx="4">
                  <c:v>344151</c:v>
                </c:pt>
                <c:pt idx="5">
                  <c:v>365826</c:v>
                </c:pt>
                <c:pt idx="6">
                  <c:v>359577</c:v>
                </c:pt>
                <c:pt idx="7">
                  <c:v>350739</c:v>
                </c:pt>
                <c:pt idx="8">
                  <c:v>331853</c:v>
                </c:pt>
                <c:pt idx="9">
                  <c:v>304470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F-440D-9C0F-DA1EC620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r>
              <a:rPr lang="en-US" baseline="0"/>
              <a:t> Exports vs Grinds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'ECA Estimates'!$H$54</c:f>
              <c:strCache>
                <c:ptCount val="1"/>
                <c:pt idx="0">
                  <c:v>Grind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8"/>
            <c:marker>
              <c:symbol val="circle"/>
              <c:size val="5"/>
              <c:spPr>
                <a:solidFill>
                  <a:schemeClr val="bg1">
                    <a:lumMod val="9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956-4DA6-8C4C-F555D27EC19C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41513560804899"/>
                  <c:y val="-0.24198855351414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'ECA Estimates'!$G$55:$G$87</c:f>
              <c:numCache>
                <c:formatCode>0%</c:formatCode>
                <c:ptCount val="33"/>
                <c:pt idx="0">
                  <c:v>9.5760096183365562E-2</c:v>
                </c:pt>
                <c:pt idx="1">
                  <c:v>-4.2676585753792073E-2</c:v>
                </c:pt>
                <c:pt idx="2">
                  <c:v>0.16786340598144567</c:v>
                </c:pt>
                <c:pt idx="3">
                  <c:v>3.1320048549585255E-2</c:v>
                </c:pt>
                <c:pt idx="4">
                  <c:v>-2.6259534989958144E-2</c:v>
                </c:pt>
                <c:pt idx="5">
                  <c:v>0.12591113992591119</c:v>
                </c:pt>
                <c:pt idx="6">
                  <c:v>-4.4092220891019163E-2</c:v>
                </c:pt>
                <c:pt idx="7">
                  <c:v>0.12335048757330713</c:v>
                </c:pt>
                <c:pt idx="8">
                  <c:v>1.4858741317174129E-3</c:v>
                </c:pt>
                <c:pt idx="9">
                  <c:v>-5.1255389555697084E-2</c:v>
                </c:pt>
                <c:pt idx="10">
                  <c:v>-0.18392228997850435</c:v>
                </c:pt>
                <c:pt idx="11">
                  <c:v>-9.1423336010334255E-2</c:v>
                </c:pt>
                <c:pt idx="12">
                  <c:v>4.4294147357091251E-3</c:v>
                </c:pt>
                <c:pt idx="13">
                  <c:v>1.5072400086318494E-2</c:v>
                </c:pt>
                <c:pt idx="14">
                  <c:v>0.4330595038748466</c:v>
                </c:pt>
                <c:pt idx="15">
                  <c:v>0.14348575972204247</c:v>
                </c:pt>
                <c:pt idx="16">
                  <c:v>0.18404355520148896</c:v>
                </c:pt>
                <c:pt idx="17">
                  <c:v>4.7192048131702524E-2</c:v>
                </c:pt>
                <c:pt idx="18">
                  <c:v>-0.12336717267745567</c:v>
                </c:pt>
                <c:pt idx="19">
                  <c:v>5.8632271978354744E-2</c:v>
                </c:pt>
                <c:pt idx="20">
                  <c:v>5.0774791805344721E-2</c:v>
                </c:pt>
                <c:pt idx="21">
                  <c:v>0.11107256893462791</c:v>
                </c:pt>
                <c:pt idx="22">
                  <c:v>0.10011694305354979</c:v>
                </c:pt>
                <c:pt idx="23">
                  <c:v>-1.6791371108876962E-2</c:v>
                </c:pt>
                <c:pt idx="24">
                  <c:v>-0.12236387764657231</c:v>
                </c:pt>
                <c:pt idx="25">
                  <c:v>2.847702391457041E-3</c:v>
                </c:pt>
                <c:pt idx="26">
                  <c:v>0.22682571571768806</c:v>
                </c:pt>
                <c:pt idx="27">
                  <c:v>0.11139329286855681</c:v>
                </c:pt>
                <c:pt idx="28">
                  <c:v>-4.2135777972295507E-2</c:v>
                </c:pt>
                <c:pt idx="29">
                  <c:v>4.6738228456975728E-2</c:v>
                </c:pt>
                <c:pt idx="30">
                  <c:v>-0.19646435544958152</c:v>
                </c:pt>
                <c:pt idx="31">
                  <c:v>-0.19606197629536437</c:v>
                </c:pt>
                <c:pt idx="32">
                  <c:v>-0.02</c:v>
                </c:pt>
              </c:numCache>
            </c:numRef>
          </c:xVal>
          <c:yVal>
            <c:numRef>
              <c:f>'ECA Estimates'!$H$55:$H$87</c:f>
              <c:numCache>
                <c:formatCode>0%</c:formatCode>
                <c:ptCount val="33"/>
                <c:pt idx="0">
                  <c:v>3.9868605790881917E-2</c:v>
                </c:pt>
                <c:pt idx="1">
                  <c:v>5.5015438230887614E-2</c:v>
                </c:pt>
                <c:pt idx="2">
                  <c:v>7.2714401903786419E-2</c:v>
                </c:pt>
                <c:pt idx="3">
                  <c:v>2.7091394564750182E-2</c:v>
                </c:pt>
                <c:pt idx="4">
                  <c:v>1.6465413291214537E-2</c:v>
                </c:pt>
                <c:pt idx="5">
                  <c:v>3.3275488795643238E-2</c:v>
                </c:pt>
                <c:pt idx="6">
                  <c:v>-3.1504398934034228E-2</c:v>
                </c:pt>
                <c:pt idx="7">
                  <c:v>-5.0120896007399551E-4</c:v>
                </c:pt>
                <c:pt idx="8">
                  <c:v>-1.0865963247313482E-2</c:v>
                </c:pt>
                <c:pt idx="9">
                  <c:v>-3.847618121876395E-3</c:v>
                </c:pt>
                <c:pt idx="10">
                  <c:v>-8.9251645452173123E-2</c:v>
                </c:pt>
                <c:pt idx="11">
                  <c:v>-4.7418306056097426E-2</c:v>
                </c:pt>
                <c:pt idx="12">
                  <c:v>-3.1109146652177233E-2</c:v>
                </c:pt>
                <c:pt idx="13">
                  <c:v>-3.0138181897033101E-2</c:v>
                </c:pt>
                <c:pt idx="14">
                  <c:v>0.13608695098501156</c:v>
                </c:pt>
                <c:pt idx="15">
                  <c:v>8.7007202151968333E-2</c:v>
                </c:pt>
                <c:pt idx="16">
                  <c:v>6.2981075167586331E-2</c:v>
                </c:pt>
                <c:pt idx="17">
                  <c:v>4.3829912105417534E-2</c:v>
                </c:pt>
                <c:pt idx="18">
                  <c:v>2.0251979801263253E-2</c:v>
                </c:pt>
                <c:pt idx="19">
                  <c:v>-1.631671239000454E-2</c:v>
                </c:pt>
                <c:pt idx="20">
                  <c:v>-1.7081891390989146E-2</c:v>
                </c:pt>
                <c:pt idx="21">
                  <c:v>5.0254619837322156E-3</c:v>
                </c:pt>
                <c:pt idx="22">
                  <c:v>-5.7124650833193735E-2</c:v>
                </c:pt>
                <c:pt idx="23">
                  <c:v>-9.1457724133640061E-3</c:v>
                </c:pt>
                <c:pt idx="24">
                  <c:v>-2.4578880184216501E-2</c:v>
                </c:pt>
                <c:pt idx="25">
                  <c:v>-2.154645354645357E-2</c:v>
                </c:pt>
                <c:pt idx="26">
                  <c:v>4.1420635452381838E-2</c:v>
                </c:pt>
                <c:pt idx="27">
                  <c:v>-3.2661930996074284E-2</c:v>
                </c:pt>
                <c:pt idx="28">
                  <c:v>-5.3846307368156987E-2</c:v>
                </c:pt>
                <c:pt idx="29">
                  <c:v>-3.7477503968286419E-2</c:v>
                </c:pt>
                <c:pt idx="30">
                  <c:v>-7.1999597205050558E-2</c:v>
                </c:pt>
                <c:pt idx="31">
                  <c:v>-4.7923710397534514E-2</c:v>
                </c:pt>
                <c:pt idx="32" formatCode="0.0%">
                  <c:v>-1.3412001438927856E-2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56-4DA6-8C4C-F555D27EC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010064"/>
        <c:axId val="334006704"/>
      </c:scatterChart>
      <c:valAx>
        <c:axId val="3340100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06704"/>
        <c:crosses val="autoZero"/>
        <c:crossBetween val="midCat"/>
      </c:valAx>
      <c:valAx>
        <c:axId val="3340067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1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'Total Scenario'!$U$10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'Total Scenario'!$V$6:$Y$6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Scenario'!$V$10:$Y$10</c:f>
              <c:numCache>
                <c:formatCode>_-* #,##0_-;\-* #,##0_-;_-* "-"??_-;_-@_-</c:formatCode>
                <c:ptCount val="4"/>
                <c:pt idx="0">
                  <c:v>894393</c:v>
                </c:pt>
                <c:pt idx="1">
                  <c:v>891865</c:v>
                </c:pt>
                <c:pt idx="2">
                  <c:v>812601</c:v>
                </c:pt>
                <c:pt idx="3">
                  <c:v>860903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6-467E-8A27-9C5762A9E7C7}"/>
            </c:ext>
          </c:extLst>
        </c:ser>
        <c:ser>
          <c:idx val="4"/>
          <c:order val="4"/>
          <c:tx>
            <c:strRef>
              <c:f>'Total Scenario'!$U$11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'Total Scenario'!$V$6:$Y$6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Scenario'!$V$11:$Y$11</c:f>
              <c:numCache>
                <c:formatCode>_-* #,##0_-;\-* #,##0_-;_-* "-"??_-;_-@_-</c:formatCode>
                <c:ptCount val="4"/>
                <c:pt idx="0">
                  <c:v>890571</c:v>
                </c:pt>
                <c:pt idx="1">
                  <c:v>900134</c:v>
                </c:pt>
                <c:pt idx="2">
                  <c:v>865508</c:v>
                </c:pt>
                <c:pt idx="3">
                  <c:v>920397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6-467E-8A27-9C5762A9E7C7}"/>
            </c:ext>
          </c:extLst>
        </c:ser>
        <c:ser>
          <c:idx val="5"/>
          <c:order val="5"/>
          <c:tx>
            <c:strRef>
              <c:f>'Total Scenario'!$U$12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'Total Scenario'!$V$6:$Y$6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Scenario'!$V$12:$Y$12</c:f>
              <c:numCache>
                <c:formatCode>_-* #,##0_-;\-* #,##0_-;_-* "-"??_-;_-@_-</c:formatCode>
                <c:ptCount val="4"/>
                <c:pt idx="0">
                  <c:v>929248</c:v>
                </c:pt>
                <c:pt idx="1">
                  <c:v>912398</c:v>
                </c:pt>
                <c:pt idx="2">
                  <c:v>916242</c:v>
                </c:pt>
                <c:pt idx="3">
                  <c:v>950094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D6-467E-8A27-9C5762A9E7C7}"/>
            </c:ext>
          </c:extLst>
        </c:ser>
        <c:ser>
          <c:idx val="6"/>
          <c:order val="6"/>
          <c:tx>
            <c:strRef>
              <c:f>'Total Scenario'!$U$13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'Total Scenario'!$V$6:$Y$6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Scenario'!$V$13:$Y$13</c:f>
              <c:numCache>
                <c:formatCode>_-* #,##0_-;\-* #,##0_-;_-* "-"??_-;_-@_-</c:formatCode>
                <c:ptCount val="4"/>
                <c:pt idx="0">
                  <c:v>930529</c:v>
                </c:pt>
                <c:pt idx="1">
                  <c:v>960085</c:v>
                </c:pt>
                <c:pt idx="2">
                  <c:v>884179</c:v>
                </c:pt>
                <c:pt idx="3">
                  <c:v>922671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D6-467E-8A27-9C5762A9E7C7}"/>
            </c:ext>
          </c:extLst>
        </c:ser>
        <c:ser>
          <c:idx val="7"/>
          <c:order val="7"/>
          <c:tx>
            <c:strRef>
              <c:f>'Total Scenario'!$U$14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strRef>
              <c:f>'Total Scenario'!$V$6:$Y$6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Scenario'!$V$14:$Y$14</c:f>
              <c:numCache>
                <c:formatCode>_-* #,##0_-;\-* #,##0_-;_-* "-"??_-;_-@_-</c:formatCode>
                <c:ptCount val="4"/>
                <c:pt idx="0">
                  <c:v>898937</c:v>
                </c:pt>
                <c:pt idx="1">
                  <c:v>935533</c:v>
                </c:pt>
                <c:pt idx="2">
                  <c:v>862065</c:v>
                </c:pt>
                <c:pt idx="3">
                  <c:v>913855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D6-467E-8A27-9C5762A9E7C7}"/>
            </c:ext>
          </c:extLst>
        </c:ser>
        <c:ser>
          <c:idx val="8"/>
          <c:order val="8"/>
          <c:tx>
            <c:strRef>
              <c:f>'Total Scenario'!$U$15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CC0000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CC0000"/>
                </a:solidFill>
                <a:round/>
              </a:ln>
              <a:effectLst/>
            </c:spPr>
          </c:marker>
          <c:cat>
            <c:strRef>
              <c:f>'Total Scenario'!$V$6:$Y$6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Scenario'!$V$15:$Y$15</c:f>
              <c:numCache>
                <c:formatCode>_-* #,##0_-;\-* #,##0_-;_-* "-"??_-;_-@_-</c:formatCode>
                <c:ptCount val="4"/>
                <c:pt idx="0">
                  <c:v>894012</c:v>
                </c:pt>
                <c:pt idx="1">
                  <c:v>905164</c:v>
                </c:pt>
                <c:pt idx="2">
                  <c:v>788079</c:v>
                </c:pt>
                <c:pt idx="3">
                  <c:v>794361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D6-467E-8A27-9C5762A9E7C7}"/>
            </c:ext>
          </c:extLst>
        </c:ser>
        <c:ser>
          <c:idx val="9"/>
          <c:order val="9"/>
          <c:tx>
            <c:strRef>
              <c:f>'Total Scenario'!$U$16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'Total Scenario'!$V$6:$Y$6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Scenario'!$V$16:$Y$16</c:f>
              <c:numCache>
                <c:formatCode>_-* #,##0_-;\-* #,##0_-;_-* "-"??_-;_-@_-</c:formatCode>
                <c:ptCount val="4"/>
                <c:pt idx="0">
                  <c:v>824574</c:v>
                </c:pt>
                <c:pt idx="1">
                  <c:v>878999</c:v>
                </c:pt>
                <c:pt idx="2">
                  <c:v>788079</c:v>
                </c:pt>
                <c:pt idx="3">
                  <c:v>794361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D6-467E-8A27-9C5762A9E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 Scenario'!$U$7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'Total Scenario'!$V$6:$Y$6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'Total Scenario'!$V$7:$Y$7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822589</c:v>
                      </c:pt>
                      <c:pt idx="1">
                        <c:v>822589</c:v>
                      </c:pt>
                      <c:pt idx="2">
                        <c:v>798014</c:v>
                      </c:pt>
                      <c:pt idx="3">
                        <c:v>850839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DD6-467E-8A27-9C5762A9E7C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Scenario'!$U$8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Scenario'!$V$6:$Y$6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Scenario'!$V$8:$Y$8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850107</c:v>
                      </c:pt>
                      <c:pt idx="1">
                        <c:v>855759</c:v>
                      </c:pt>
                      <c:pt idx="2">
                        <c:v>837530</c:v>
                      </c:pt>
                      <c:pt idx="3">
                        <c:v>874536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DD6-467E-8A27-9C5762A9E7C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Scenario'!$U$9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Scenario'!$V$6:$Y$6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Scenario'!$V$9:$Y$9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881322</c:v>
                      </c:pt>
                      <c:pt idx="1">
                        <c:v>890013</c:v>
                      </c:pt>
                      <c:pt idx="2">
                        <c:v>882822</c:v>
                      </c:pt>
                      <c:pt idx="3">
                        <c:v>910769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DD6-467E-8A27-9C5762A9E7C7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600000.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'Total Scenario'!$U$7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Scenario'!$AJ$7:$AM$7</c:f>
              <c:numCache>
                <c:formatCode>_-* #,##0_-;\-* #,##0_-;_-* "-"??_-;_-@_-</c:formatCode>
                <c:ptCount val="4"/>
                <c:pt idx="0">
                  <c:v>822589</c:v>
                </c:pt>
                <c:pt idx="1">
                  <c:v>1645178</c:v>
                </c:pt>
                <c:pt idx="2">
                  <c:v>2443192</c:v>
                </c:pt>
                <c:pt idx="3">
                  <c:v>3294031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9-4DCA-A196-33E7E55AE2A5}"/>
            </c:ext>
          </c:extLst>
        </c:ser>
        <c:ser>
          <c:idx val="1"/>
          <c:order val="1"/>
          <c:tx>
            <c:strRef>
              <c:f>'Total Scenario'!$U$8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Scenario'!$AJ$8:$AM$8</c:f>
              <c:numCache>
                <c:formatCode>_-* #,##0_-;\-* #,##0_-;_-* "-"??_-;_-@_-</c:formatCode>
                <c:ptCount val="4"/>
                <c:pt idx="0">
                  <c:v>850107</c:v>
                </c:pt>
                <c:pt idx="1">
                  <c:v>1705866</c:v>
                </c:pt>
                <c:pt idx="2">
                  <c:v>2543396</c:v>
                </c:pt>
                <c:pt idx="3">
                  <c:v>3417932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9-4DCA-A196-33E7E55AE2A5}"/>
            </c:ext>
          </c:extLst>
        </c:ser>
        <c:ser>
          <c:idx val="2"/>
          <c:order val="2"/>
          <c:tx>
            <c:strRef>
              <c:f>'Total Scenario'!$U$9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Scenario'!$AJ$9:$AM$9</c:f>
              <c:numCache>
                <c:formatCode>_-* #,##0_-;\-* #,##0_-;_-* "-"??_-;_-@_-</c:formatCode>
                <c:ptCount val="4"/>
                <c:pt idx="0">
                  <c:v>881322</c:v>
                </c:pt>
                <c:pt idx="1">
                  <c:v>1771335</c:v>
                </c:pt>
                <c:pt idx="2">
                  <c:v>2654157</c:v>
                </c:pt>
                <c:pt idx="3">
                  <c:v>3564926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79-4DCA-A196-33E7E55AE2A5}"/>
            </c:ext>
          </c:extLst>
        </c:ser>
        <c:ser>
          <c:idx val="3"/>
          <c:order val="3"/>
          <c:tx>
            <c:strRef>
              <c:f>'Total Scenario'!$U$10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Scenario'!$AJ$10:$AM$10</c:f>
              <c:numCache>
                <c:formatCode>_-* #,##0_-;\-* #,##0_-;_-* "-"??_-;_-@_-</c:formatCode>
                <c:ptCount val="4"/>
                <c:pt idx="0">
                  <c:v>894393</c:v>
                </c:pt>
                <c:pt idx="1">
                  <c:v>1786258</c:v>
                </c:pt>
                <c:pt idx="2">
                  <c:v>2598859</c:v>
                </c:pt>
                <c:pt idx="3">
                  <c:v>3459762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79-4DCA-A196-33E7E55AE2A5}"/>
            </c:ext>
          </c:extLst>
        </c:ser>
        <c:ser>
          <c:idx val="4"/>
          <c:order val="4"/>
          <c:tx>
            <c:strRef>
              <c:f>'Total Scenario'!$U$11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Scenario'!$AJ$11:$AM$11</c:f>
              <c:numCache>
                <c:formatCode>_-* #,##0_-;\-* #,##0_-;_-* "-"??_-;_-@_-</c:formatCode>
                <c:ptCount val="4"/>
                <c:pt idx="0">
                  <c:v>890571</c:v>
                </c:pt>
                <c:pt idx="1">
                  <c:v>1790705</c:v>
                </c:pt>
                <c:pt idx="2">
                  <c:v>2656213</c:v>
                </c:pt>
                <c:pt idx="3">
                  <c:v>3576610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79-4DCA-A196-33E7E55AE2A5}"/>
            </c:ext>
          </c:extLst>
        </c:ser>
        <c:ser>
          <c:idx val="5"/>
          <c:order val="5"/>
          <c:tx>
            <c:strRef>
              <c:f>'Total Scenario'!$U$12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Scenario'!$AJ$12:$AM$12</c:f>
              <c:numCache>
                <c:formatCode>_-* #,##0_-;\-* #,##0_-;_-* "-"??_-;_-@_-</c:formatCode>
                <c:ptCount val="4"/>
                <c:pt idx="0">
                  <c:v>929248</c:v>
                </c:pt>
                <c:pt idx="1">
                  <c:v>1841646</c:v>
                </c:pt>
                <c:pt idx="2">
                  <c:v>2757888</c:v>
                </c:pt>
                <c:pt idx="3">
                  <c:v>3707982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79-4DCA-A196-33E7E55AE2A5}"/>
            </c:ext>
          </c:extLst>
        </c:ser>
        <c:ser>
          <c:idx val="6"/>
          <c:order val="6"/>
          <c:tx>
            <c:strRef>
              <c:f>'Total Scenario'!$U$13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Scenario'!$AJ$13:$AM$13</c:f>
              <c:numCache>
                <c:formatCode>_-* #,##0_-;\-* #,##0_-;_-* "-"??_-;_-@_-</c:formatCode>
                <c:ptCount val="4"/>
                <c:pt idx="0">
                  <c:v>930529</c:v>
                </c:pt>
                <c:pt idx="1">
                  <c:v>1890614</c:v>
                </c:pt>
                <c:pt idx="2">
                  <c:v>2774793</c:v>
                </c:pt>
                <c:pt idx="3">
                  <c:v>3697464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79-4DCA-A196-33E7E55AE2A5}"/>
            </c:ext>
          </c:extLst>
        </c:ser>
        <c:ser>
          <c:idx val="7"/>
          <c:order val="7"/>
          <c:tx>
            <c:strRef>
              <c:f>'Total Scenario'!$U$14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Scenario'!$AJ$14:$AM$14</c:f>
              <c:numCache>
                <c:formatCode>_-* #,##0_-;\-* #,##0_-;_-* "-"??_-;_-@_-</c:formatCode>
                <c:ptCount val="4"/>
                <c:pt idx="0">
                  <c:v>898937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779-4DCA-A196-33E7E55AE2A5}"/>
            </c:ext>
          </c:extLst>
        </c:ser>
        <c:ser>
          <c:idx val="8"/>
          <c:order val="8"/>
          <c:tx>
            <c:strRef>
              <c:f>'Total Scenario'!$U$15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'Total Scenario'!$AJ$6:$AM$6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'Total Scenario'!$AJ$15:$AM$15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79-4DCA-A196-33E7E55A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'Total Scenario'!$AE$6</c:f>
          <c:strCache>
            <c:ptCount val="1"/>
            <c:pt idx="0">
              <c:v>YTD (Q1 to Q4)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Scenario'!$AE$6</c:f>
              <c:strCache>
                <c:ptCount val="1"/>
                <c:pt idx="0">
                  <c:v>YTD (Q1 to Q4)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Scenario'!$AD$7:$AD$16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'Total Scenario'!$AE$7:$AE$16</c:f>
              <c:numCache>
                <c:formatCode>_-* #,##0_-;\-* #,##0_-;_-* "-"??_-;_-@_-</c:formatCode>
                <c:ptCount val="10"/>
                <c:pt idx="0">
                  <c:v>3294031</c:v>
                </c:pt>
                <c:pt idx="1">
                  <c:v>3417932</c:v>
                </c:pt>
                <c:pt idx="2">
                  <c:v>3564926</c:v>
                </c:pt>
                <c:pt idx="3">
                  <c:v>3459762</c:v>
                </c:pt>
                <c:pt idx="4">
                  <c:v>3576610</c:v>
                </c:pt>
                <c:pt idx="5">
                  <c:v>3707982</c:v>
                </c:pt>
                <c:pt idx="6">
                  <c:v>3697464</c:v>
                </c:pt>
                <c:pt idx="7">
                  <c:v>3610390</c:v>
                </c:pt>
                <c:pt idx="8">
                  <c:v>3381616</c:v>
                </c:pt>
                <c:pt idx="9">
                  <c:v>3286013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3-45C5-AAC0-E71E7B533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'Total Scenario'!$AF$6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Scenario'!$AD$7:$AD$16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'Total Scenario'!$AF$7:$AF$16</c:f>
              <c:numCache>
                <c:formatCode>0.0%</c:formatCode>
                <c:ptCount val="10"/>
                <c:pt idx="1">
                  <c:v>3.7613792948518077E-2</c:v>
                </c:pt>
                <c:pt idx="2">
                  <c:v>4.300670697954212E-2</c:v>
                </c:pt>
                <c:pt idx="3">
                  <c:v>-2.9499630567366597E-2</c:v>
                </c:pt>
                <c:pt idx="4">
                  <c:v>3.3773421408755944E-2</c:v>
                </c:pt>
                <c:pt idx="5">
                  <c:v>3.6730870852567099E-2</c:v>
                </c:pt>
                <c:pt idx="6">
                  <c:v>-2.8365833491100778E-3</c:v>
                </c:pt>
                <c:pt idx="7">
                  <c:v>-2.3549654574054002E-2</c:v>
                </c:pt>
                <c:pt idx="8">
                  <c:v>-6.3365453593656085E-2</c:v>
                </c:pt>
                <c:pt idx="9">
                  <c:v>-2.8271394504875813E-2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3-45C5-AAC0-E71E7B533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'Total Scenario'!$AH$25</c:f>
          <c:strCache>
            <c:ptCount val="1"/>
            <c:pt idx="0">
              <c:v>All Reported Grind : ECA + CAA + NCA + IVC (Gepex)  + BR  Q4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Scenario'!$AF$23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Scenario'!$AE$25:$AE$33</c:f>
              <c:strCache>
                <c:ptCount val="9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  <c:pt idx="5">
                  <c:v>22/23</c:v>
                </c:pt>
                <c:pt idx="6">
                  <c:v>23/24</c:v>
                </c:pt>
                <c:pt idx="7">
                  <c:v>24/25</c:v>
                </c:pt>
                <c:pt idx="8">
                  <c:v>25/26</c:v>
                </c:pt>
              </c:strCache>
            </c:strRef>
          </c:cat>
          <c:val>
            <c:numRef>
              <c:f>'Total Scenario'!$AF$25:$AF$33</c:f>
              <c:numCache>
                <c:formatCode>_-* #,##0_-;\-* #,##0_-;_-* "-"??_-;_-@_-</c:formatCode>
                <c:ptCount val="9"/>
                <c:pt idx="0">
                  <c:v>874536</c:v>
                </c:pt>
                <c:pt idx="1">
                  <c:v>910769</c:v>
                </c:pt>
                <c:pt idx="2">
                  <c:v>860903</c:v>
                </c:pt>
                <c:pt idx="3">
                  <c:v>920397</c:v>
                </c:pt>
                <c:pt idx="4">
                  <c:v>950094</c:v>
                </c:pt>
                <c:pt idx="5">
                  <c:v>922671</c:v>
                </c:pt>
                <c:pt idx="6">
                  <c:v>913855</c:v>
                </c:pt>
                <c:pt idx="7">
                  <c:v>794361</c:v>
                </c:pt>
                <c:pt idx="8">
                  <c:v>794361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2-47EC-8DCC-514A51C9A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'Total Scenario'!$A$1</c:f>
          <c:strCache>
            <c:ptCount val="1"/>
            <c:pt idx="0">
              <c:v>All Reported Grind : ECA + CAA + NCA + IVC (Gepex)  + BR 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'Total Scenario'!$D$6</c:f>
              <c:strCache>
                <c:ptCount val="1"/>
                <c:pt idx="0">
                  <c:v>ECA</c:v>
                </c:pt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cat>
            <c:strRef>
              <c:f>'Total Scenario'!$B$7:$B$44</c:f>
              <c:strCache>
                <c:ptCount val="38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</c:strCache>
            </c:strRef>
          </c:cat>
          <c:val>
            <c:numRef>
              <c:f>'Total Scenario'!$D$7:$D$44</c:f>
              <c:numCache>
                <c:formatCode>_-* #,##0_-;\-* #,##0_-;_-* "-"??_-;_-@_-</c:formatCode>
                <c:ptCount val="38"/>
                <c:pt idx="0">
                  <c:v>339741</c:v>
                </c:pt>
                <c:pt idx="1">
                  <c:v>339741</c:v>
                </c:pt>
                <c:pt idx="2">
                  <c:v>331970</c:v>
                </c:pt>
                <c:pt idx="3">
                  <c:v>353544</c:v>
                </c:pt>
                <c:pt idx="4">
                  <c:v>353286</c:v>
                </c:pt>
                <c:pt idx="5">
                  <c:v>358432</c:v>
                </c:pt>
                <c:pt idx="6">
                  <c:v>356109</c:v>
                </c:pt>
                <c:pt idx="7">
                  <c:v>363122</c:v>
                </c:pt>
                <c:pt idx="8">
                  <c:v>359103</c:v>
                </c:pt>
                <c:pt idx="9">
                  <c:v>370359</c:v>
                </c:pt>
                <c:pt idx="10">
                  <c:v>344890</c:v>
                </c:pt>
                <c:pt idx="11">
                  <c:v>362940</c:v>
                </c:pt>
                <c:pt idx="12">
                  <c:v>355201</c:v>
                </c:pt>
                <c:pt idx="13">
                  <c:v>368934</c:v>
                </c:pt>
                <c:pt idx="14">
                  <c:v>314108</c:v>
                </c:pt>
                <c:pt idx="15">
                  <c:v>345730</c:v>
                </c:pt>
                <c:pt idx="16">
                  <c:v>344151</c:v>
                </c:pt>
                <c:pt idx="17">
                  <c:v>357815</c:v>
                </c:pt>
                <c:pt idx="18">
                  <c:v>356854</c:v>
                </c:pt>
                <c:pt idx="19">
                  <c:v>375811</c:v>
                </c:pt>
                <c:pt idx="20">
                  <c:v>365826</c:v>
                </c:pt>
                <c:pt idx="21">
                  <c:v>373498</c:v>
                </c:pt>
                <c:pt idx="22">
                  <c:v>364081</c:v>
                </c:pt>
                <c:pt idx="23">
                  <c:v>369679</c:v>
                </c:pt>
                <c:pt idx="24">
                  <c:v>359577</c:v>
                </c:pt>
                <c:pt idx="25">
                  <c:v>375375</c:v>
                </c:pt>
                <c:pt idx="26">
                  <c:v>343283</c:v>
                </c:pt>
                <c:pt idx="27">
                  <c:v>366298</c:v>
                </c:pt>
                <c:pt idx="28">
                  <c:v>350739</c:v>
                </c:pt>
                <c:pt idx="29">
                  <c:v>367287</c:v>
                </c:pt>
                <c:pt idx="30">
                  <c:v>357502</c:v>
                </c:pt>
                <c:pt idx="31">
                  <c:v>354334</c:v>
                </c:pt>
                <c:pt idx="32">
                  <c:v>331853</c:v>
                </c:pt>
                <c:pt idx="33">
                  <c:v>353522</c:v>
                </c:pt>
                <c:pt idx="34">
                  <c:v>331762</c:v>
                </c:pt>
                <c:pt idx="35">
                  <c:v>337353</c:v>
                </c:pt>
                <c:pt idx="36">
                  <c:v>304470</c:v>
                </c:pt>
                <c:pt idx="37">
                  <c:v>325895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CCE-4D53-A3F0-6F0FA70DE93F}"/>
            </c:ext>
          </c:extLst>
        </c:ser>
        <c:ser>
          <c:idx val="1"/>
          <c:order val="1"/>
          <c:tx>
            <c:strRef>
              <c:f>'Total Scenario'!$E$6</c:f>
              <c:strCache>
                <c:ptCount val="1"/>
                <c:pt idx="0">
                  <c:v>CAA</c:v>
                </c:pt>
              </c:strCache>
            </c:strRef>
          </c:tx>
          <c:spPr>
            <a:solidFill>
              <a:srgbClr val="660033"/>
            </a:solidFill>
            <a:ln>
              <a:noFill/>
            </a:ln>
            <a:effectLst/>
          </c:spPr>
          <c:cat>
            <c:strRef>
              <c:f>'Total Scenario'!$B$7:$B$44</c:f>
              <c:strCache>
                <c:ptCount val="38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</c:strCache>
            </c:strRef>
          </c:cat>
          <c:val>
            <c:numRef>
              <c:f>'Total Scenario'!$E$7:$E$44</c:f>
              <c:numCache>
                <c:formatCode>_-* #,##0_-;\-* #,##0_-;_-* "-"??_-;_-@_-</c:formatCode>
                <c:ptCount val="38"/>
                <c:pt idx="0">
                  <c:v>177450</c:v>
                </c:pt>
                <c:pt idx="1">
                  <c:v>177450</c:v>
                </c:pt>
                <c:pt idx="2">
                  <c:v>160878</c:v>
                </c:pt>
                <c:pt idx="3">
                  <c:v>189407</c:v>
                </c:pt>
                <c:pt idx="4">
                  <c:v>196476</c:v>
                </c:pt>
                <c:pt idx="5">
                  <c:v>190244</c:v>
                </c:pt>
                <c:pt idx="6">
                  <c:v>185394</c:v>
                </c:pt>
                <c:pt idx="7">
                  <c:v>196418</c:v>
                </c:pt>
                <c:pt idx="8">
                  <c:v>208900</c:v>
                </c:pt>
                <c:pt idx="9">
                  <c:v>208388</c:v>
                </c:pt>
                <c:pt idx="10">
                  <c:v>215574</c:v>
                </c:pt>
                <c:pt idx="11">
                  <c:v>225356</c:v>
                </c:pt>
                <c:pt idx="12">
                  <c:v>227013</c:v>
                </c:pt>
                <c:pt idx="13">
                  <c:v>207356</c:v>
                </c:pt>
                <c:pt idx="14">
                  <c:v>202674</c:v>
                </c:pt>
                <c:pt idx="15">
                  <c:v>202665</c:v>
                </c:pt>
                <c:pt idx="16">
                  <c:v>217546</c:v>
                </c:pt>
                <c:pt idx="17">
                  <c:v>213858</c:v>
                </c:pt>
                <c:pt idx="18">
                  <c:v>220865</c:v>
                </c:pt>
                <c:pt idx="19">
                  <c:v>210970</c:v>
                </c:pt>
                <c:pt idx="20">
                  <c:v>231309</c:v>
                </c:pt>
                <c:pt idx="21">
                  <c:v>213313</c:v>
                </c:pt>
                <c:pt idx="22">
                  <c:v>228895</c:v>
                </c:pt>
                <c:pt idx="23">
                  <c:v>231080</c:v>
                </c:pt>
                <c:pt idx="24">
                  <c:v>230806</c:v>
                </c:pt>
                <c:pt idx="25">
                  <c:v>222028</c:v>
                </c:pt>
                <c:pt idx="26">
                  <c:v>213977</c:v>
                </c:pt>
                <c:pt idx="27">
                  <c:v>211468</c:v>
                </c:pt>
                <c:pt idx="28">
                  <c:v>211202</c:v>
                </c:pt>
                <c:pt idx="29">
                  <c:v>225562</c:v>
                </c:pt>
                <c:pt idx="30">
                  <c:v>215528</c:v>
                </c:pt>
                <c:pt idx="31">
                  <c:v>221205</c:v>
                </c:pt>
                <c:pt idx="32">
                  <c:v>214505</c:v>
                </c:pt>
                <c:pt idx="33">
                  <c:v>217459</c:v>
                </c:pt>
                <c:pt idx="34">
                  <c:v>182118</c:v>
                </c:pt>
                <c:pt idx="35">
                  <c:v>183413</c:v>
                </c:pt>
                <c:pt idx="36">
                  <c:v>197022</c:v>
                </c:pt>
                <c:pt idx="37">
                  <c:v>223503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E-4D53-A3F0-6F0FA70DE93F}"/>
            </c:ext>
          </c:extLst>
        </c:ser>
        <c:ser>
          <c:idx val="2"/>
          <c:order val="2"/>
          <c:tx>
            <c:strRef>
              <c:f>'Total Scenario'!$F$6</c:f>
              <c:strCache>
                <c:ptCount val="1"/>
                <c:pt idx="0">
                  <c:v>NCA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strRef>
              <c:f>'Total Scenario'!$B$7:$B$44</c:f>
              <c:strCache>
                <c:ptCount val="38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</c:strCache>
            </c:strRef>
          </c:cat>
          <c:val>
            <c:numRef>
              <c:f>'Total Scenario'!$F$7:$F$44</c:f>
              <c:numCache>
                <c:formatCode>_-* #,##0_-;\-* #,##0_-;_-* "-"??_-;_-@_-</c:formatCode>
                <c:ptCount val="38"/>
                <c:pt idx="0">
                  <c:v>120152</c:v>
                </c:pt>
                <c:pt idx="1">
                  <c:v>120152</c:v>
                </c:pt>
                <c:pt idx="2">
                  <c:v>123125</c:v>
                </c:pt>
                <c:pt idx="3">
                  <c:v>125323</c:v>
                </c:pt>
                <c:pt idx="4">
                  <c:v>116080</c:v>
                </c:pt>
                <c:pt idx="5">
                  <c:v>118778</c:v>
                </c:pt>
                <c:pt idx="6">
                  <c:v>119301</c:v>
                </c:pt>
                <c:pt idx="7">
                  <c:v>128494</c:v>
                </c:pt>
                <c:pt idx="8">
                  <c:v>117222</c:v>
                </c:pt>
                <c:pt idx="9">
                  <c:v>121801</c:v>
                </c:pt>
                <c:pt idx="10">
                  <c:v>124050</c:v>
                </c:pt>
                <c:pt idx="11">
                  <c:v>123208</c:v>
                </c:pt>
                <c:pt idx="12">
                  <c:v>110371</c:v>
                </c:pt>
                <c:pt idx="13">
                  <c:v>115591</c:v>
                </c:pt>
                <c:pt idx="14">
                  <c:v>110776</c:v>
                </c:pt>
                <c:pt idx="15">
                  <c:v>118260</c:v>
                </c:pt>
                <c:pt idx="16">
                  <c:v>118043</c:v>
                </c:pt>
                <c:pt idx="17">
                  <c:v>117956</c:v>
                </c:pt>
                <c:pt idx="18">
                  <c:v>123719</c:v>
                </c:pt>
                <c:pt idx="19">
                  <c:v>123399</c:v>
                </c:pt>
                <c:pt idx="20">
                  <c:v>116641</c:v>
                </c:pt>
                <c:pt idx="21">
                  <c:v>114694</c:v>
                </c:pt>
                <c:pt idx="22">
                  <c:v>115899</c:v>
                </c:pt>
                <c:pt idx="23">
                  <c:v>119244</c:v>
                </c:pt>
                <c:pt idx="24">
                  <c:v>107130</c:v>
                </c:pt>
                <c:pt idx="25">
                  <c:v>109666</c:v>
                </c:pt>
                <c:pt idx="26">
                  <c:v>102493</c:v>
                </c:pt>
                <c:pt idx="27">
                  <c:v>97881</c:v>
                </c:pt>
                <c:pt idx="28">
                  <c:v>103971</c:v>
                </c:pt>
                <c:pt idx="29">
                  <c:v>113683</c:v>
                </c:pt>
                <c:pt idx="30">
                  <c:v>104781</c:v>
                </c:pt>
                <c:pt idx="31">
                  <c:v>109264</c:v>
                </c:pt>
                <c:pt idx="32">
                  <c:v>102761</c:v>
                </c:pt>
                <c:pt idx="33">
                  <c:v>110278</c:v>
                </c:pt>
                <c:pt idx="34">
                  <c:v>101865</c:v>
                </c:pt>
                <c:pt idx="35">
                  <c:v>112784</c:v>
                </c:pt>
                <c:pt idx="36">
                  <c:v>103117</c:v>
                </c:pt>
                <c:pt idx="37">
                  <c:v>106087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E-4D53-A3F0-6F0FA70DE93F}"/>
            </c:ext>
          </c:extLst>
        </c:ser>
        <c:ser>
          <c:idx val="3"/>
          <c:order val="3"/>
          <c:tx>
            <c:strRef>
              <c:f>'Total Scenario'!$G$6</c:f>
              <c:strCache>
                <c:ptCount val="1"/>
                <c:pt idx="0">
                  <c:v>IVC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'Total Scenario'!$B$7:$B$44</c:f>
              <c:strCache>
                <c:ptCount val="38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</c:strCache>
            </c:strRef>
          </c:cat>
          <c:val>
            <c:numRef>
              <c:f>'Total Scenario'!$G$7:$G$44</c:f>
              <c:numCache>
                <c:formatCode>_-* #,##0_-;\-* #,##0_-;_-* "-"??_-;_-@_-</c:formatCode>
                <c:ptCount val="38"/>
                <c:pt idx="0">
                  <c:v>127000</c:v>
                </c:pt>
                <c:pt idx="1">
                  <c:v>127000</c:v>
                </c:pt>
                <c:pt idx="2">
                  <c:v>127000</c:v>
                </c:pt>
                <c:pt idx="3">
                  <c:v>128000</c:v>
                </c:pt>
                <c:pt idx="4">
                  <c:v>124000</c:v>
                </c:pt>
                <c:pt idx="5">
                  <c:v>130000</c:v>
                </c:pt>
                <c:pt idx="6">
                  <c:v>125000</c:v>
                </c:pt>
                <c:pt idx="7">
                  <c:v>126347</c:v>
                </c:pt>
                <c:pt idx="8">
                  <c:v>135510</c:v>
                </c:pt>
                <c:pt idx="9">
                  <c:v>133000</c:v>
                </c:pt>
                <c:pt idx="10">
                  <c:v>139000</c:v>
                </c:pt>
                <c:pt idx="11">
                  <c:v>140473</c:v>
                </c:pt>
                <c:pt idx="12">
                  <c:v>144314</c:v>
                </c:pt>
                <c:pt idx="13">
                  <c:v>139821</c:v>
                </c:pt>
                <c:pt idx="14">
                  <c:v>139559</c:v>
                </c:pt>
                <c:pt idx="15">
                  <c:v>135954</c:v>
                </c:pt>
                <c:pt idx="16">
                  <c:v>150241</c:v>
                </c:pt>
                <c:pt idx="17">
                  <c:v>150593</c:v>
                </c:pt>
                <c:pt idx="18">
                  <c:v>109471</c:v>
                </c:pt>
                <c:pt idx="19">
                  <c:v>154121</c:v>
                </c:pt>
                <c:pt idx="20">
                  <c:v>158272</c:v>
                </c:pt>
                <c:pt idx="21">
                  <c:v>155454</c:v>
                </c:pt>
                <c:pt idx="22">
                  <c:v>156723</c:v>
                </c:pt>
                <c:pt idx="23">
                  <c:v>171000</c:v>
                </c:pt>
                <c:pt idx="24">
                  <c:v>172357</c:v>
                </c:pt>
                <c:pt idx="25">
                  <c:v>189000</c:v>
                </c:pt>
                <c:pt idx="26">
                  <c:v>162000</c:v>
                </c:pt>
                <c:pt idx="27">
                  <c:v>183000</c:v>
                </c:pt>
                <c:pt idx="28">
                  <c:v>170000</c:v>
                </c:pt>
                <c:pt idx="29">
                  <c:v>169059</c:v>
                </c:pt>
                <c:pt idx="30">
                  <c:v>129819</c:v>
                </c:pt>
                <c:pt idx="31">
                  <c:v>173684</c:v>
                </c:pt>
                <c:pt idx="32">
                  <c:v>182325</c:v>
                </c:pt>
                <c:pt idx="33">
                  <c:v>169163</c:v>
                </c:pt>
                <c:pt idx="34">
                  <c:v>124277</c:v>
                </c:pt>
                <c:pt idx="35">
                  <c:v>112341</c:v>
                </c:pt>
                <c:pt idx="36">
                  <c:v>165558</c:v>
                </c:pt>
                <c:pt idx="37">
                  <c:v>169213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E-4D53-A3F0-6F0FA70DE93F}"/>
            </c:ext>
          </c:extLst>
        </c:ser>
        <c:ser>
          <c:idx val="4"/>
          <c:order val="4"/>
          <c:tx>
            <c:strRef>
              <c:f>'Total Scenario'!$H$6</c:f>
              <c:strCache>
                <c:ptCount val="1"/>
                <c:pt idx="0">
                  <c:v>BR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'Total Scenario'!$B$7:$B$44</c:f>
              <c:strCache>
                <c:ptCount val="38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</c:strCache>
            </c:strRef>
          </c:cat>
          <c:val>
            <c:numRef>
              <c:f>'Total Scenario'!$H$7:$H$44</c:f>
              <c:numCache>
                <c:formatCode>_-* #,##0_-;\-* #,##0_-;_-* "-"??_-;_-@_-</c:formatCode>
                <c:ptCount val="38"/>
                <c:pt idx="0">
                  <c:v>58246</c:v>
                </c:pt>
                <c:pt idx="1">
                  <c:v>58246</c:v>
                </c:pt>
                <c:pt idx="2">
                  <c:v>55041</c:v>
                </c:pt>
                <c:pt idx="3">
                  <c:v>54565</c:v>
                </c:pt>
                <c:pt idx="4">
                  <c:v>60265</c:v>
                </c:pt>
                <c:pt idx="5">
                  <c:v>58305</c:v>
                </c:pt>
                <c:pt idx="6">
                  <c:v>51726</c:v>
                </c:pt>
                <c:pt idx="7">
                  <c:v>60155</c:v>
                </c:pt>
                <c:pt idx="8">
                  <c:v>60587</c:v>
                </c:pt>
                <c:pt idx="9">
                  <c:v>56465</c:v>
                </c:pt>
                <c:pt idx="10">
                  <c:v>59308</c:v>
                </c:pt>
                <c:pt idx="11">
                  <c:v>58792</c:v>
                </c:pt>
                <c:pt idx="12">
                  <c:v>57494</c:v>
                </c:pt>
                <c:pt idx="13">
                  <c:v>60163</c:v>
                </c:pt>
                <c:pt idx="14">
                  <c:v>45484</c:v>
                </c:pt>
                <c:pt idx="15">
                  <c:v>58294</c:v>
                </c:pt>
                <c:pt idx="16">
                  <c:v>60590</c:v>
                </c:pt>
                <c:pt idx="17">
                  <c:v>59912</c:v>
                </c:pt>
                <c:pt idx="18">
                  <c:v>54599</c:v>
                </c:pt>
                <c:pt idx="19">
                  <c:v>56096</c:v>
                </c:pt>
                <c:pt idx="20">
                  <c:v>57200</c:v>
                </c:pt>
                <c:pt idx="21">
                  <c:v>55439</c:v>
                </c:pt>
                <c:pt idx="22">
                  <c:v>50644</c:v>
                </c:pt>
                <c:pt idx="23">
                  <c:v>59091</c:v>
                </c:pt>
                <c:pt idx="24">
                  <c:v>60659</c:v>
                </c:pt>
                <c:pt idx="25">
                  <c:v>64016</c:v>
                </c:pt>
                <c:pt idx="26">
                  <c:v>62426</c:v>
                </c:pt>
                <c:pt idx="27">
                  <c:v>64024</c:v>
                </c:pt>
                <c:pt idx="28">
                  <c:v>63025</c:v>
                </c:pt>
                <c:pt idx="29">
                  <c:v>59942</c:v>
                </c:pt>
                <c:pt idx="30">
                  <c:v>54435</c:v>
                </c:pt>
                <c:pt idx="31">
                  <c:v>55368</c:v>
                </c:pt>
                <c:pt idx="32">
                  <c:v>62568</c:v>
                </c:pt>
                <c:pt idx="33">
                  <c:v>54742</c:v>
                </c:pt>
                <c:pt idx="34">
                  <c:v>48057</c:v>
                </c:pt>
                <c:pt idx="35">
                  <c:v>48470</c:v>
                </c:pt>
                <c:pt idx="36">
                  <c:v>54407</c:v>
                </c:pt>
                <c:pt idx="37">
                  <c:v>54301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D53-A3F0-6F0FA70DE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85039"/>
        <c:axId val="1237162576"/>
        <c:extLst/>
      </c:areaChart>
      <c:catAx>
        <c:axId val="21098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62576"/>
        <c:crosses val="autoZero"/>
        <c:auto val="1"/>
        <c:lblAlgn val="ctr"/>
        <c:lblOffset val="100"/>
        <c:noMultiLvlLbl val="0"/>
      </c:catAx>
      <c:valAx>
        <c:axId val="12371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5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</a:t>
            </a:r>
            <a:r>
              <a:rPr lang="en-US" baseline="0"/>
              <a:t> Grind</a:t>
            </a: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E4-4B4C-AECE-C2597668E6AB}"/>
              </c:ext>
            </c:extLst>
          </c:dPt>
          <c:dPt>
            <c:idx val="1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E4-4B4C-AECE-C2597668E6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E4-4B4C-AECE-C2597668E6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E4-4B4C-AECE-C2597668E6AB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E4-4B4C-AECE-C2597668E6A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'Total Scenario'!$N$49:$R$49</c:f>
              <c:strCache>
                <c:ptCount val="5"/>
                <c:pt idx="0">
                  <c:v>ECA</c:v>
                </c:pt>
                <c:pt idx="1">
                  <c:v>CAA</c:v>
                </c:pt>
                <c:pt idx="2">
                  <c:v>NCA</c:v>
                </c:pt>
                <c:pt idx="3">
                  <c:v>IVC</c:v>
                </c:pt>
                <c:pt idx="4">
                  <c:v>BR</c:v>
                </c:pt>
              </c:strCache>
            </c:strRef>
          </c:cat>
          <c:val>
            <c:numRef>
              <c:f>'Total Scenario'!$N$50:$R$50</c:f>
              <c:numCache>
                <c:formatCode>_-* #,##0_-;\-* #,##0_-;_-* "-"??_-;_-@_-</c:formatCode>
                <c:ptCount val="5"/>
                <c:pt idx="0">
                  <c:v>352926.48648648651</c:v>
                </c:pt>
                <c:pt idx="1">
                  <c:v>207723.56756756757</c:v>
                </c:pt>
                <c:pt idx="2">
                  <c:v>114647.37837837837</c:v>
                </c:pt>
                <c:pt idx="3">
                  <c:v>146768.54054054053</c:v>
                </c:pt>
                <c:pt idx="4">
                  <c:v>57266.108108108107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E4-4B4C-AECE-C2597668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bg1">
                    <a:lumMod val="95000"/>
                  </a:schemeClr>
                </a:solidFill>
              </a:rPr>
              <a:t>Visible</a:t>
            </a:r>
            <a:r>
              <a:rPr lang="en-US" sz="2000" baseline="0">
                <a:solidFill>
                  <a:schemeClr val="bg1">
                    <a:lumMod val="95000"/>
                  </a:schemeClr>
                </a:solidFill>
              </a:rPr>
              <a:t> Grind (ECA + NCA + CAA + IVC Gepex + BR) and  World Grind </a:t>
            </a:r>
            <a:endParaRPr lang="en-US" sz="2000">
              <a:solidFill>
                <a:schemeClr val="bg1">
                  <a:lumMod val="95000"/>
                </a:schemeClr>
              </a:solidFill>
            </a:endParaRPr>
          </a:p>
        </c:rich>
      </c:tx>
      <c:layout>
        <c:manualLayout>
          <c:xMode val="edge"/>
          <c:yMode val="edge"/>
          <c:x val="0.17620980106421108"/>
          <c:y val="2.2703819291900056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'Total Scenario'!$I$137</c:f>
              <c:strCache>
                <c:ptCount val="1"/>
                <c:pt idx="0">
                  <c:v>Non Visible Grind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Scenario'!$F$138:$F$145</c:f>
              <c:strCache>
                <c:ptCount val="8"/>
                <c:pt idx="0">
                  <c:v>Q1 | 23/24</c:v>
                </c:pt>
                <c:pt idx="1">
                  <c:v>Q2 | 23/24</c:v>
                </c:pt>
                <c:pt idx="2">
                  <c:v>Q3 | 23/24</c:v>
                </c:pt>
                <c:pt idx="3">
                  <c:v>Q4 | 23/24</c:v>
                </c:pt>
                <c:pt idx="4">
                  <c:v>Q1 | 24/25</c:v>
                </c:pt>
                <c:pt idx="5">
                  <c:v>Q2 | 24/25</c:v>
                </c:pt>
                <c:pt idx="6">
                  <c:v>Q3 | 24/25</c:v>
                </c:pt>
                <c:pt idx="7">
                  <c:v>Q4 | 24/25</c:v>
                </c:pt>
              </c:strCache>
            </c:strRef>
          </c:cat>
          <c:val>
            <c:numRef>
              <c:f>'Total Scenario'!$I$138:$I$145</c:f>
              <c:numCache>
                <c:formatCode>#,##0</c:formatCode>
                <c:ptCount val="8"/>
                <c:pt idx="0">
                  <c:v>234682</c:v>
                </c:pt>
                <c:pt idx="1">
                  <c:v>257431</c:v>
                </c:pt>
                <c:pt idx="2">
                  <c:v>290279</c:v>
                </c:pt>
                <c:pt idx="3">
                  <c:v>229641</c:v>
                </c:pt>
                <c:pt idx="4">
                  <c:v>241255</c:v>
                </c:pt>
                <c:pt idx="5">
                  <c:v>299660</c:v>
                </c:pt>
                <c:pt idx="6">
                  <c:v>328365</c:v>
                </c:pt>
                <c:pt idx="7">
                  <c:v>223088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6-4182-A511-C8516071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74255"/>
        <c:axId val="453270127"/>
      </c:barChart>
      <c:lineChart>
        <c:grouping val="standard"/>
        <c:varyColors val="0"/>
        <c:ser>
          <c:idx val="0"/>
          <c:order val="0"/>
          <c:tx>
            <c:strRef>
              <c:f>'Total Scenario'!$G$137</c:f>
              <c:strCache>
                <c:ptCount val="1"/>
                <c:pt idx="0">
                  <c:v>Visible Grind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Scenario'!$F$138:$F$145</c:f>
              <c:strCache>
                <c:ptCount val="8"/>
                <c:pt idx="0">
                  <c:v>Q1 | 23/24</c:v>
                </c:pt>
                <c:pt idx="1">
                  <c:v>Q2 | 23/24</c:v>
                </c:pt>
                <c:pt idx="2">
                  <c:v>Q3 | 23/24</c:v>
                </c:pt>
                <c:pt idx="3">
                  <c:v>Q4 | 23/24</c:v>
                </c:pt>
                <c:pt idx="4">
                  <c:v>Q1 | 24/25</c:v>
                </c:pt>
                <c:pt idx="5">
                  <c:v>Q2 | 24/25</c:v>
                </c:pt>
                <c:pt idx="6">
                  <c:v>Q3 | 24/25</c:v>
                </c:pt>
                <c:pt idx="7">
                  <c:v>Q4 | 24/25</c:v>
                </c:pt>
              </c:strCache>
            </c:strRef>
          </c:cat>
          <c:val>
            <c:numRef>
              <c:f>'Total Scenario'!$G$138:$G$145</c:f>
              <c:numCache>
                <c:formatCode>#,##0</c:formatCode>
                <c:ptCount val="8"/>
                <c:pt idx="0">
                  <c:v>898937</c:v>
                </c:pt>
                <c:pt idx="1">
                  <c:v>931501</c:v>
                </c:pt>
                <c:pt idx="2">
                  <c:v>857505</c:v>
                </c:pt>
                <c:pt idx="3">
                  <c:v>909648</c:v>
                </c:pt>
                <c:pt idx="4">
                  <c:v>886639</c:v>
                </c:pt>
                <c:pt idx="5">
                  <c:v>898996</c:v>
                </c:pt>
                <c:pt idx="6">
                  <c:v>775695</c:v>
                </c:pt>
                <c:pt idx="7">
                  <c:v>796661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6-4182-A511-C8516071A853}"/>
            </c:ext>
          </c:extLst>
        </c:ser>
        <c:ser>
          <c:idx val="1"/>
          <c:order val="1"/>
          <c:tx>
            <c:strRef>
              <c:f>'Total Scenario'!$H$137</c:f>
              <c:strCache>
                <c:ptCount val="1"/>
                <c:pt idx="0">
                  <c:v>Global Grind (CCS)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Scenario'!$F$138:$F$145</c:f>
              <c:strCache>
                <c:ptCount val="8"/>
                <c:pt idx="0">
                  <c:v>Q1 | 23/24</c:v>
                </c:pt>
                <c:pt idx="1">
                  <c:v>Q2 | 23/24</c:v>
                </c:pt>
                <c:pt idx="2">
                  <c:v>Q3 | 23/24</c:v>
                </c:pt>
                <c:pt idx="3">
                  <c:v>Q4 | 23/24</c:v>
                </c:pt>
                <c:pt idx="4">
                  <c:v>Q1 | 24/25</c:v>
                </c:pt>
                <c:pt idx="5">
                  <c:v>Q2 | 24/25</c:v>
                </c:pt>
                <c:pt idx="6">
                  <c:v>Q3 | 24/25</c:v>
                </c:pt>
                <c:pt idx="7">
                  <c:v>Q4 | 24/25</c:v>
                </c:pt>
              </c:strCache>
            </c:strRef>
          </c:cat>
          <c:val>
            <c:numRef>
              <c:f>'Total Scenario'!$H$138:$H$145</c:f>
              <c:numCache>
                <c:formatCode>#,##0</c:formatCode>
                <c:ptCount val="8"/>
                <c:pt idx="0">
                  <c:v>1133619</c:v>
                </c:pt>
                <c:pt idx="1">
                  <c:v>1188932</c:v>
                </c:pt>
                <c:pt idx="2">
                  <c:v>1147784</c:v>
                </c:pt>
                <c:pt idx="3">
                  <c:v>1139289</c:v>
                </c:pt>
                <c:pt idx="4">
                  <c:v>1127894</c:v>
                </c:pt>
                <c:pt idx="5">
                  <c:v>1198656</c:v>
                </c:pt>
                <c:pt idx="6">
                  <c:v>1104060</c:v>
                </c:pt>
                <c:pt idx="7">
                  <c:v>1019749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56-4182-A511-C8516071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74255"/>
        <c:axId val="453270127"/>
      </c:lineChart>
      <c:catAx>
        <c:axId val="4817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270127"/>
        <c:crosses val="autoZero"/>
        <c:auto val="1"/>
        <c:lblAlgn val="ctr"/>
        <c:lblOffset val="100"/>
        <c:noMultiLvlLbl val="0"/>
      </c:catAx>
      <c:valAx>
        <c:axId val="45327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NCA!$A$1</c:f>
          <c:strCache>
            <c:ptCount val="1"/>
            <c:pt idx="0">
              <c:v>NCA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rgbClr val="00666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908-4130-A839-A0471BEF9084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9570094364114902E-2"/>
                  <c:y val="-0.354982334547014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NCA!$B$7:$B$45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NCA!$C$7:$C$45</c:f>
              <c:numCache>
                <c:formatCode>_-* #,##0_-;\-* #,##0_-;_-* "-"??_-;_-@_-</c:formatCode>
                <c:ptCount val="39"/>
                <c:pt idx="0">
                  <c:v>120152</c:v>
                </c:pt>
                <c:pt idx="1">
                  <c:v>120152</c:v>
                </c:pt>
                <c:pt idx="2">
                  <c:v>123125</c:v>
                </c:pt>
                <c:pt idx="3">
                  <c:v>125323</c:v>
                </c:pt>
                <c:pt idx="4">
                  <c:v>116080</c:v>
                </c:pt>
                <c:pt idx="5">
                  <c:v>118778</c:v>
                </c:pt>
                <c:pt idx="6">
                  <c:v>119301</c:v>
                </c:pt>
                <c:pt idx="7">
                  <c:v>128494</c:v>
                </c:pt>
                <c:pt idx="8">
                  <c:v>117222</c:v>
                </c:pt>
                <c:pt idx="9">
                  <c:v>121801</c:v>
                </c:pt>
                <c:pt idx="10">
                  <c:v>124050</c:v>
                </c:pt>
                <c:pt idx="11">
                  <c:v>123208</c:v>
                </c:pt>
                <c:pt idx="12">
                  <c:v>110371</c:v>
                </c:pt>
                <c:pt idx="13">
                  <c:v>115591</c:v>
                </c:pt>
                <c:pt idx="14">
                  <c:v>110776</c:v>
                </c:pt>
                <c:pt idx="15">
                  <c:v>118260</c:v>
                </c:pt>
                <c:pt idx="16">
                  <c:v>118043</c:v>
                </c:pt>
                <c:pt idx="17">
                  <c:v>117956</c:v>
                </c:pt>
                <c:pt idx="18">
                  <c:v>123719</c:v>
                </c:pt>
                <c:pt idx="19">
                  <c:v>123399</c:v>
                </c:pt>
                <c:pt idx="20">
                  <c:v>116641</c:v>
                </c:pt>
                <c:pt idx="21">
                  <c:v>114694</c:v>
                </c:pt>
                <c:pt idx="22">
                  <c:v>115899</c:v>
                </c:pt>
                <c:pt idx="23">
                  <c:v>119244</c:v>
                </c:pt>
                <c:pt idx="24">
                  <c:v>107130</c:v>
                </c:pt>
                <c:pt idx="25">
                  <c:v>109666</c:v>
                </c:pt>
                <c:pt idx="26">
                  <c:v>102493</c:v>
                </c:pt>
                <c:pt idx="27">
                  <c:v>97881</c:v>
                </c:pt>
                <c:pt idx="28">
                  <c:v>103971</c:v>
                </c:pt>
                <c:pt idx="29">
                  <c:v>113683</c:v>
                </c:pt>
                <c:pt idx="30">
                  <c:v>104781</c:v>
                </c:pt>
                <c:pt idx="31">
                  <c:v>109264</c:v>
                </c:pt>
                <c:pt idx="32">
                  <c:v>102761</c:v>
                </c:pt>
                <c:pt idx="33">
                  <c:v>110278</c:v>
                </c:pt>
                <c:pt idx="34">
                  <c:v>101865</c:v>
                </c:pt>
                <c:pt idx="35">
                  <c:v>112784</c:v>
                </c:pt>
                <c:pt idx="36">
                  <c:v>103117</c:v>
                </c:pt>
                <c:pt idx="37">
                  <c:v>106087</c:v>
                </c:pt>
                <c:pt idx="38">
                  <c:v>109659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D-48D0-8202-F04624C9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3014437060504204E-2"/>
          <c:y val="0.24657666628297048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NCA!$P$10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NCA!$Q$6:$T$6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NCA!$Q$10:$T$10</c:f>
              <c:numCache>
                <c:formatCode>_-* #,##0_-;\-* #,##0_-;_-* "-"??_-;_-@_-</c:formatCode>
                <c:ptCount val="4"/>
                <c:pt idx="0">
                  <c:v>110371</c:v>
                </c:pt>
                <c:pt idx="1">
                  <c:v>115591</c:v>
                </c:pt>
                <c:pt idx="2">
                  <c:v>110776</c:v>
                </c:pt>
                <c:pt idx="3">
                  <c:v>118260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7D-423B-B5F3-F2814A191A10}"/>
            </c:ext>
          </c:extLst>
        </c:ser>
        <c:ser>
          <c:idx val="4"/>
          <c:order val="4"/>
          <c:tx>
            <c:strRef>
              <c:f>NCA!$P$11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NCA!$Q$6:$T$6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NCA!$Q$11:$T$11</c:f>
              <c:numCache>
                <c:formatCode>_-* #,##0_-;\-* #,##0_-;_-* "-"??_-;_-@_-</c:formatCode>
                <c:ptCount val="4"/>
                <c:pt idx="0">
                  <c:v>118043</c:v>
                </c:pt>
                <c:pt idx="1">
                  <c:v>117956</c:v>
                </c:pt>
                <c:pt idx="2">
                  <c:v>123719</c:v>
                </c:pt>
                <c:pt idx="3">
                  <c:v>123399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7D-423B-B5F3-F2814A191A10}"/>
            </c:ext>
          </c:extLst>
        </c:ser>
        <c:ser>
          <c:idx val="5"/>
          <c:order val="5"/>
          <c:tx>
            <c:strRef>
              <c:f>NCA!$P$12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NCA!$Q$6:$T$6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NCA!$Q$12:$T$12</c:f>
              <c:numCache>
                <c:formatCode>_-* #,##0_-;\-* #,##0_-;_-* "-"??_-;_-@_-</c:formatCode>
                <c:ptCount val="4"/>
                <c:pt idx="0">
                  <c:v>116641</c:v>
                </c:pt>
                <c:pt idx="1">
                  <c:v>114694</c:v>
                </c:pt>
                <c:pt idx="2">
                  <c:v>115899</c:v>
                </c:pt>
                <c:pt idx="3">
                  <c:v>119244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7D-423B-B5F3-F2814A191A10}"/>
            </c:ext>
          </c:extLst>
        </c:ser>
        <c:ser>
          <c:idx val="6"/>
          <c:order val="6"/>
          <c:tx>
            <c:strRef>
              <c:f>NCA!$P$13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NCA!$Q$6:$T$6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NCA!$Q$13:$T$13</c:f>
              <c:numCache>
                <c:formatCode>_-* #,##0_-;\-* #,##0_-;_-* "-"??_-;_-@_-</c:formatCode>
                <c:ptCount val="4"/>
                <c:pt idx="0">
                  <c:v>107130</c:v>
                </c:pt>
                <c:pt idx="1">
                  <c:v>109666</c:v>
                </c:pt>
                <c:pt idx="2">
                  <c:v>102493</c:v>
                </c:pt>
                <c:pt idx="3">
                  <c:v>97881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7D-423B-B5F3-F2814A191A10}"/>
            </c:ext>
          </c:extLst>
        </c:ser>
        <c:ser>
          <c:idx val="7"/>
          <c:order val="7"/>
          <c:tx>
            <c:strRef>
              <c:f>NCA!$P$14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  <a:round/>
              </a:ln>
              <a:effectLst/>
            </c:spPr>
          </c:marker>
          <c:cat>
            <c:strRef>
              <c:f>NCA!$Q$6:$T$6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NCA!$Q$14:$T$14</c:f>
              <c:numCache>
                <c:formatCode>_-* #,##0_-;\-* #,##0_-;_-* "-"??_-;_-@_-</c:formatCode>
                <c:ptCount val="4"/>
                <c:pt idx="0">
                  <c:v>103971</c:v>
                </c:pt>
                <c:pt idx="1">
                  <c:v>113683</c:v>
                </c:pt>
                <c:pt idx="2">
                  <c:v>104781</c:v>
                </c:pt>
                <c:pt idx="3">
                  <c:v>109264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7-4819-89F8-0C1CB96C4470}"/>
            </c:ext>
          </c:extLst>
        </c:ser>
        <c:ser>
          <c:idx val="8"/>
          <c:order val="8"/>
          <c:tx>
            <c:strRef>
              <c:f>NCA!$P$15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NCA!$Q$6:$T$6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NCA!$Q$15:$T$15</c:f>
              <c:numCache>
                <c:formatCode>_-* #,##0_-;\-* #,##0_-;_-* "-"??_-;_-@_-</c:formatCode>
                <c:ptCount val="4"/>
                <c:pt idx="0">
                  <c:v>102761</c:v>
                </c:pt>
                <c:pt idx="1">
                  <c:v>110278</c:v>
                </c:pt>
                <c:pt idx="2">
                  <c:v>101865</c:v>
                </c:pt>
                <c:pt idx="3">
                  <c:v>112784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0-4F43-A025-B33710D4B839}"/>
            </c:ext>
          </c:extLst>
        </c:ser>
        <c:ser>
          <c:idx val="9"/>
          <c:order val="9"/>
          <c:tx>
            <c:strRef>
              <c:f>NCA!$P$16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NCA!$Q$6:$T$6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NCA!$Q$16:$T$16</c:f>
              <c:numCache>
                <c:formatCode>_-* #,##0_-;\-* #,##0_-;_-* "-"??_-;_-@_-</c:formatCode>
                <c:ptCount val="4"/>
                <c:pt idx="0">
                  <c:v>103117</c:v>
                </c:pt>
                <c:pt idx="1">
                  <c:v>106087</c:v>
                </c:pt>
                <c:pt idx="2">
                  <c:v>109659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0-49A2-85D8-E8DBCBEB6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NCA!$P$7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NCA!$Q$6:$T$6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NCA!$Q$7:$T$7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120152</c:v>
                      </c:pt>
                      <c:pt idx="1">
                        <c:v>120152</c:v>
                      </c:pt>
                      <c:pt idx="2">
                        <c:v>123125</c:v>
                      </c:pt>
                      <c:pt idx="3">
                        <c:v>125323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D7D-423B-B5F3-F2814A191A1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NCA!$P$8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NCA!$Q$6:$T$6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NCA!$Q$8:$T$8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116080</c:v>
                      </c:pt>
                      <c:pt idx="1">
                        <c:v>118778</c:v>
                      </c:pt>
                      <c:pt idx="2">
                        <c:v>119301</c:v>
                      </c:pt>
                      <c:pt idx="3">
                        <c:v>128494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D7D-423B-B5F3-F2814A191A1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NCA!$P$9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NCA!$Q$6:$T$6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NCA!$Q$9:$T$9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117222</c:v>
                      </c:pt>
                      <c:pt idx="1">
                        <c:v>121801</c:v>
                      </c:pt>
                      <c:pt idx="2">
                        <c:v>124050</c:v>
                      </c:pt>
                      <c:pt idx="3">
                        <c:v>123208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7D-423B-B5F3-F2814A191A10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8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NCA!$P$7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NCA!$AE$7:$AH$7</c:f>
              <c:numCache>
                <c:formatCode>_-* #,##0_-;\-* #,##0_-;_-* "-"??_-;_-@_-</c:formatCode>
                <c:ptCount val="4"/>
                <c:pt idx="0">
                  <c:v>120152</c:v>
                </c:pt>
                <c:pt idx="1">
                  <c:v>240304</c:v>
                </c:pt>
                <c:pt idx="2">
                  <c:v>363429</c:v>
                </c:pt>
                <c:pt idx="3">
                  <c:v>488752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A-4EDB-9657-B40BF4221D5F}"/>
            </c:ext>
          </c:extLst>
        </c:ser>
        <c:ser>
          <c:idx val="1"/>
          <c:order val="1"/>
          <c:tx>
            <c:strRef>
              <c:f>NCA!$P$8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NCA!$AE$8:$AH$8</c:f>
              <c:numCache>
                <c:formatCode>_-* #,##0_-;\-* #,##0_-;_-* "-"??_-;_-@_-</c:formatCode>
                <c:ptCount val="4"/>
                <c:pt idx="0">
                  <c:v>116080</c:v>
                </c:pt>
                <c:pt idx="1">
                  <c:v>234858</c:v>
                </c:pt>
                <c:pt idx="2">
                  <c:v>354159</c:v>
                </c:pt>
                <c:pt idx="3">
                  <c:v>482653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A-4EDB-9657-B40BF4221D5F}"/>
            </c:ext>
          </c:extLst>
        </c:ser>
        <c:ser>
          <c:idx val="2"/>
          <c:order val="2"/>
          <c:tx>
            <c:strRef>
              <c:f>NCA!$P$9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NCA!$AE$9:$AH$9</c:f>
              <c:numCache>
                <c:formatCode>_-* #,##0_-;\-* #,##0_-;_-* "-"??_-;_-@_-</c:formatCode>
                <c:ptCount val="4"/>
                <c:pt idx="0">
                  <c:v>117222</c:v>
                </c:pt>
                <c:pt idx="1">
                  <c:v>239023</c:v>
                </c:pt>
                <c:pt idx="2">
                  <c:v>363073</c:v>
                </c:pt>
                <c:pt idx="3">
                  <c:v>486281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A-4EDB-9657-B40BF4221D5F}"/>
            </c:ext>
          </c:extLst>
        </c:ser>
        <c:ser>
          <c:idx val="3"/>
          <c:order val="3"/>
          <c:tx>
            <c:strRef>
              <c:f>NCA!$P$10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NCA!$AE$10:$AH$10</c:f>
              <c:numCache>
                <c:formatCode>_-* #,##0_-;\-* #,##0_-;_-* "-"??_-;_-@_-</c:formatCode>
                <c:ptCount val="4"/>
                <c:pt idx="0">
                  <c:v>110371</c:v>
                </c:pt>
                <c:pt idx="1">
                  <c:v>225962</c:v>
                </c:pt>
                <c:pt idx="2">
                  <c:v>336738</c:v>
                </c:pt>
                <c:pt idx="3">
                  <c:v>454998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A-4EDB-9657-B40BF4221D5F}"/>
            </c:ext>
          </c:extLst>
        </c:ser>
        <c:ser>
          <c:idx val="4"/>
          <c:order val="4"/>
          <c:tx>
            <c:strRef>
              <c:f>NCA!$P$11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NCA!$AE$11:$AH$11</c:f>
              <c:numCache>
                <c:formatCode>_-* #,##0_-;\-* #,##0_-;_-* "-"??_-;_-@_-</c:formatCode>
                <c:ptCount val="4"/>
                <c:pt idx="0">
                  <c:v>118043</c:v>
                </c:pt>
                <c:pt idx="1">
                  <c:v>235999</c:v>
                </c:pt>
                <c:pt idx="2">
                  <c:v>359718</c:v>
                </c:pt>
                <c:pt idx="3">
                  <c:v>483117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CA-4EDB-9657-B40BF4221D5F}"/>
            </c:ext>
          </c:extLst>
        </c:ser>
        <c:ser>
          <c:idx val="5"/>
          <c:order val="5"/>
          <c:tx>
            <c:strRef>
              <c:f>NCA!$P$12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NCA!$AE$12:$AH$12</c:f>
              <c:numCache>
                <c:formatCode>_-* #,##0_-;\-* #,##0_-;_-* "-"??_-;_-@_-</c:formatCode>
                <c:ptCount val="4"/>
                <c:pt idx="0">
                  <c:v>116641</c:v>
                </c:pt>
                <c:pt idx="1">
                  <c:v>231335</c:v>
                </c:pt>
                <c:pt idx="2">
                  <c:v>347234</c:v>
                </c:pt>
                <c:pt idx="3">
                  <c:v>466478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CA-4EDB-9657-B40BF4221D5F}"/>
            </c:ext>
          </c:extLst>
        </c:ser>
        <c:ser>
          <c:idx val="6"/>
          <c:order val="6"/>
          <c:tx>
            <c:strRef>
              <c:f>NCA!$P$13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NCA!$AE$13:$AH$13</c:f>
              <c:numCache>
                <c:formatCode>_-* #,##0_-;\-* #,##0_-;_-* "-"??_-;_-@_-</c:formatCode>
                <c:ptCount val="4"/>
                <c:pt idx="0">
                  <c:v>107130</c:v>
                </c:pt>
                <c:pt idx="1">
                  <c:v>216796</c:v>
                </c:pt>
                <c:pt idx="2">
                  <c:v>319289</c:v>
                </c:pt>
                <c:pt idx="3">
                  <c:v>417170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CA-4EDB-9657-B40BF4221D5F}"/>
            </c:ext>
          </c:extLst>
        </c:ser>
        <c:ser>
          <c:idx val="7"/>
          <c:order val="7"/>
          <c:tx>
            <c:strRef>
              <c:f>NCA!$P$14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NCA!$AE$14:$AH$14</c:f>
              <c:numCache>
                <c:formatCode>_-* #,##0_-;\-* #,##0_-;_-* "-"??_-;_-@_-</c:formatCode>
                <c:ptCount val="4"/>
                <c:pt idx="0">
                  <c:v>103971</c:v>
                </c:pt>
                <c:pt idx="1">
                  <c:v>217654</c:v>
                </c:pt>
                <c:pt idx="2">
                  <c:v>322435</c:v>
                </c:pt>
                <c:pt idx="3">
                  <c:v>431699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4-4861-B37C-01B43DBA84F4}"/>
            </c:ext>
          </c:extLst>
        </c:ser>
        <c:ser>
          <c:idx val="8"/>
          <c:order val="8"/>
          <c:tx>
            <c:strRef>
              <c:f>NCA!$P$15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NCA!$AE$6:$AH$6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NCA!$AE$15:$AH$15</c:f>
              <c:numCache>
                <c:formatCode>_-* #,##0_-;\-* #,##0_-;_-* "-"??_-;_-@_-</c:formatCode>
                <c:ptCount val="4"/>
                <c:pt idx="0">
                  <c:v>102761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4-4E8D-B02F-E1DE232D1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NCA!$Z$6</c:f>
          <c:strCache>
            <c:ptCount val="1"/>
            <c:pt idx="0">
              <c:v>YTD (Q1 to Q3)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NCA!$Z$6</c:f>
              <c:strCache>
                <c:ptCount val="1"/>
                <c:pt idx="0">
                  <c:v>YTD (Q1 to Q3)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NCA!$Y$7:$Y$16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NCA!$Z$7:$Z$16</c:f>
              <c:numCache>
                <c:formatCode>_-* #,##0_-;\-* #,##0_-;_-* "-"??_-;_-@_-</c:formatCode>
                <c:ptCount val="10"/>
                <c:pt idx="0">
                  <c:v>363429</c:v>
                </c:pt>
                <c:pt idx="1">
                  <c:v>354159</c:v>
                </c:pt>
                <c:pt idx="2">
                  <c:v>363073</c:v>
                </c:pt>
                <c:pt idx="3">
                  <c:v>336738</c:v>
                </c:pt>
                <c:pt idx="4">
                  <c:v>359718</c:v>
                </c:pt>
                <c:pt idx="5">
                  <c:v>347234</c:v>
                </c:pt>
                <c:pt idx="6">
                  <c:v>319289</c:v>
                </c:pt>
                <c:pt idx="7">
                  <c:v>322435</c:v>
                </c:pt>
                <c:pt idx="8">
                  <c:v>314904</c:v>
                </c:pt>
                <c:pt idx="9">
                  <c:v>318863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C-4E91-9B34-A9BDE78F6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NCA!$AA$6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NCA!$Y$7:$Y$16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NCA!$AA$7:$AA$16</c:f>
              <c:numCache>
                <c:formatCode>0.0%</c:formatCode>
                <c:ptCount val="10"/>
                <c:pt idx="1">
                  <c:v>-2.5507045392635153E-2</c:v>
                </c:pt>
                <c:pt idx="2">
                  <c:v>2.5169486021815013E-2</c:v>
                </c:pt>
                <c:pt idx="3">
                  <c:v>-7.2533622714991197E-2</c:v>
                </c:pt>
                <c:pt idx="4">
                  <c:v>6.824296634178495E-2</c:v>
                </c:pt>
                <c:pt idx="5">
                  <c:v>-3.470496333238815E-2</c:v>
                </c:pt>
                <c:pt idx="6">
                  <c:v>-8.047887015672428E-2</c:v>
                </c:pt>
                <c:pt idx="7">
                  <c:v>9.853142450882979E-3</c:v>
                </c:pt>
                <c:pt idx="8">
                  <c:v>-2.3356645525454689E-2</c:v>
                </c:pt>
                <c:pt idx="9">
                  <c:v>1.2572085460965887E-2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C-4E91-9B34-A9BDE78F6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NCA!$AC$25</c:f>
          <c:strCache>
            <c:ptCount val="1"/>
            <c:pt idx="0">
              <c:v>NCA Grinds Q3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NCA!$AA$23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NCA!$Z$24:$Z$33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NCA!$AA$24:$AA$33</c:f>
              <c:numCache>
                <c:formatCode>_-* #,##0_-;\-* #,##0_-;_-* "-"??_-;_-@_-</c:formatCode>
                <c:ptCount val="10"/>
                <c:pt idx="0">
                  <c:v>123125</c:v>
                </c:pt>
                <c:pt idx="1">
                  <c:v>119301</c:v>
                </c:pt>
                <c:pt idx="2">
                  <c:v>124050</c:v>
                </c:pt>
                <c:pt idx="3">
                  <c:v>110776</c:v>
                </c:pt>
                <c:pt idx="4">
                  <c:v>123719</c:v>
                </c:pt>
                <c:pt idx="5">
                  <c:v>115899</c:v>
                </c:pt>
                <c:pt idx="6">
                  <c:v>102493</c:v>
                </c:pt>
                <c:pt idx="7">
                  <c:v>104781</c:v>
                </c:pt>
                <c:pt idx="8">
                  <c:v>101865</c:v>
                </c:pt>
                <c:pt idx="9">
                  <c:v>109659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9-4A0C-A767-25F00CA1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CAA!$A$1</c:f>
          <c:strCache>
            <c:ptCount val="1"/>
            <c:pt idx="0">
              <c:v>CAA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rgbClr val="00666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31-4ACB-B3DB-36256E2E9090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CC0B-4B50-9064-E5518FD8FB25}"/>
              </c:ext>
            </c:extLst>
          </c:dPt>
          <c:cat>
            <c:strRef>
              <c:f>CAA!$B$8:$B$47</c:f>
              <c:strCache>
                <c:ptCount val="39"/>
                <c:pt idx="0">
                  <c:v>Q2 | 16/17</c:v>
                </c:pt>
                <c:pt idx="1">
                  <c:v>Q3 | 16/17</c:v>
                </c:pt>
                <c:pt idx="2">
                  <c:v>Q4 | 16/17</c:v>
                </c:pt>
                <c:pt idx="3">
                  <c:v>Q1 | 17/18</c:v>
                </c:pt>
                <c:pt idx="4">
                  <c:v>Q2 | 17/18</c:v>
                </c:pt>
                <c:pt idx="5">
                  <c:v>Q3 | 17/18</c:v>
                </c:pt>
                <c:pt idx="6">
                  <c:v>Q4 | 17/18</c:v>
                </c:pt>
                <c:pt idx="7">
                  <c:v>Q1 | 18/19</c:v>
                </c:pt>
                <c:pt idx="8">
                  <c:v>Q2 | 18/19</c:v>
                </c:pt>
                <c:pt idx="9">
                  <c:v>Q3 | 18/19</c:v>
                </c:pt>
                <c:pt idx="10">
                  <c:v>Q4 | 18/19</c:v>
                </c:pt>
                <c:pt idx="11">
                  <c:v>Q1 | 19/20</c:v>
                </c:pt>
                <c:pt idx="12">
                  <c:v>Q2 | 19/20</c:v>
                </c:pt>
                <c:pt idx="13">
                  <c:v>Q3 | 19/20</c:v>
                </c:pt>
                <c:pt idx="14">
                  <c:v>Q4 | 19/20</c:v>
                </c:pt>
                <c:pt idx="15">
                  <c:v>Q1 | 20/21</c:v>
                </c:pt>
                <c:pt idx="16">
                  <c:v>Q2 | 20/21</c:v>
                </c:pt>
                <c:pt idx="17">
                  <c:v>Q3 | 20/21</c:v>
                </c:pt>
                <c:pt idx="18">
                  <c:v>Q4 | 20/21</c:v>
                </c:pt>
                <c:pt idx="19">
                  <c:v>Q1 | 21/22</c:v>
                </c:pt>
                <c:pt idx="20">
                  <c:v>Q2 | 21/22</c:v>
                </c:pt>
                <c:pt idx="21">
                  <c:v>Q3 | 21/22</c:v>
                </c:pt>
                <c:pt idx="22">
                  <c:v>Q4 | 21/22</c:v>
                </c:pt>
                <c:pt idx="23">
                  <c:v>Q1 | 22/23</c:v>
                </c:pt>
                <c:pt idx="24">
                  <c:v>Q2 | 22/23</c:v>
                </c:pt>
                <c:pt idx="25">
                  <c:v>Q3 | 22/23</c:v>
                </c:pt>
                <c:pt idx="26">
                  <c:v>Q4 | 22/23</c:v>
                </c:pt>
                <c:pt idx="27">
                  <c:v>Q1 | 23/24</c:v>
                </c:pt>
                <c:pt idx="28">
                  <c:v>Q2 | 23/24</c:v>
                </c:pt>
                <c:pt idx="29">
                  <c:v>Q3 | 23/24</c:v>
                </c:pt>
                <c:pt idx="30">
                  <c:v>Q4 | 23/24</c:v>
                </c:pt>
                <c:pt idx="31">
                  <c:v>Q1 | 24/25</c:v>
                </c:pt>
                <c:pt idx="32">
                  <c:v>Q2 | 24/25</c:v>
                </c:pt>
                <c:pt idx="33">
                  <c:v>Q3 | 24/25</c:v>
                </c:pt>
                <c:pt idx="34">
                  <c:v>Q4 | 24/25</c:v>
                </c:pt>
                <c:pt idx="35">
                  <c:v>Q1 | 25/26</c:v>
                </c:pt>
                <c:pt idx="36">
                  <c:v>Q2 | 25/26</c:v>
                </c:pt>
                <c:pt idx="37">
                  <c:v>Q3 | 25/26</c:v>
                </c:pt>
                <c:pt idx="38">
                  <c:v>Q4 | 25/26</c:v>
                </c:pt>
              </c:strCache>
            </c:strRef>
          </c:cat>
          <c:val>
            <c:numRef>
              <c:f>CAA!$C$8:$C$47</c:f>
              <c:numCache>
                <c:formatCode>_-* #,##0_-;\-* #,##0_-;_-* "-"??_-;_-@_-</c:formatCode>
                <c:ptCount val="40"/>
                <c:pt idx="0">
                  <c:v>177450</c:v>
                </c:pt>
                <c:pt idx="1">
                  <c:v>160878</c:v>
                </c:pt>
                <c:pt idx="2">
                  <c:v>189407</c:v>
                </c:pt>
                <c:pt idx="3">
                  <c:v>196476</c:v>
                </c:pt>
                <c:pt idx="4">
                  <c:v>190244</c:v>
                </c:pt>
                <c:pt idx="5">
                  <c:v>185394</c:v>
                </c:pt>
                <c:pt idx="6">
                  <c:v>196418</c:v>
                </c:pt>
                <c:pt idx="7">
                  <c:v>208900</c:v>
                </c:pt>
                <c:pt idx="8">
                  <c:v>208388</c:v>
                </c:pt>
                <c:pt idx="9">
                  <c:v>215574</c:v>
                </c:pt>
                <c:pt idx="10">
                  <c:v>225356</c:v>
                </c:pt>
                <c:pt idx="11">
                  <c:v>227013</c:v>
                </c:pt>
                <c:pt idx="12">
                  <c:v>207356</c:v>
                </c:pt>
                <c:pt idx="13">
                  <c:v>202674</c:v>
                </c:pt>
                <c:pt idx="14">
                  <c:v>202665</c:v>
                </c:pt>
                <c:pt idx="15">
                  <c:v>217546</c:v>
                </c:pt>
                <c:pt idx="16">
                  <c:v>213858</c:v>
                </c:pt>
                <c:pt idx="17">
                  <c:v>220865</c:v>
                </c:pt>
                <c:pt idx="18">
                  <c:v>210970</c:v>
                </c:pt>
                <c:pt idx="19">
                  <c:v>231309</c:v>
                </c:pt>
                <c:pt idx="20">
                  <c:v>213313</c:v>
                </c:pt>
                <c:pt idx="21">
                  <c:v>228895</c:v>
                </c:pt>
                <c:pt idx="22">
                  <c:v>231080</c:v>
                </c:pt>
                <c:pt idx="23">
                  <c:v>230806</c:v>
                </c:pt>
                <c:pt idx="24">
                  <c:v>222028</c:v>
                </c:pt>
                <c:pt idx="25">
                  <c:v>213977</c:v>
                </c:pt>
                <c:pt idx="26">
                  <c:v>211468</c:v>
                </c:pt>
                <c:pt idx="27">
                  <c:v>211202</c:v>
                </c:pt>
                <c:pt idx="28">
                  <c:v>225562</c:v>
                </c:pt>
                <c:pt idx="29">
                  <c:v>215528</c:v>
                </c:pt>
                <c:pt idx="30">
                  <c:v>221205</c:v>
                </c:pt>
                <c:pt idx="31">
                  <c:v>214505</c:v>
                </c:pt>
                <c:pt idx="32">
                  <c:v>217459</c:v>
                </c:pt>
                <c:pt idx="33">
                  <c:v>182118</c:v>
                </c:pt>
                <c:pt idx="34">
                  <c:v>183413</c:v>
                </c:pt>
                <c:pt idx="35">
                  <c:v>197022</c:v>
                </c:pt>
                <c:pt idx="36">
                  <c:v>223503</c:v>
                </c:pt>
                <c:pt idx="37">
                  <c:v>224646</c:v>
                </c:pt>
                <c:pt idx="38">
                  <c:v>233767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8-4C35-BC39-9B02096BE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4"/>
          <c:order val="4"/>
          <c:tx>
            <c:strRef>
              <c:f>CAA!$P$11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CAA!$Q$6:$T$6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CAA!$Q$11:$T$11</c:f>
              <c:numCache>
                <c:formatCode>_-* #,##0_-;\-* #,##0_-;_-* "-"??_-;_-@_-</c:formatCode>
                <c:ptCount val="4"/>
                <c:pt idx="0">
                  <c:v>217546</c:v>
                </c:pt>
                <c:pt idx="1">
                  <c:v>213858</c:v>
                </c:pt>
                <c:pt idx="2">
                  <c:v>220865</c:v>
                </c:pt>
                <c:pt idx="3">
                  <c:v>210970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84-447F-B29B-DBE98DAAC957}"/>
            </c:ext>
          </c:extLst>
        </c:ser>
        <c:ser>
          <c:idx val="5"/>
          <c:order val="5"/>
          <c:tx>
            <c:strRef>
              <c:f>CAA!$P$12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CAA!$Q$6:$T$6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CAA!$Q$12:$T$12</c:f>
              <c:numCache>
                <c:formatCode>_-* #,##0_-;\-* #,##0_-;_-* "-"??_-;_-@_-</c:formatCode>
                <c:ptCount val="4"/>
                <c:pt idx="0">
                  <c:v>231309</c:v>
                </c:pt>
                <c:pt idx="1">
                  <c:v>213313</c:v>
                </c:pt>
                <c:pt idx="2">
                  <c:v>228895</c:v>
                </c:pt>
                <c:pt idx="3">
                  <c:v>231080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84-447F-B29B-DBE98DAAC957}"/>
            </c:ext>
          </c:extLst>
        </c:ser>
        <c:ser>
          <c:idx val="6"/>
          <c:order val="6"/>
          <c:tx>
            <c:strRef>
              <c:f>CAA!$P$13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CAA!$Q$6:$T$6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CAA!$Q$13:$T$13</c:f>
              <c:numCache>
                <c:formatCode>_-* #,##0_-;\-* #,##0_-;_-* "-"??_-;_-@_-</c:formatCode>
                <c:ptCount val="4"/>
                <c:pt idx="0">
                  <c:v>230806</c:v>
                </c:pt>
                <c:pt idx="1">
                  <c:v>222028</c:v>
                </c:pt>
                <c:pt idx="2">
                  <c:v>213977</c:v>
                </c:pt>
                <c:pt idx="3">
                  <c:v>211468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84-447F-B29B-DBE98DAAC957}"/>
            </c:ext>
          </c:extLst>
        </c:ser>
        <c:ser>
          <c:idx val="7"/>
          <c:order val="7"/>
          <c:tx>
            <c:strRef>
              <c:f>CAA!$P$14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CAA!$Q$6:$T$6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CAA!$Q$14:$T$14</c:f>
              <c:numCache>
                <c:formatCode>_-* #,##0_-;\-* #,##0_-;_-* "-"??_-;_-@_-</c:formatCode>
                <c:ptCount val="4"/>
                <c:pt idx="0">
                  <c:v>211202</c:v>
                </c:pt>
                <c:pt idx="1">
                  <c:v>218062</c:v>
                </c:pt>
                <c:pt idx="2">
                  <c:v>208028</c:v>
                </c:pt>
                <c:pt idx="3">
                  <c:v>213705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7-4077-B09E-4EEA4F0D2AC7}"/>
            </c:ext>
          </c:extLst>
        </c:ser>
        <c:ser>
          <c:idx val="8"/>
          <c:order val="8"/>
          <c:tx>
            <c:strRef>
              <c:f>CAA!$P$15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CAA!$Q$6:$T$6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CAA!$Q$15:$T$15</c:f>
              <c:numCache>
                <c:formatCode>_-* #,##0_-;\-* #,##0_-;_-* "-"??_-;_-@_-</c:formatCode>
                <c:ptCount val="4"/>
                <c:pt idx="0">
                  <c:v>207004</c:v>
                </c:pt>
                <c:pt idx="1">
                  <c:v>212459</c:v>
                </c:pt>
                <c:pt idx="2">
                  <c:v>179618</c:v>
                </c:pt>
                <c:pt idx="3">
                  <c:v>180913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7-4FDB-AED3-70108D7EE006}"/>
            </c:ext>
          </c:extLst>
        </c:ser>
        <c:ser>
          <c:idx val="9"/>
          <c:order val="9"/>
          <c:tx>
            <c:strRef>
              <c:f>CAA!$P$16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CAA!$Q$6:$T$6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CAA!$Q$16:$T$16</c:f>
              <c:numCache>
                <c:formatCode>_-* #,##0_-;\-* #,##0_-;_-* "-"??_-;_-@_-</c:formatCode>
                <c:ptCount val="4"/>
                <c:pt idx="0">
                  <c:v>197022</c:v>
                </c:pt>
                <c:pt idx="1">
                  <c:v>223503</c:v>
                </c:pt>
                <c:pt idx="2">
                  <c:v>224646</c:v>
                </c:pt>
                <c:pt idx="3">
                  <c:v>233767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C-428A-B401-840A2EDD3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CAA!$P$7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CAA!$Q$6:$T$6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CAA!$Q$7:$T$7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177450</c:v>
                      </c:pt>
                      <c:pt idx="1">
                        <c:v>177450</c:v>
                      </c:pt>
                      <c:pt idx="2">
                        <c:v>160878</c:v>
                      </c:pt>
                      <c:pt idx="3">
                        <c:v>189407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D84-447F-B29B-DBE98DAAC9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196476</c:v>
                      </c:pt>
                      <c:pt idx="1">
                        <c:v>190244</c:v>
                      </c:pt>
                      <c:pt idx="2">
                        <c:v>185394</c:v>
                      </c:pt>
                      <c:pt idx="3">
                        <c:v>196418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D84-447F-B29B-DBE98DAAC9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208900</c:v>
                      </c:pt>
                      <c:pt idx="1">
                        <c:v>208388</c:v>
                      </c:pt>
                      <c:pt idx="2">
                        <c:v>215574</c:v>
                      </c:pt>
                      <c:pt idx="3">
                        <c:v>225356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D84-447F-B29B-DBE98DAAC9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CAA!$P$10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CAA!$Q$10:$T$10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227013</c:v>
                      </c:pt>
                      <c:pt idx="1">
                        <c:v>207356</c:v>
                      </c:pt>
                      <c:pt idx="2">
                        <c:v>202674</c:v>
                      </c:pt>
                      <c:pt idx="3">
                        <c:v>202665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D84-447F-B29B-DBE98DAAC957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15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CAA!$P$10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CAA!$AE$6:$AH$6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CAA!$AE$10:$AH$10</c:f>
              <c:numCache>
                <c:formatCode>_-* #,##0_-;\-* #,##0_-;_-* "-"??_-;_-@_-</c:formatCode>
                <c:ptCount val="4"/>
                <c:pt idx="0">
                  <c:v>227013</c:v>
                </c:pt>
                <c:pt idx="1">
                  <c:v>434369</c:v>
                </c:pt>
                <c:pt idx="2">
                  <c:v>637043</c:v>
                </c:pt>
                <c:pt idx="3">
                  <c:v>839708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8-4970-8A20-C384BD315F68}"/>
            </c:ext>
          </c:extLst>
        </c:ser>
        <c:ser>
          <c:idx val="4"/>
          <c:order val="4"/>
          <c:tx>
            <c:strRef>
              <c:f>CAA!$P$11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CAA!$AE$6:$AH$6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CAA!$AE$11:$AH$11</c:f>
              <c:numCache>
                <c:formatCode>_-* #,##0_-;\-* #,##0_-;_-* "-"??_-;_-@_-</c:formatCode>
                <c:ptCount val="4"/>
                <c:pt idx="0">
                  <c:v>217546</c:v>
                </c:pt>
                <c:pt idx="1">
                  <c:v>431404</c:v>
                </c:pt>
                <c:pt idx="2">
                  <c:v>652269</c:v>
                </c:pt>
                <c:pt idx="3">
                  <c:v>863239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F8-4970-8A20-C384BD315F68}"/>
            </c:ext>
          </c:extLst>
        </c:ser>
        <c:ser>
          <c:idx val="5"/>
          <c:order val="5"/>
          <c:tx>
            <c:strRef>
              <c:f>CAA!$P$12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CAA!$AE$6:$AH$6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CAA!$AE$12:$AH$12</c:f>
              <c:numCache>
                <c:formatCode>_-* #,##0_-;\-* #,##0_-;_-* "-"??_-;_-@_-</c:formatCode>
                <c:ptCount val="4"/>
                <c:pt idx="0">
                  <c:v>231309</c:v>
                </c:pt>
                <c:pt idx="1">
                  <c:v>444622</c:v>
                </c:pt>
                <c:pt idx="2">
                  <c:v>673517</c:v>
                </c:pt>
                <c:pt idx="3">
                  <c:v>904597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F8-4970-8A20-C384BD315F68}"/>
            </c:ext>
          </c:extLst>
        </c:ser>
        <c:ser>
          <c:idx val="6"/>
          <c:order val="6"/>
          <c:tx>
            <c:strRef>
              <c:f>CAA!$P$13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CAA!$AE$6:$AH$6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CAA!$AE$13:$AH$13</c:f>
              <c:numCache>
                <c:formatCode>_-* #,##0_-;\-* #,##0_-;_-* "-"??_-;_-@_-</c:formatCode>
                <c:ptCount val="4"/>
                <c:pt idx="0">
                  <c:v>230806</c:v>
                </c:pt>
                <c:pt idx="1">
                  <c:v>452834</c:v>
                </c:pt>
                <c:pt idx="2">
                  <c:v>666811</c:v>
                </c:pt>
                <c:pt idx="3">
                  <c:v>878279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F8-4970-8A20-C384BD315F68}"/>
            </c:ext>
          </c:extLst>
        </c:ser>
        <c:ser>
          <c:idx val="7"/>
          <c:order val="7"/>
          <c:tx>
            <c:strRef>
              <c:f>CAA!$P$14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strRef>
              <c:f>CAA!$AE$6:$AH$6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CAA!$AE$14:$AH$14</c:f>
              <c:numCache>
                <c:formatCode>_-* #,##0_-;\-* #,##0_-;_-* "-"??_-;_-@_-</c:formatCode>
                <c:ptCount val="4"/>
                <c:pt idx="0">
                  <c:v>211202</c:v>
                </c:pt>
                <c:pt idx="1">
                  <c:v>429264</c:v>
                </c:pt>
                <c:pt idx="2">
                  <c:v>637292</c:v>
                </c:pt>
                <c:pt idx="3">
                  <c:v>850997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3-4D87-97C3-537968934836}"/>
            </c:ext>
          </c:extLst>
        </c:ser>
        <c:ser>
          <c:idx val="8"/>
          <c:order val="8"/>
          <c:tx>
            <c:strRef>
              <c:f>CAA!$P$15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CAA!$AE$6:$AH$6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CAA!$AE$15:$AH$15</c:f>
              <c:numCache>
                <c:formatCode>_-* #,##0_-;\-* #,##0_-;_-* "-"??_-;_-@_-</c:formatCode>
                <c:ptCount val="4"/>
                <c:pt idx="0">
                  <c:v>207004</c:v>
                </c:pt>
                <c:pt idx="1">
                  <c:v>419463</c:v>
                </c:pt>
                <c:pt idx="2">
                  <c:v>599081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5-40EF-BD4A-F7ECABA4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CAA!$P$7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CAA!$AE$6:$AH$6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CAA!$AE$7:$AH$7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177450</c:v>
                      </c:pt>
                      <c:pt idx="1">
                        <c:v>354900</c:v>
                      </c:pt>
                      <c:pt idx="2">
                        <c:v>515778</c:v>
                      </c:pt>
                      <c:pt idx="3">
                        <c:v>705185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DF8-4970-8A20-C384BD315F6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CAA!$AE$6:$AH$6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CAA!$AE$8:$AH$8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196476</c:v>
                      </c:pt>
                      <c:pt idx="1">
                        <c:v>386720</c:v>
                      </c:pt>
                      <c:pt idx="2">
                        <c:v>572114</c:v>
                      </c:pt>
                      <c:pt idx="3">
                        <c:v>768532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DF8-4970-8A20-C384BD315F6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CAA!$AE$6:$AH$6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CAA!$AE$9:$AH$9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208900</c:v>
                      </c:pt>
                      <c:pt idx="1">
                        <c:v>417288</c:v>
                      </c:pt>
                      <c:pt idx="2">
                        <c:v>632862</c:v>
                      </c:pt>
                      <c:pt idx="3">
                        <c:v>858218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F8-4970-8A20-C384BD315F68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CAA!$Z$6</c:f>
          <c:strCache>
            <c:ptCount val="1"/>
            <c:pt idx="0">
              <c:v>YTD (Q1 to Q4)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CAA!$Z$6</c:f>
              <c:strCache>
                <c:ptCount val="1"/>
                <c:pt idx="0">
                  <c:v>YTD (Q1 to Q4)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CAA!$Y$7:$Y$16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CAA!$Z$7:$Z$16</c:f>
              <c:numCache>
                <c:formatCode>_-* #,##0_-;\-* #,##0_-;_-* "-"??_-;_-@_-</c:formatCode>
                <c:ptCount val="10"/>
                <c:pt idx="0">
                  <c:v>705185</c:v>
                </c:pt>
                <c:pt idx="1">
                  <c:v>768532</c:v>
                </c:pt>
                <c:pt idx="2">
                  <c:v>858218</c:v>
                </c:pt>
                <c:pt idx="3">
                  <c:v>839708</c:v>
                </c:pt>
                <c:pt idx="4">
                  <c:v>863239</c:v>
                </c:pt>
                <c:pt idx="5">
                  <c:v>904597</c:v>
                </c:pt>
                <c:pt idx="6">
                  <c:v>878279</c:v>
                </c:pt>
                <c:pt idx="7">
                  <c:v>850997</c:v>
                </c:pt>
                <c:pt idx="8">
                  <c:v>779994</c:v>
                </c:pt>
                <c:pt idx="9">
                  <c:v>878938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8-41F0-BD1C-93FEE735E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CAA!$AA$6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CAA!$Y$7:$Y$16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CAA!$AA$7:$AA$16</c:f>
              <c:numCache>
                <c:formatCode>0.0%</c:formatCode>
                <c:ptCount val="10"/>
                <c:pt idx="1">
                  <c:v>8.9830328211745858E-2</c:v>
                </c:pt>
                <c:pt idx="2">
                  <c:v>0.11669780828904974</c:v>
                </c:pt>
                <c:pt idx="3">
                  <c:v>-2.1567946605640986E-2</c:v>
                </c:pt>
                <c:pt idx="4">
                  <c:v>2.8022836509834281E-2</c:v>
                </c:pt>
                <c:pt idx="5">
                  <c:v>4.791025428647222E-2</c:v>
                </c:pt>
                <c:pt idx="6">
                  <c:v>-2.9093618484253181E-2</c:v>
                </c:pt>
                <c:pt idx="7">
                  <c:v>-3.1063022114840466E-2</c:v>
                </c:pt>
                <c:pt idx="8">
                  <c:v>-8.3435076739400982E-2</c:v>
                </c:pt>
                <c:pt idx="9">
                  <c:v>0.12685225783788079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8-41F0-BD1C-93FEE735E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CAA!$AC$25</c:f>
          <c:strCache>
            <c:ptCount val="1"/>
            <c:pt idx="0">
              <c:v>CAA Grinds Q4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11573508092697E-2"/>
          <c:y val="0.15908996313473658"/>
          <c:w val="0.90903803095381575"/>
          <c:h val="0.682052860030919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CAA!$AA$23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CAA!$Z$24:$Z$33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CAA!$AA$24:$AA$33</c:f>
              <c:numCache>
                <c:formatCode>_-* #,##0_-;\-* #,##0_-;_-* "-"??_-;_-@_-</c:formatCode>
                <c:ptCount val="10"/>
                <c:pt idx="0">
                  <c:v>189407</c:v>
                </c:pt>
                <c:pt idx="1">
                  <c:v>196418</c:v>
                </c:pt>
                <c:pt idx="2">
                  <c:v>225356</c:v>
                </c:pt>
                <c:pt idx="3">
                  <c:v>202665</c:v>
                </c:pt>
                <c:pt idx="4">
                  <c:v>210970</c:v>
                </c:pt>
                <c:pt idx="5">
                  <c:v>231080</c:v>
                </c:pt>
                <c:pt idx="6">
                  <c:v>211468</c:v>
                </c:pt>
                <c:pt idx="7">
                  <c:v>213705</c:v>
                </c:pt>
                <c:pt idx="8">
                  <c:v>180913</c:v>
                </c:pt>
                <c:pt idx="9">
                  <c:v>233767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E-4212-80C9-CDF114F87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IVC!$A$1</c:f>
          <c:strCache>
            <c:ptCount val="1"/>
            <c:pt idx="0">
              <c:v>IVC (Gepex)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IVC!$B$7:$B$46</c:f>
              <c:strCache>
                <c:ptCount val="40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  <c:pt idx="39">
                  <c:v>Q4 | 25/26</c:v>
                </c:pt>
              </c:strCache>
            </c:strRef>
          </c:cat>
          <c:val>
            <c:numRef>
              <c:f>IVC!$C$7:$C$46</c:f>
              <c:numCache>
                <c:formatCode>_-* #,##0_-;\-* #,##0_-;_-* "-"??_-;_-@_-</c:formatCode>
                <c:ptCount val="40"/>
                <c:pt idx="0">
                  <c:v>127000</c:v>
                </c:pt>
                <c:pt idx="1">
                  <c:v>127000</c:v>
                </c:pt>
                <c:pt idx="2">
                  <c:v>127000</c:v>
                </c:pt>
                <c:pt idx="3">
                  <c:v>128000</c:v>
                </c:pt>
                <c:pt idx="4">
                  <c:v>124000</c:v>
                </c:pt>
                <c:pt idx="5">
                  <c:v>130000</c:v>
                </c:pt>
                <c:pt idx="6">
                  <c:v>125000</c:v>
                </c:pt>
                <c:pt idx="7">
                  <c:v>126347</c:v>
                </c:pt>
                <c:pt idx="8">
                  <c:v>135510</c:v>
                </c:pt>
                <c:pt idx="9">
                  <c:v>133000</c:v>
                </c:pt>
                <c:pt idx="10">
                  <c:v>139000</c:v>
                </c:pt>
                <c:pt idx="11">
                  <c:v>140473</c:v>
                </c:pt>
                <c:pt idx="12">
                  <c:v>144314</c:v>
                </c:pt>
                <c:pt idx="13">
                  <c:v>139821</c:v>
                </c:pt>
                <c:pt idx="14">
                  <c:v>139559</c:v>
                </c:pt>
                <c:pt idx="15">
                  <c:v>135954</c:v>
                </c:pt>
                <c:pt idx="16">
                  <c:v>150241</c:v>
                </c:pt>
                <c:pt idx="17">
                  <c:v>150593</c:v>
                </c:pt>
                <c:pt idx="18">
                  <c:v>109471</c:v>
                </c:pt>
                <c:pt idx="19">
                  <c:v>154121</c:v>
                </c:pt>
                <c:pt idx="20">
                  <c:v>158272</c:v>
                </c:pt>
                <c:pt idx="21">
                  <c:v>155454</c:v>
                </c:pt>
                <c:pt idx="22">
                  <c:v>156723</c:v>
                </c:pt>
                <c:pt idx="23">
                  <c:v>171000</c:v>
                </c:pt>
                <c:pt idx="24">
                  <c:v>172357</c:v>
                </c:pt>
                <c:pt idx="25">
                  <c:v>189000</c:v>
                </c:pt>
                <c:pt idx="26">
                  <c:v>162000</c:v>
                </c:pt>
                <c:pt idx="27">
                  <c:v>183000</c:v>
                </c:pt>
                <c:pt idx="28">
                  <c:v>170000</c:v>
                </c:pt>
                <c:pt idx="29">
                  <c:v>169059</c:v>
                </c:pt>
                <c:pt idx="30">
                  <c:v>129819</c:v>
                </c:pt>
                <c:pt idx="31">
                  <c:v>173684</c:v>
                </c:pt>
                <c:pt idx="32">
                  <c:v>182325</c:v>
                </c:pt>
                <c:pt idx="33">
                  <c:v>169163</c:v>
                </c:pt>
                <c:pt idx="34">
                  <c:v>124277</c:v>
                </c:pt>
                <c:pt idx="35">
                  <c:v>112341</c:v>
                </c:pt>
                <c:pt idx="36">
                  <c:v>165558</c:v>
                </c:pt>
                <c:pt idx="37">
                  <c:v>169213</c:v>
                </c:pt>
                <c:pt idx="38">
                  <c:v>153520</c:v>
                </c:pt>
                <c:pt idx="39">
                  <c:v>157426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78-483D-B772-A0CF0E25E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IVC!$P$10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IVC!$Q$6:$T$6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IVC!$Q$10:$T$10</c:f>
              <c:numCache>
                <c:formatCode>_-* #,##0_-;\-* #,##0_-;_-* "-"??_-;_-@_-</c:formatCode>
                <c:ptCount val="4"/>
                <c:pt idx="0">
                  <c:v>144314</c:v>
                </c:pt>
                <c:pt idx="1">
                  <c:v>139821</c:v>
                </c:pt>
                <c:pt idx="2">
                  <c:v>139559</c:v>
                </c:pt>
                <c:pt idx="3">
                  <c:v>135954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6E-401A-B115-503CDFB7F329}"/>
            </c:ext>
          </c:extLst>
        </c:ser>
        <c:ser>
          <c:idx val="4"/>
          <c:order val="4"/>
          <c:tx>
            <c:strRef>
              <c:f>IVC!$P$11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IVC!$Q$6:$T$6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IVC!$Q$11:$T$11</c:f>
              <c:numCache>
                <c:formatCode>_-* #,##0_-;\-* #,##0_-;_-* "-"??_-;_-@_-</c:formatCode>
                <c:ptCount val="4"/>
                <c:pt idx="0">
                  <c:v>150241</c:v>
                </c:pt>
                <c:pt idx="1">
                  <c:v>150593</c:v>
                </c:pt>
                <c:pt idx="2">
                  <c:v>109471</c:v>
                </c:pt>
                <c:pt idx="3">
                  <c:v>154121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6E-401A-B115-503CDFB7F329}"/>
            </c:ext>
          </c:extLst>
        </c:ser>
        <c:ser>
          <c:idx val="5"/>
          <c:order val="5"/>
          <c:tx>
            <c:strRef>
              <c:f>IVC!$P$12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IVC!$Q$6:$T$6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IVC!$Q$12:$T$12</c:f>
              <c:numCache>
                <c:formatCode>_-* #,##0_-;\-* #,##0_-;_-* "-"??_-;_-@_-</c:formatCode>
                <c:ptCount val="4"/>
                <c:pt idx="0">
                  <c:v>158272</c:v>
                </c:pt>
                <c:pt idx="1">
                  <c:v>155454</c:v>
                </c:pt>
                <c:pt idx="2">
                  <c:v>156723</c:v>
                </c:pt>
                <c:pt idx="3">
                  <c:v>171000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6E-401A-B115-503CDFB7F329}"/>
            </c:ext>
          </c:extLst>
        </c:ser>
        <c:ser>
          <c:idx val="6"/>
          <c:order val="6"/>
          <c:tx>
            <c:strRef>
              <c:f>IVC!$P$13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rgbClr val="7030A0"/>
                </a:solidFill>
                <a:round/>
              </a:ln>
              <a:effectLst/>
            </c:spPr>
          </c:marker>
          <c:cat>
            <c:strRef>
              <c:f>IVC!$Q$6:$T$6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IVC!$Q$13:$T$13</c:f>
              <c:numCache>
                <c:formatCode>_-* #,##0_-;\-* #,##0_-;_-* "-"??_-;_-@_-</c:formatCode>
                <c:ptCount val="4"/>
                <c:pt idx="0">
                  <c:v>172357</c:v>
                </c:pt>
                <c:pt idx="1">
                  <c:v>189000</c:v>
                </c:pt>
                <c:pt idx="2">
                  <c:v>162000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6E-401A-B115-503CDFB7F329}"/>
            </c:ext>
          </c:extLst>
        </c:ser>
        <c:ser>
          <c:idx val="7"/>
          <c:order val="7"/>
          <c:tx>
            <c:strRef>
              <c:f>IVC!$P$14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ysClr val="windowText" lastClr="000000"/>
                </a:solidFill>
                <a:round/>
              </a:ln>
              <a:effectLst/>
            </c:spPr>
          </c:marker>
          <c:cat>
            <c:strRef>
              <c:f>IVC!$Q$6:$T$6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IVC!$Q$14:$T$14</c:f>
              <c:numCache>
                <c:formatCode>_-* #,##0_-;\-* #,##0_-;_-* "-"??_-;_-@_-</c:formatCode>
                <c:ptCount val="4"/>
                <c:pt idx="0">
                  <c:v>170000</c:v>
                </c:pt>
                <c:pt idx="1">
                  <c:v>169059</c:v>
                </c:pt>
                <c:pt idx="2">
                  <c:v>129819</c:v>
                </c:pt>
                <c:pt idx="3">
                  <c:v>173684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1-48C9-8AC4-2EBA1B4744C1}"/>
            </c:ext>
          </c:extLst>
        </c:ser>
        <c:ser>
          <c:idx val="8"/>
          <c:order val="8"/>
          <c:tx>
            <c:strRef>
              <c:f>IVC!$P$15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IVC!$Q$6:$T$6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IVC!$Q$15:$T$15</c:f>
              <c:numCache>
                <c:formatCode>_-* #,##0_-;\-* #,##0_-;_-* "-"??_-;_-@_-</c:formatCode>
                <c:ptCount val="4"/>
                <c:pt idx="0">
                  <c:v>182325</c:v>
                </c:pt>
                <c:pt idx="1">
                  <c:v>169163</c:v>
                </c:pt>
                <c:pt idx="2">
                  <c:v>124277</c:v>
                </c:pt>
                <c:pt idx="3">
                  <c:v>112341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B-4D2A-BC6C-46E4960A5F13}"/>
            </c:ext>
          </c:extLst>
        </c:ser>
        <c:ser>
          <c:idx val="9"/>
          <c:order val="9"/>
          <c:tx>
            <c:strRef>
              <c:f>IVC!$P$16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IVC!$Q$6:$T$6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IVC!$Q$16:$T$16</c:f>
              <c:numCache>
                <c:formatCode>_-* #,##0_-;\-* #,##0_-;_-* "-"??_-;_-@_-</c:formatCode>
                <c:ptCount val="4"/>
                <c:pt idx="0">
                  <c:v>165558</c:v>
                </c:pt>
                <c:pt idx="1">
                  <c:v>169213</c:v>
                </c:pt>
                <c:pt idx="2">
                  <c:v>153520</c:v>
                </c:pt>
                <c:pt idx="3">
                  <c:v>157426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4D-4DC5-BFE6-00AE560D4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IVC!$P$7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IVC!$Q$6:$T$6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IVC!$Q$7:$T$7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127000</c:v>
                      </c:pt>
                      <c:pt idx="1">
                        <c:v>127000</c:v>
                      </c:pt>
                      <c:pt idx="2">
                        <c:v>127000</c:v>
                      </c:pt>
                      <c:pt idx="3">
                        <c:v>128000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46E-401A-B115-503CDFB7F32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IVC!$P$8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IVC!$Q$6:$T$6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IVC!$Q$8:$T$8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124000</c:v>
                      </c:pt>
                      <c:pt idx="1">
                        <c:v>130000</c:v>
                      </c:pt>
                      <c:pt idx="2">
                        <c:v>125000</c:v>
                      </c:pt>
                      <c:pt idx="3">
                        <c:v>126347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46E-401A-B115-503CDFB7F32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IVC!$P$9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IVC!$Q$6:$T$6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IVC!$Q$9:$T$9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135510</c:v>
                      </c:pt>
                      <c:pt idx="1">
                        <c:v>133000</c:v>
                      </c:pt>
                      <c:pt idx="2">
                        <c:v>139000</c:v>
                      </c:pt>
                      <c:pt idx="3">
                        <c:v>140473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46E-401A-B115-503CDFB7F329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IVC!$P$7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IVC!$AE$7:$AH$7</c:f>
              <c:numCache>
                <c:formatCode>_-* #,##0_-;\-* #,##0_-;_-* "-"??_-;_-@_-</c:formatCode>
                <c:ptCount val="4"/>
                <c:pt idx="0">
                  <c:v>127000</c:v>
                </c:pt>
                <c:pt idx="1">
                  <c:v>254000</c:v>
                </c:pt>
                <c:pt idx="2">
                  <c:v>381000</c:v>
                </c:pt>
                <c:pt idx="3">
                  <c:v>509000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E-40C4-833A-B6C0F6E95B0F}"/>
            </c:ext>
          </c:extLst>
        </c:ser>
        <c:ser>
          <c:idx val="1"/>
          <c:order val="1"/>
          <c:tx>
            <c:strRef>
              <c:f>IVC!$P$8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IVC!$AE$8:$AH$8</c:f>
              <c:numCache>
                <c:formatCode>_-* #,##0_-;\-* #,##0_-;_-* "-"??_-;_-@_-</c:formatCode>
                <c:ptCount val="4"/>
                <c:pt idx="0">
                  <c:v>124000</c:v>
                </c:pt>
                <c:pt idx="1">
                  <c:v>254000</c:v>
                </c:pt>
                <c:pt idx="2">
                  <c:v>379000</c:v>
                </c:pt>
                <c:pt idx="3">
                  <c:v>505347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E-40C4-833A-B6C0F6E95B0F}"/>
            </c:ext>
          </c:extLst>
        </c:ser>
        <c:ser>
          <c:idx val="2"/>
          <c:order val="2"/>
          <c:tx>
            <c:strRef>
              <c:f>IVC!$P$9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IVC!$AE$9:$AH$9</c:f>
              <c:numCache>
                <c:formatCode>_-* #,##0_-;\-* #,##0_-;_-* "-"??_-;_-@_-</c:formatCode>
                <c:ptCount val="4"/>
                <c:pt idx="0">
                  <c:v>135510</c:v>
                </c:pt>
                <c:pt idx="1">
                  <c:v>268510</c:v>
                </c:pt>
                <c:pt idx="2">
                  <c:v>407510</c:v>
                </c:pt>
                <c:pt idx="3">
                  <c:v>547983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BE-40C4-833A-B6C0F6E95B0F}"/>
            </c:ext>
          </c:extLst>
        </c:ser>
        <c:ser>
          <c:idx val="3"/>
          <c:order val="3"/>
          <c:tx>
            <c:strRef>
              <c:f>IVC!$P$10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IVC!$AE$10:$AH$10</c:f>
              <c:numCache>
                <c:formatCode>_-* #,##0_-;\-* #,##0_-;_-* "-"??_-;_-@_-</c:formatCode>
                <c:ptCount val="4"/>
                <c:pt idx="0">
                  <c:v>144314</c:v>
                </c:pt>
                <c:pt idx="1">
                  <c:v>284135</c:v>
                </c:pt>
                <c:pt idx="2">
                  <c:v>423694</c:v>
                </c:pt>
                <c:pt idx="3">
                  <c:v>559648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BE-40C4-833A-B6C0F6E95B0F}"/>
            </c:ext>
          </c:extLst>
        </c:ser>
        <c:ser>
          <c:idx val="4"/>
          <c:order val="4"/>
          <c:tx>
            <c:strRef>
              <c:f>IVC!$P$11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IVC!$AE$11:$AH$11</c:f>
              <c:numCache>
                <c:formatCode>_-* #,##0_-;\-* #,##0_-;_-* "-"??_-;_-@_-</c:formatCode>
                <c:ptCount val="4"/>
                <c:pt idx="0">
                  <c:v>150241</c:v>
                </c:pt>
                <c:pt idx="1">
                  <c:v>300834</c:v>
                </c:pt>
                <c:pt idx="2">
                  <c:v>410305</c:v>
                </c:pt>
                <c:pt idx="3">
                  <c:v>564426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BE-40C4-833A-B6C0F6E95B0F}"/>
            </c:ext>
          </c:extLst>
        </c:ser>
        <c:ser>
          <c:idx val="5"/>
          <c:order val="5"/>
          <c:tx>
            <c:strRef>
              <c:f>IVC!$P$12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IVC!$AE$12:$AH$12</c:f>
              <c:numCache>
                <c:formatCode>_-* #,##0_-;\-* #,##0_-;_-* "-"??_-;_-@_-</c:formatCode>
                <c:ptCount val="4"/>
                <c:pt idx="0">
                  <c:v>158272</c:v>
                </c:pt>
                <c:pt idx="1">
                  <c:v>313726</c:v>
                </c:pt>
                <c:pt idx="2">
                  <c:v>470449</c:v>
                </c:pt>
                <c:pt idx="3">
                  <c:v>641449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BE-40C4-833A-B6C0F6E95B0F}"/>
            </c:ext>
          </c:extLst>
        </c:ser>
        <c:ser>
          <c:idx val="6"/>
          <c:order val="6"/>
          <c:tx>
            <c:strRef>
              <c:f>IVC!$P$13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IVC!$AE$13:$AH$13</c:f>
              <c:numCache>
                <c:formatCode>_-* #,##0_-;\-* #,##0_-;_-* "-"??_-;_-@_-</c:formatCode>
                <c:ptCount val="4"/>
                <c:pt idx="0">
                  <c:v>172357</c:v>
                </c:pt>
                <c:pt idx="1">
                  <c:v>361357</c:v>
                </c:pt>
                <c:pt idx="2">
                  <c:v>523357</c:v>
                </c:pt>
                <c:pt idx="3">
                  <c:v>706357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BE-40C4-833A-B6C0F6E95B0F}"/>
            </c:ext>
          </c:extLst>
        </c:ser>
        <c:ser>
          <c:idx val="7"/>
          <c:order val="7"/>
          <c:tx>
            <c:strRef>
              <c:f>IVC!$P$14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IVC!$AE$14:$AH$14</c:f>
              <c:numCache>
                <c:formatCode>_-* #,##0_-;\-* #,##0_-;_-* "-"??_-;_-@_-</c:formatCode>
                <c:ptCount val="4"/>
                <c:pt idx="0">
                  <c:v>170000</c:v>
                </c:pt>
                <c:pt idx="1">
                  <c:v>339059</c:v>
                </c:pt>
                <c:pt idx="2">
                  <c:v>468878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0-4E73-AF0B-275931405725}"/>
            </c:ext>
          </c:extLst>
        </c:ser>
        <c:ser>
          <c:idx val="8"/>
          <c:order val="8"/>
          <c:tx>
            <c:strRef>
              <c:f>IVC!$P$15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IVC!$AE$6:$AH$6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IVC!$AE$15:$AH$15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0-4E73-AF0B-275931405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IVC!$Z$6</c:f>
          <c:strCache>
            <c:ptCount val="1"/>
            <c:pt idx="0">
              <c:v>YTD (Q1 to Q4)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IVC!$Z$6</c:f>
              <c:strCache>
                <c:ptCount val="1"/>
                <c:pt idx="0">
                  <c:v>YTD (Q1 to Q4)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IVC!$Y$7:$Y$16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IVC!$Z$7:$Z$16</c:f>
              <c:numCache>
                <c:formatCode>_-* #,##0_-;\-* #,##0_-;_-* "-"??_-;_-@_-</c:formatCode>
                <c:ptCount val="10"/>
                <c:pt idx="0">
                  <c:v>509000</c:v>
                </c:pt>
                <c:pt idx="1">
                  <c:v>505347</c:v>
                </c:pt>
                <c:pt idx="2">
                  <c:v>547983</c:v>
                </c:pt>
                <c:pt idx="3">
                  <c:v>559648</c:v>
                </c:pt>
                <c:pt idx="4">
                  <c:v>564426</c:v>
                </c:pt>
                <c:pt idx="5">
                  <c:v>641449</c:v>
                </c:pt>
                <c:pt idx="6">
                  <c:v>706357</c:v>
                </c:pt>
                <c:pt idx="7">
                  <c:v>642562</c:v>
                </c:pt>
                <c:pt idx="8">
                  <c:v>588106</c:v>
                </c:pt>
                <c:pt idx="9">
                  <c:v>645717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46E3-BE31-1A4F979DC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IVC!$AA$6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IVC!$Y$7:$Y$16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IVC!$AA$7:$AA$16</c:f>
              <c:numCache>
                <c:formatCode>0.0%</c:formatCode>
                <c:ptCount val="10"/>
                <c:pt idx="1">
                  <c:v>-7.1768172888015958E-3</c:v>
                </c:pt>
                <c:pt idx="2">
                  <c:v>8.4369749894626755E-2</c:v>
                </c:pt>
                <c:pt idx="3">
                  <c:v>2.1287156718365452E-2</c:v>
                </c:pt>
                <c:pt idx="4">
                  <c:v>8.5375092915547235E-3</c:v>
                </c:pt>
                <c:pt idx="5">
                  <c:v>0.13646253007480169</c:v>
                </c:pt>
                <c:pt idx="6">
                  <c:v>0.10118965030735105</c:v>
                </c:pt>
                <c:pt idx="7">
                  <c:v>-9.0315520338865474E-2</c:v>
                </c:pt>
                <c:pt idx="8">
                  <c:v>-8.4748242192971279E-2</c:v>
                </c:pt>
                <c:pt idx="9">
                  <c:v>9.796023165891854E-2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2-46E3-BE31-1A4F979DC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IVC!$AC$25</c:f>
          <c:strCache>
            <c:ptCount val="1"/>
            <c:pt idx="0">
              <c:v>IVC (Gepex) Q4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3613010448485E-2"/>
          <c:y val="0.13297225378106689"/>
          <c:w val="0.88248381458833081"/>
          <c:h val="0.70637544183145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IVC!$AA$23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IVC!$Z$24:$Z$34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IVC!$AA$24:$AA$34</c:f>
              <c:numCache>
                <c:formatCode>_-* #,##0_-;\-* #,##0_-;_-* "-"??_-;_-@_-</c:formatCode>
                <c:ptCount val="11"/>
                <c:pt idx="0">
                  <c:v>128000</c:v>
                </c:pt>
                <c:pt idx="1">
                  <c:v>126347</c:v>
                </c:pt>
                <c:pt idx="2">
                  <c:v>140473</c:v>
                </c:pt>
                <c:pt idx="3">
                  <c:v>135954</c:v>
                </c:pt>
                <c:pt idx="4">
                  <c:v>154121</c:v>
                </c:pt>
                <c:pt idx="5">
                  <c:v>171000</c:v>
                </c:pt>
                <c:pt idx="6">
                  <c:v>183000</c:v>
                </c:pt>
                <c:pt idx="7">
                  <c:v>173684</c:v>
                </c:pt>
                <c:pt idx="8">
                  <c:v>112341</c:v>
                </c:pt>
                <c:pt idx="9">
                  <c:v>157426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A-4A32-A947-0EB871D5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IVC!$J$78</c:f>
              <c:strCache>
                <c:ptCount val="1"/>
                <c:pt idx="0">
                  <c:v>GEPEX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46259842519686"/>
                  <c:y val="-0.224142242636337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IVC!$I$79:$I$86</c:f>
              <c:numCache>
                <c:formatCode>General</c:formatCode>
                <c:ptCount val="8"/>
                <c:pt idx="0">
                  <c:v>169321</c:v>
                </c:pt>
                <c:pt idx="1">
                  <c:v>205616</c:v>
                </c:pt>
                <c:pt idx="2">
                  <c:v>180911</c:v>
                </c:pt>
                <c:pt idx="3">
                  <c:v>201505</c:v>
                </c:pt>
                <c:pt idx="4">
                  <c:v>174677</c:v>
                </c:pt>
                <c:pt idx="5">
                  <c:v>182283</c:v>
                </c:pt>
                <c:pt idx="6">
                  <c:v>144915</c:v>
                </c:pt>
                <c:pt idx="7">
                  <c:v>169023</c:v>
                </c:pt>
              </c:numCache>
            </c:numRef>
          </c:xVal>
          <c:yVal>
            <c:numRef>
              <c:f>IVC!$J$79:$J$86</c:f>
              <c:numCache>
                <c:formatCode>_-* #,##0_-;\-* #,##0_-;_-* "-"??_-;_-@_-</c:formatCode>
                <c:ptCount val="8"/>
                <c:pt idx="0">
                  <c:v>172605</c:v>
                </c:pt>
                <c:pt idx="1">
                  <c:v>193588</c:v>
                </c:pt>
                <c:pt idx="2">
                  <c:v>174511</c:v>
                </c:pt>
                <c:pt idx="3">
                  <c:v>198292</c:v>
                </c:pt>
                <c:pt idx="4">
                  <c:v>180548</c:v>
                </c:pt>
                <c:pt idx="5">
                  <c:v>169059</c:v>
                </c:pt>
                <c:pt idx="6">
                  <c:v>129819</c:v>
                </c:pt>
                <c:pt idx="7">
                  <c:v>173684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9-4E3E-BD30-8B75749A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84655"/>
        <c:axId val="295394607"/>
      </c:scatterChart>
      <c:valAx>
        <c:axId val="91268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94607"/>
        <c:crosses val="autoZero"/>
        <c:crossBetween val="midCat"/>
      </c:valAx>
      <c:valAx>
        <c:axId val="2953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8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BR!$A$1</c:f>
          <c:strCache>
            <c:ptCount val="1"/>
            <c:pt idx="0">
              <c:v>Brazil Grinds (Reported)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BR!$B$7:$B$44</c:f>
              <c:strCache>
                <c:ptCount val="38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</c:strCache>
            </c:strRef>
          </c:cat>
          <c:val>
            <c:numRef>
              <c:f>BR!$C$7:$C$44</c:f>
              <c:numCache>
                <c:formatCode>_-* #,##0_-;\-* #,##0_-;_-* "-"??_-;_-@_-</c:formatCode>
                <c:ptCount val="38"/>
                <c:pt idx="0">
                  <c:v>58246</c:v>
                </c:pt>
                <c:pt idx="1">
                  <c:v>58246</c:v>
                </c:pt>
                <c:pt idx="2">
                  <c:v>55041</c:v>
                </c:pt>
                <c:pt idx="3">
                  <c:v>54565</c:v>
                </c:pt>
                <c:pt idx="4">
                  <c:v>60265</c:v>
                </c:pt>
                <c:pt idx="5">
                  <c:v>58305</c:v>
                </c:pt>
                <c:pt idx="6">
                  <c:v>51726</c:v>
                </c:pt>
                <c:pt idx="7">
                  <c:v>60155</c:v>
                </c:pt>
                <c:pt idx="8">
                  <c:v>60587</c:v>
                </c:pt>
                <c:pt idx="9">
                  <c:v>56465</c:v>
                </c:pt>
                <c:pt idx="10">
                  <c:v>59308</c:v>
                </c:pt>
                <c:pt idx="11">
                  <c:v>58792</c:v>
                </c:pt>
                <c:pt idx="12">
                  <c:v>57494</c:v>
                </c:pt>
                <c:pt idx="13">
                  <c:v>60163</c:v>
                </c:pt>
                <c:pt idx="14">
                  <c:v>45484</c:v>
                </c:pt>
                <c:pt idx="15">
                  <c:v>58294</c:v>
                </c:pt>
                <c:pt idx="16">
                  <c:v>60590</c:v>
                </c:pt>
                <c:pt idx="17">
                  <c:v>59912</c:v>
                </c:pt>
                <c:pt idx="18">
                  <c:v>54599</c:v>
                </c:pt>
                <c:pt idx="19">
                  <c:v>56096</c:v>
                </c:pt>
                <c:pt idx="20">
                  <c:v>57200</c:v>
                </c:pt>
                <c:pt idx="21">
                  <c:v>55439</c:v>
                </c:pt>
                <c:pt idx="22">
                  <c:v>50644</c:v>
                </c:pt>
                <c:pt idx="23">
                  <c:v>59091</c:v>
                </c:pt>
                <c:pt idx="24">
                  <c:v>60659</c:v>
                </c:pt>
                <c:pt idx="25">
                  <c:v>64016</c:v>
                </c:pt>
                <c:pt idx="26">
                  <c:v>62426</c:v>
                </c:pt>
                <c:pt idx="27">
                  <c:v>64024</c:v>
                </c:pt>
                <c:pt idx="28">
                  <c:v>63025</c:v>
                </c:pt>
                <c:pt idx="29">
                  <c:v>59942</c:v>
                </c:pt>
                <c:pt idx="30">
                  <c:v>54435</c:v>
                </c:pt>
                <c:pt idx="31">
                  <c:v>55368</c:v>
                </c:pt>
                <c:pt idx="32">
                  <c:v>62568</c:v>
                </c:pt>
                <c:pt idx="33">
                  <c:v>54742</c:v>
                </c:pt>
                <c:pt idx="34">
                  <c:v>48057</c:v>
                </c:pt>
                <c:pt idx="35">
                  <c:v>48470</c:v>
                </c:pt>
                <c:pt idx="36">
                  <c:v>54407</c:v>
                </c:pt>
                <c:pt idx="37">
                  <c:v>54301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4-4FBB-9B33-748A4824C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BR!$P$10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BR!$Q$6:$T$6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BR!$Q$10:$T$10</c:f>
              <c:numCache>
                <c:formatCode>_-* #,##0_-;\-* #,##0_-;_-* "-"??_-;_-@_-</c:formatCode>
                <c:ptCount val="4"/>
                <c:pt idx="0">
                  <c:v>57494</c:v>
                </c:pt>
                <c:pt idx="1">
                  <c:v>60163</c:v>
                </c:pt>
                <c:pt idx="2">
                  <c:v>45484</c:v>
                </c:pt>
                <c:pt idx="3">
                  <c:v>58294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E6-44B5-9EEF-DBC3D8CF1A53}"/>
            </c:ext>
          </c:extLst>
        </c:ser>
        <c:ser>
          <c:idx val="4"/>
          <c:order val="4"/>
          <c:tx>
            <c:strRef>
              <c:f>BR!$P$11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BR!$Q$6:$T$6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BR!$Q$11:$T$11</c:f>
              <c:numCache>
                <c:formatCode>_-* #,##0_-;\-* #,##0_-;_-* "-"??_-;_-@_-</c:formatCode>
                <c:ptCount val="4"/>
                <c:pt idx="0">
                  <c:v>60590</c:v>
                </c:pt>
                <c:pt idx="1">
                  <c:v>59912</c:v>
                </c:pt>
                <c:pt idx="2">
                  <c:v>54599</c:v>
                </c:pt>
                <c:pt idx="3">
                  <c:v>56096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E6-44B5-9EEF-DBC3D8CF1A53}"/>
            </c:ext>
          </c:extLst>
        </c:ser>
        <c:ser>
          <c:idx val="5"/>
          <c:order val="5"/>
          <c:tx>
            <c:strRef>
              <c:f>BR!$P$12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BR!$Q$6:$T$6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BR!$Q$12:$T$12</c:f>
              <c:numCache>
                <c:formatCode>_-* #,##0_-;\-* #,##0_-;_-* "-"??_-;_-@_-</c:formatCode>
                <c:ptCount val="4"/>
                <c:pt idx="0">
                  <c:v>57200</c:v>
                </c:pt>
                <c:pt idx="1">
                  <c:v>55439</c:v>
                </c:pt>
                <c:pt idx="2">
                  <c:v>50644</c:v>
                </c:pt>
                <c:pt idx="3">
                  <c:v>59091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E6-44B5-9EEF-DBC3D8CF1A53}"/>
            </c:ext>
          </c:extLst>
        </c:ser>
        <c:ser>
          <c:idx val="6"/>
          <c:order val="6"/>
          <c:tx>
            <c:strRef>
              <c:f>BR!$P$13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BR!$Q$6:$T$6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BR!$Q$13:$T$13</c:f>
              <c:numCache>
                <c:formatCode>_-* #,##0_-;\-* #,##0_-;_-* "-"??_-;_-@_-</c:formatCode>
                <c:ptCount val="4"/>
                <c:pt idx="0">
                  <c:v>60659</c:v>
                </c:pt>
                <c:pt idx="1">
                  <c:v>64016</c:v>
                </c:pt>
                <c:pt idx="2">
                  <c:v>62426</c:v>
                </c:pt>
                <c:pt idx="3">
                  <c:v>64024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E6-44B5-9EEF-DBC3D8CF1A53}"/>
            </c:ext>
          </c:extLst>
        </c:ser>
        <c:ser>
          <c:idx val="7"/>
          <c:order val="7"/>
          <c:tx>
            <c:strRef>
              <c:f>BR!$P$14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BR!$Q$6:$T$6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BR!$Q$14:$T$14</c:f>
              <c:numCache>
                <c:formatCode>_-* #,##0_-;\-* #,##0_-;_-* "-"??_-;_-@_-</c:formatCode>
                <c:ptCount val="4"/>
                <c:pt idx="0">
                  <c:v>63025</c:v>
                </c:pt>
                <c:pt idx="1">
                  <c:v>59942</c:v>
                </c:pt>
                <c:pt idx="2">
                  <c:v>54435</c:v>
                </c:pt>
                <c:pt idx="3">
                  <c:v>55368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4-4E65-9980-BB680EBFFBBF}"/>
            </c:ext>
          </c:extLst>
        </c:ser>
        <c:ser>
          <c:idx val="8"/>
          <c:order val="8"/>
          <c:tx>
            <c:strRef>
              <c:f>BR!$P$15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FF0066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FF0066"/>
                </a:solidFill>
                <a:round/>
              </a:ln>
              <a:effectLst/>
            </c:spPr>
          </c:marker>
          <c:cat>
            <c:strRef>
              <c:f>BR!$Q$6:$T$6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BR!$Q$15:$T$15</c:f>
              <c:numCache>
                <c:formatCode>_-* #,##0_-;\-* #,##0_-;_-* "-"??_-;_-@_-</c:formatCode>
                <c:ptCount val="4"/>
                <c:pt idx="0">
                  <c:v>62568</c:v>
                </c:pt>
                <c:pt idx="1">
                  <c:v>54742</c:v>
                </c:pt>
                <c:pt idx="2">
                  <c:v>48057</c:v>
                </c:pt>
                <c:pt idx="3">
                  <c:v>48470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3-4749-98C5-18F2716F3198}"/>
            </c:ext>
          </c:extLst>
        </c:ser>
        <c:ser>
          <c:idx val="9"/>
          <c:order val="9"/>
          <c:tx>
            <c:strRef>
              <c:f>BR!$P$16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BR!$Q$6:$T$6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BR!$Q$16:$T$16</c:f>
              <c:numCache>
                <c:formatCode>_-* #,##0_-;\-* #,##0_-;_-* "-"??_-;_-@_-</c:formatCode>
                <c:ptCount val="4"/>
                <c:pt idx="0">
                  <c:v>54407</c:v>
                </c:pt>
                <c:pt idx="1">
                  <c:v>54301</c:v>
                </c:pt>
                <c:pt idx="2">
                  <c:v>52197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8-4140-875B-FA885CA60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BR!$P$7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BR!$Q$6:$T$6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BR!$Q$7:$T$7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58246</c:v>
                      </c:pt>
                      <c:pt idx="1">
                        <c:v>58246</c:v>
                      </c:pt>
                      <c:pt idx="2">
                        <c:v>55041</c:v>
                      </c:pt>
                      <c:pt idx="3">
                        <c:v>54565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DE6-44B5-9EEF-DBC3D8CF1A5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60265</c:v>
                      </c:pt>
                      <c:pt idx="1">
                        <c:v>58305</c:v>
                      </c:pt>
                      <c:pt idx="2">
                        <c:v>51726</c:v>
                      </c:pt>
                      <c:pt idx="3">
                        <c:v>60155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DE6-44B5-9EEF-DBC3D8CF1A5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BR!$Q$9:$T$9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60587</c:v>
                      </c:pt>
                      <c:pt idx="1">
                        <c:v>56465</c:v>
                      </c:pt>
                      <c:pt idx="2">
                        <c:v>59308</c:v>
                      </c:pt>
                      <c:pt idx="3">
                        <c:v>58792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DE6-44B5-9EEF-DBC3D8CF1A53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BR!$P$9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BR!$AE$6:$AH$6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BR!$AE$9:$AH$9</c:f>
              <c:numCache>
                <c:formatCode>_-* #,##0_-;\-* #,##0_-;_-* "-"??_-;_-@_-</c:formatCode>
                <c:ptCount val="4"/>
                <c:pt idx="0">
                  <c:v>60587</c:v>
                </c:pt>
                <c:pt idx="1">
                  <c:v>117052</c:v>
                </c:pt>
                <c:pt idx="2">
                  <c:v>176360</c:v>
                </c:pt>
                <c:pt idx="3">
                  <c:v>235152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9-4D99-B2FB-13CAFBF95B26}"/>
            </c:ext>
          </c:extLst>
        </c:ser>
        <c:ser>
          <c:idx val="1"/>
          <c:order val="1"/>
          <c:tx>
            <c:strRef>
              <c:f>BR!$P$10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BR!$AE$6:$AH$6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BR!$AE$10:$AH$10</c:f>
              <c:numCache>
                <c:formatCode>_-* #,##0_-;\-* #,##0_-;_-* "-"??_-;_-@_-</c:formatCode>
                <c:ptCount val="4"/>
                <c:pt idx="0">
                  <c:v>57494</c:v>
                </c:pt>
                <c:pt idx="1">
                  <c:v>117657</c:v>
                </c:pt>
                <c:pt idx="2">
                  <c:v>163141</c:v>
                </c:pt>
                <c:pt idx="3">
                  <c:v>221435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A9-4D99-B2FB-13CAFBF95B26}"/>
            </c:ext>
          </c:extLst>
        </c:ser>
        <c:ser>
          <c:idx val="2"/>
          <c:order val="2"/>
          <c:tx>
            <c:strRef>
              <c:f>BR!$P$11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BR!$AE$6:$AH$6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BR!$AE$11:$AH$11</c:f>
              <c:numCache>
                <c:formatCode>_-* #,##0_-;\-* #,##0_-;_-* "-"??_-;_-@_-</c:formatCode>
                <c:ptCount val="4"/>
                <c:pt idx="0">
                  <c:v>60590</c:v>
                </c:pt>
                <c:pt idx="1">
                  <c:v>120502</c:v>
                </c:pt>
                <c:pt idx="2">
                  <c:v>175101</c:v>
                </c:pt>
                <c:pt idx="3">
                  <c:v>231197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9-4D99-B2FB-13CAFBF95B26}"/>
            </c:ext>
          </c:extLst>
        </c:ser>
        <c:ser>
          <c:idx val="3"/>
          <c:order val="3"/>
          <c:tx>
            <c:strRef>
              <c:f>BR!$P$12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BR!$AE$6:$AH$6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BR!$AE$12:$AH$12</c:f>
              <c:numCache>
                <c:formatCode>_-* #,##0_-;\-* #,##0_-;_-* "-"??_-;_-@_-</c:formatCode>
                <c:ptCount val="4"/>
                <c:pt idx="0">
                  <c:v>57200</c:v>
                </c:pt>
                <c:pt idx="1">
                  <c:v>112639</c:v>
                </c:pt>
                <c:pt idx="2">
                  <c:v>163283</c:v>
                </c:pt>
                <c:pt idx="3">
                  <c:v>222374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A9-4D99-B2FB-13CAFBF95B26}"/>
            </c:ext>
          </c:extLst>
        </c:ser>
        <c:ser>
          <c:idx val="4"/>
          <c:order val="4"/>
          <c:tx>
            <c:strRef>
              <c:f>BR!$P$13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BR!$AE$6:$AH$6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BR!$AE$13:$AH$13</c:f>
              <c:numCache>
                <c:formatCode>_-* #,##0_-;\-* #,##0_-;_-* "-"??_-;_-@_-</c:formatCode>
                <c:ptCount val="4"/>
                <c:pt idx="0">
                  <c:v>60659</c:v>
                </c:pt>
                <c:pt idx="1">
                  <c:v>124675</c:v>
                </c:pt>
                <c:pt idx="2">
                  <c:v>187101</c:v>
                </c:pt>
                <c:pt idx="3">
                  <c:v>251125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A9-4D99-B2FB-13CAFBF95B26}"/>
            </c:ext>
          </c:extLst>
        </c:ser>
        <c:ser>
          <c:idx val="5"/>
          <c:order val="5"/>
          <c:tx>
            <c:strRef>
              <c:f>BR!$P$14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BR!$AE$6:$AH$6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BR!$AE$14:$AH$14</c:f>
              <c:numCache>
                <c:formatCode>_-* #,##0_-;\-* #,##0_-;_-* "-"??_-;_-@_-</c:formatCode>
                <c:ptCount val="4"/>
                <c:pt idx="0">
                  <c:v>63025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A9-4D99-B2FB-13CAFBF95B26}"/>
            </c:ext>
          </c:extLst>
        </c:ser>
        <c:ser>
          <c:idx val="6"/>
          <c:order val="6"/>
          <c:tx>
            <c:strRef>
              <c:f>BR!$P$15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BR!$AE$6:$AH$6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BR!$AE$15:$AH$15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A9-4D99-B2FB-13CAFBF95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BR!$Z$6</c:f>
          <c:strCache>
            <c:ptCount val="1"/>
            <c:pt idx="0">
              <c:v>YTD (Q1 to Q3)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BR!$Z$6</c:f>
              <c:strCache>
                <c:ptCount val="1"/>
                <c:pt idx="0">
                  <c:v>YTD (Q1 to Q3)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BR!$Z$7:$Z$16</c:f>
              <c:numCache>
                <c:formatCode>_-* #,##0_-;\-* #,##0_-;_-* "-"??_-;_-@_-</c:formatCode>
                <c:ptCount val="10"/>
                <c:pt idx="0">
                  <c:v>171533</c:v>
                </c:pt>
                <c:pt idx="1">
                  <c:v>170296</c:v>
                </c:pt>
                <c:pt idx="2">
                  <c:v>176360</c:v>
                </c:pt>
                <c:pt idx="3">
                  <c:v>163141</c:v>
                </c:pt>
                <c:pt idx="4">
                  <c:v>175101</c:v>
                </c:pt>
                <c:pt idx="5">
                  <c:v>163283</c:v>
                </c:pt>
                <c:pt idx="6">
                  <c:v>187101</c:v>
                </c:pt>
                <c:pt idx="7">
                  <c:v>177402</c:v>
                </c:pt>
                <c:pt idx="8">
                  <c:v>165367</c:v>
                </c:pt>
                <c:pt idx="9">
                  <c:v>160905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1-40EE-A480-2815EB40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BR!$AA$6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BR!$AA$7:$AA$16</c:f>
              <c:numCache>
                <c:formatCode>0.0%</c:formatCode>
                <c:ptCount val="10"/>
                <c:pt idx="1">
                  <c:v>-7.2114403642448144E-3</c:v>
                </c:pt>
                <c:pt idx="2">
                  <c:v>3.5608587400761005E-2</c:v>
                </c:pt>
                <c:pt idx="3">
                  <c:v>-7.4954638239963733E-2</c:v>
                </c:pt>
                <c:pt idx="4">
                  <c:v>7.3310817023311214E-2</c:v>
                </c:pt>
                <c:pt idx="5">
                  <c:v>-6.7492475771126381E-2</c:v>
                </c:pt>
                <c:pt idx="6">
                  <c:v>0.14586944139928826</c:v>
                </c:pt>
                <c:pt idx="7">
                  <c:v>-5.1838311927782321E-2</c:v>
                </c:pt>
                <c:pt idx="8">
                  <c:v>-6.7840272375734201E-2</c:v>
                </c:pt>
                <c:pt idx="9">
                  <c:v>-2.6982408824009596E-2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1-40EE-A480-2815EB40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BR!$AC$25</c:f>
          <c:strCache>
            <c:ptCount val="1"/>
            <c:pt idx="0">
              <c:v>Brazil Grinds (Reported) Q3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BR!$AA$23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BR!$Z$24:$Z$33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BR!$AA$24:$AA$33</c:f>
              <c:numCache>
                <c:formatCode>_-* #,##0_-;\-* #,##0_-;_-* "-"??_-;_-@_-</c:formatCode>
                <c:ptCount val="10"/>
                <c:pt idx="0">
                  <c:v>55041</c:v>
                </c:pt>
                <c:pt idx="1">
                  <c:v>51726</c:v>
                </c:pt>
                <c:pt idx="2">
                  <c:v>59308</c:v>
                </c:pt>
                <c:pt idx="3">
                  <c:v>45484</c:v>
                </c:pt>
                <c:pt idx="4">
                  <c:v>54599</c:v>
                </c:pt>
                <c:pt idx="5">
                  <c:v>50644</c:v>
                </c:pt>
                <c:pt idx="6">
                  <c:v>62426</c:v>
                </c:pt>
                <c:pt idx="7">
                  <c:v>54435</c:v>
                </c:pt>
                <c:pt idx="8">
                  <c:v>48057</c:v>
                </c:pt>
                <c:pt idx="9">
                  <c:v>52197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9-44E2-B383-F59C5518D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 non german'!$A$1</c:f>
          <c:strCache>
            <c:ptCount val="1"/>
            <c:pt idx="0">
              <c:v>ECA : Non German Grind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'ECA non german'!$B$7:$B$43</c:f>
              <c:strCache>
                <c:ptCount val="37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</c:strCache>
            </c:strRef>
          </c:cat>
          <c:val>
            <c:numRef>
              <c:f>'ECA non german'!$C$7:$C$43</c:f>
              <c:numCache>
                <c:formatCode>_-* #,##0_-;\-* #,##0_-;_-* "-"??_-;_-@_-</c:formatCode>
                <c:ptCount val="37"/>
                <c:pt idx="0">
                  <c:v>248318</c:v>
                </c:pt>
                <c:pt idx="1">
                  <c:v>248318</c:v>
                </c:pt>
                <c:pt idx="2">
                  <c:v>244121</c:v>
                </c:pt>
                <c:pt idx="3">
                  <c:v>249931</c:v>
                </c:pt>
                <c:pt idx="4">
                  <c:v>254737</c:v>
                </c:pt>
                <c:pt idx="5">
                  <c:v>258790</c:v>
                </c:pt>
                <c:pt idx="6">
                  <c:v>261752</c:v>
                </c:pt>
                <c:pt idx="7">
                  <c:v>256976</c:v>
                </c:pt>
                <c:pt idx="8">
                  <c:v>259922</c:v>
                </c:pt>
                <c:pt idx="9">
                  <c:v>268861</c:v>
                </c:pt>
                <c:pt idx="10">
                  <c:v>250687</c:v>
                </c:pt>
                <c:pt idx="11">
                  <c:v>259607</c:v>
                </c:pt>
                <c:pt idx="12">
                  <c:v>256951</c:v>
                </c:pt>
                <c:pt idx="13">
                  <c:v>269375</c:v>
                </c:pt>
                <c:pt idx="14">
                  <c:v>235223</c:v>
                </c:pt>
                <c:pt idx="15">
                  <c:v>252375</c:v>
                </c:pt>
                <c:pt idx="16">
                  <c:v>252117</c:v>
                </c:pt>
                <c:pt idx="17">
                  <c:v>266333</c:v>
                </c:pt>
                <c:pt idx="18">
                  <c:v>263790</c:v>
                </c:pt>
                <c:pt idx="19">
                  <c:v>267196</c:v>
                </c:pt>
                <c:pt idx="20">
                  <c:v>265677</c:v>
                </c:pt>
                <c:pt idx="21">
                  <c:v>275480</c:v>
                </c:pt>
                <c:pt idx="22">
                  <c:v>267583</c:v>
                </c:pt>
                <c:pt idx="23">
                  <c:v>266147</c:v>
                </c:pt>
                <c:pt idx="24">
                  <c:v>260031</c:v>
                </c:pt>
                <c:pt idx="25">
                  <c:v>273452</c:v>
                </c:pt>
                <c:pt idx="26">
                  <c:v>248981</c:v>
                </c:pt>
                <c:pt idx="27">
                  <c:v>267154</c:v>
                </c:pt>
                <c:pt idx="28">
                  <c:v>253318</c:v>
                </c:pt>
                <c:pt idx="29">
                  <c:v>261397.86956521741</c:v>
                </c:pt>
                <c:pt idx="30">
                  <c:v>255502</c:v>
                </c:pt>
                <c:pt idx="31">
                  <c:v>253982.86303543099</c:v>
                </c:pt>
                <c:pt idx="32">
                  <c:v>241835.99599999998</c:v>
                </c:pt>
                <c:pt idx="33">
                  <c:v>256104</c:v>
                </c:pt>
                <c:pt idx="34">
                  <c:v>247482</c:v>
                </c:pt>
                <c:pt idx="35">
                  <c:v>242471</c:v>
                </c:pt>
                <c:pt idx="36">
                  <c:v>223374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3-4BAF-BF83-36AFFFFC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'ECA non german'!$P$10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'ECA non german'!$Q$6:$T$6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non german'!$Q$10:$T$10</c:f>
              <c:numCache>
                <c:formatCode>_-* #,##0_-;\-* #,##0_-;_-* "-"??_-;_-@_-</c:formatCode>
                <c:ptCount val="4"/>
                <c:pt idx="0">
                  <c:v>256951</c:v>
                </c:pt>
                <c:pt idx="1">
                  <c:v>269375</c:v>
                </c:pt>
                <c:pt idx="2">
                  <c:v>235223</c:v>
                </c:pt>
                <c:pt idx="3">
                  <c:v>252375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5-4860-934A-D206E55540D6}"/>
            </c:ext>
          </c:extLst>
        </c:ser>
        <c:ser>
          <c:idx val="4"/>
          <c:order val="4"/>
          <c:tx>
            <c:strRef>
              <c:f>'ECA non german'!$P$11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'ECA non german'!$Q$6:$T$6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non german'!$Q$11:$T$11</c:f>
              <c:numCache>
                <c:formatCode>_-* #,##0_-;\-* #,##0_-;_-* "-"??_-;_-@_-</c:formatCode>
                <c:ptCount val="4"/>
                <c:pt idx="0">
                  <c:v>252117</c:v>
                </c:pt>
                <c:pt idx="1">
                  <c:v>266333</c:v>
                </c:pt>
                <c:pt idx="2">
                  <c:v>263790</c:v>
                </c:pt>
                <c:pt idx="3">
                  <c:v>267196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5-4860-934A-D206E55540D6}"/>
            </c:ext>
          </c:extLst>
        </c:ser>
        <c:ser>
          <c:idx val="5"/>
          <c:order val="5"/>
          <c:tx>
            <c:strRef>
              <c:f>'ECA non german'!$P$12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'ECA non german'!$Q$6:$T$6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non german'!$Q$12:$T$12</c:f>
              <c:numCache>
                <c:formatCode>_-* #,##0_-;\-* #,##0_-;_-* "-"??_-;_-@_-</c:formatCode>
                <c:ptCount val="4"/>
                <c:pt idx="0">
                  <c:v>265677</c:v>
                </c:pt>
                <c:pt idx="1">
                  <c:v>275480</c:v>
                </c:pt>
                <c:pt idx="2">
                  <c:v>267583</c:v>
                </c:pt>
                <c:pt idx="3">
                  <c:v>266147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95-4860-934A-D206E55540D6}"/>
            </c:ext>
          </c:extLst>
        </c:ser>
        <c:ser>
          <c:idx val="6"/>
          <c:order val="6"/>
          <c:tx>
            <c:strRef>
              <c:f>'ECA non german'!$P$13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'ECA non german'!$Q$6:$T$6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non german'!$Q$13:$T$13</c:f>
              <c:numCache>
                <c:formatCode>_-* #,##0_-;\-* #,##0_-;_-* "-"??_-;_-@_-</c:formatCode>
                <c:ptCount val="4"/>
                <c:pt idx="0">
                  <c:v>260031</c:v>
                </c:pt>
                <c:pt idx="1">
                  <c:v>273452</c:v>
                </c:pt>
                <c:pt idx="2">
                  <c:v>248981</c:v>
                </c:pt>
                <c:pt idx="3">
                  <c:v>267154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95-4860-934A-D206E55540D6}"/>
            </c:ext>
          </c:extLst>
        </c:ser>
        <c:ser>
          <c:idx val="7"/>
          <c:order val="7"/>
          <c:tx>
            <c:strRef>
              <c:f>'ECA non german'!$P$14</c:f>
              <c:strCache>
                <c:ptCount val="1"/>
                <c:pt idx="0">
                  <c:v>23/24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'ECA non german'!$Q$6:$T$6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non german'!$Q$14:$T$14</c:f>
              <c:numCache>
                <c:formatCode>_-* #,##0_-;\-* #,##0_-;_-* "-"??_-;_-@_-</c:formatCode>
                <c:ptCount val="4"/>
                <c:pt idx="0">
                  <c:v>253318</c:v>
                </c:pt>
                <c:pt idx="1">
                  <c:v>261397.86956521741</c:v>
                </c:pt>
                <c:pt idx="2">
                  <c:v>255502</c:v>
                </c:pt>
                <c:pt idx="3">
                  <c:v>253982.86303543099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95-4860-934A-D206E55540D6}"/>
            </c:ext>
          </c:extLst>
        </c:ser>
        <c:ser>
          <c:idx val="8"/>
          <c:order val="8"/>
          <c:tx>
            <c:strRef>
              <c:f>'ECA non german'!$P$15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 non german'!$Q$6:$T$6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non german'!$Q$15:$T$15</c:f>
              <c:numCache>
                <c:formatCode>_-* #,##0_-;\-* #,##0_-;_-* "-"??_-;_-@_-</c:formatCode>
                <c:ptCount val="4"/>
                <c:pt idx="0">
                  <c:v>241835.99599999998</c:v>
                </c:pt>
                <c:pt idx="1">
                  <c:v>256104</c:v>
                </c:pt>
                <c:pt idx="2">
                  <c:v>247482</c:v>
                </c:pt>
                <c:pt idx="3">
                  <c:v>242471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95-4860-934A-D206E55540D6}"/>
            </c:ext>
          </c:extLst>
        </c:ser>
        <c:ser>
          <c:idx val="9"/>
          <c:order val="9"/>
          <c:tx>
            <c:strRef>
              <c:f>'ECA non german'!$P$16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 non german'!$Q$6:$T$6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 non german'!$Q$16:$T$16</c:f>
              <c:numCache>
                <c:formatCode>_-* #,##0_-;\-* #,##0_-;_-* "-"??_-;_-@_-</c:formatCode>
                <c:ptCount val="4"/>
                <c:pt idx="0">
                  <c:v>223374</c:v>
                </c:pt>
                <c:pt idx="1">
                  <c:v>233347.90000000002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B-41BB-82A9-812AD254A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'ECA non german'!$P$7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'ECA non german'!$Q$6:$T$6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'ECA non german'!$Q$7:$T$7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248318</c:v>
                      </c:pt>
                      <c:pt idx="1">
                        <c:v>248318</c:v>
                      </c:pt>
                      <c:pt idx="2">
                        <c:v>244121</c:v>
                      </c:pt>
                      <c:pt idx="3">
                        <c:v>249931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895-4860-934A-D206E55540D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non german'!$P$8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non german'!$Q$6:$T$6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non german'!$Q$8:$T$8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254737</c:v>
                      </c:pt>
                      <c:pt idx="1">
                        <c:v>258790</c:v>
                      </c:pt>
                      <c:pt idx="2">
                        <c:v>261752</c:v>
                      </c:pt>
                      <c:pt idx="3">
                        <c:v>256976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895-4860-934A-D206E55540D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non german'!$P$9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non german'!$Q$6:$T$6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 non german'!$Q$9:$T$9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259922</c:v>
                      </c:pt>
                      <c:pt idx="1">
                        <c:v>268861</c:v>
                      </c:pt>
                      <c:pt idx="2">
                        <c:v>250687</c:v>
                      </c:pt>
                      <c:pt idx="3">
                        <c:v>259607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895-4860-934A-D206E55540D6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20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 non german'!$Z$6</c:f>
          <c:strCache>
            <c:ptCount val="1"/>
            <c:pt idx="0">
              <c:v>YTD (Q1 to Q2)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'ECA non german'!$Z$6</c:f>
              <c:strCache>
                <c:ptCount val="1"/>
                <c:pt idx="0">
                  <c:v>YTD (Q1 to Q2)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'ECA non german'!$Y$7:$Y$16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 non german'!$Z$7:$Z$16</c:f>
              <c:numCache>
                <c:formatCode>_-* #,##0_-;\-* #,##0_-;_-* "-"??_-;_-@_-</c:formatCode>
                <c:ptCount val="10"/>
                <c:pt idx="0">
                  <c:v>496636</c:v>
                </c:pt>
                <c:pt idx="1">
                  <c:v>513527</c:v>
                </c:pt>
                <c:pt idx="2">
                  <c:v>528783</c:v>
                </c:pt>
                <c:pt idx="3">
                  <c:v>526326</c:v>
                </c:pt>
                <c:pt idx="4">
                  <c:v>518450</c:v>
                </c:pt>
                <c:pt idx="5">
                  <c:v>541157</c:v>
                </c:pt>
                <c:pt idx="6">
                  <c:v>533483</c:v>
                </c:pt>
                <c:pt idx="7">
                  <c:v>514715.86956521741</c:v>
                </c:pt>
                <c:pt idx="8">
                  <c:v>497939.99599999998</c:v>
                </c:pt>
                <c:pt idx="9">
                  <c:v>456721.9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1-4ECE-9FF0-A48A56937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'ECA non german'!$AA$6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'ECA non german'!$Y$7:$Y$16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 non german'!$AA$7:$AA$16</c:f>
              <c:numCache>
                <c:formatCode>0.0%</c:formatCode>
                <c:ptCount val="10"/>
                <c:pt idx="1">
                  <c:v>3.4010824829452613E-2</c:v>
                </c:pt>
                <c:pt idx="2">
                  <c:v>2.9708272398530244E-2</c:v>
                </c:pt>
                <c:pt idx="3">
                  <c:v>-4.6465185151565169E-3</c:v>
                </c:pt>
                <c:pt idx="4">
                  <c:v>-1.4964109696271932E-2</c:v>
                </c:pt>
                <c:pt idx="5">
                  <c:v>4.3797859002796757E-2</c:v>
                </c:pt>
                <c:pt idx="6">
                  <c:v>-1.4180727589220843E-2</c:v>
                </c:pt>
                <c:pt idx="7">
                  <c:v>-3.5178497599328562E-2</c:v>
                </c:pt>
                <c:pt idx="8">
                  <c:v>-3.259249336801695E-2</c:v>
                </c:pt>
                <c:pt idx="9">
                  <c:v>-8.2777234869881755E-2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C1-4ECE-9FF0-A48A56937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 non german'!$AC$25</c:f>
          <c:strCache>
            <c:ptCount val="1"/>
            <c:pt idx="0">
              <c:v>ECA : Non German Grind Q2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'ECA non german'!$AA$23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'ECA non german'!$Z$24:$Z$33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 non german'!$AA$24:$AA$33</c:f>
              <c:numCache>
                <c:formatCode>_-* #,##0_-;\-* #,##0_-;_-* "-"??_-;_-@_-</c:formatCode>
                <c:ptCount val="10"/>
                <c:pt idx="0">
                  <c:v>248318</c:v>
                </c:pt>
                <c:pt idx="1">
                  <c:v>258790</c:v>
                </c:pt>
                <c:pt idx="2">
                  <c:v>268861</c:v>
                </c:pt>
                <c:pt idx="3">
                  <c:v>269375</c:v>
                </c:pt>
                <c:pt idx="4">
                  <c:v>266333</c:v>
                </c:pt>
                <c:pt idx="5">
                  <c:v>275480</c:v>
                </c:pt>
                <c:pt idx="6">
                  <c:v>273452</c:v>
                </c:pt>
                <c:pt idx="7">
                  <c:v>261397.86956521741</c:v>
                </c:pt>
                <c:pt idx="8">
                  <c:v>256104</c:v>
                </c:pt>
                <c:pt idx="9">
                  <c:v>233347.90000000002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7-47CC-9C68-FEB72E0F9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MCB!$D$1</c:f>
              <c:strCache>
                <c:ptCount val="1"/>
                <c:pt idx="0">
                  <c:v>MCB Grind (MT)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MCB!$C$2:$C$75</c:f>
              <c:strCache>
                <c:ptCount val="74"/>
                <c:pt idx="0">
                  <c:v>Q4-07</c:v>
                </c:pt>
                <c:pt idx="1">
                  <c:v>Q1-08</c:v>
                </c:pt>
                <c:pt idx="2">
                  <c:v>Q2-08</c:v>
                </c:pt>
                <c:pt idx="3">
                  <c:v>Q3-08</c:v>
                </c:pt>
                <c:pt idx="4">
                  <c:v>Q4-08</c:v>
                </c:pt>
                <c:pt idx="5">
                  <c:v>Q1-09</c:v>
                </c:pt>
                <c:pt idx="6">
                  <c:v>Q2-09</c:v>
                </c:pt>
                <c:pt idx="7">
                  <c:v>Q3-09</c:v>
                </c:pt>
                <c:pt idx="8">
                  <c:v>Q4-09</c:v>
                </c:pt>
                <c:pt idx="9">
                  <c:v>Q1-10</c:v>
                </c:pt>
                <c:pt idx="10">
                  <c:v>Q2-10</c:v>
                </c:pt>
                <c:pt idx="11">
                  <c:v>Q3-10</c:v>
                </c:pt>
                <c:pt idx="12">
                  <c:v>Q4-10</c:v>
                </c:pt>
                <c:pt idx="13">
                  <c:v>Q1-11</c:v>
                </c:pt>
                <c:pt idx="14">
                  <c:v>Q2-11</c:v>
                </c:pt>
                <c:pt idx="15">
                  <c:v>Q3-11</c:v>
                </c:pt>
                <c:pt idx="16">
                  <c:v>Q4-11</c:v>
                </c:pt>
                <c:pt idx="17">
                  <c:v>Q1-12</c:v>
                </c:pt>
                <c:pt idx="18">
                  <c:v>Q2-12</c:v>
                </c:pt>
                <c:pt idx="19">
                  <c:v>Q3-12</c:v>
                </c:pt>
                <c:pt idx="20">
                  <c:v>Q4-12</c:v>
                </c:pt>
                <c:pt idx="21">
                  <c:v>Q1-13</c:v>
                </c:pt>
                <c:pt idx="22">
                  <c:v>Q2-13</c:v>
                </c:pt>
                <c:pt idx="23">
                  <c:v>Q3-13</c:v>
                </c:pt>
                <c:pt idx="24">
                  <c:v>Q4-13</c:v>
                </c:pt>
                <c:pt idx="25">
                  <c:v>Q1-14</c:v>
                </c:pt>
                <c:pt idx="26">
                  <c:v>Q2-14</c:v>
                </c:pt>
                <c:pt idx="27">
                  <c:v>Q3-14</c:v>
                </c:pt>
                <c:pt idx="28">
                  <c:v>Q4-14</c:v>
                </c:pt>
                <c:pt idx="29">
                  <c:v>Q1-15</c:v>
                </c:pt>
                <c:pt idx="30">
                  <c:v>Q2-15</c:v>
                </c:pt>
                <c:pt idx="31">
                  <c:v>Q3-15</c:v>
                </c:pt>
                <c:pt idx="32">
                  <c:v>Q4-15</c:v>
                </c:pt>
                <c:pt idx="33">
                  <c:v>Q1-16</c:v>
                </c:pt>
                <c:pt idx="34">
                  <c:v>Q2-16</c:v>
                </c:pt>
                <c:pt idx="35">
                  <c:v>Q3-16</c:v>
                </c:pt>
                <c:pt idx="36">
                  <c:v>Q4-16</c:v>
                </c:pt>
                <c:pt idx="37">
                  <c:v>Q1-17</c:v>
                </c:pt>
                <c:pt idx="38">
                  <c:v>Q2-17</c:v>
                </c:pt>
                <c:pt idx="39">
                  <c:v>Q3-17</c:v>
                </c:pt>
                <c:pt idx="40">
                  <c:v>Q4-17</c:v>
                </c:pt>
                <c:pt idx="41">
                  <c:v>Q1-18</c:v>
                </c:pt>
                <c:pt idx="42">
                  <c:v>Q2-18</c:v>
                </c:pt>
                <c:pt idx="43">
                  <c:v>Q3-18</c:v>
                </c:pt>
                <c:pt idx="44">
                  <c:v>Q4-18</c:v>
                </c:pt>
                <c:pt idx="45">
                  <c:v>Q1-19</c:v>
                </c:pt>
                <c:pt idx="46">
                  <c:v>Q2-19</c:v>
                </c:pt>
                <c:pt idx="47">
                  <c:v>Q3-19</c:v>
                </c:pt>
                <c:pt idx="48">
                  <c:v>Q4-19</c:v>
                </c:pt>
                <c:pt idx="49">
                  <c:v>Q1-20</c:v>
                </c:pt>
                <c:pt idx="50">
                  <c:v>Q2-20</c:v>
                </c:pt>
                <c:pt idx="51">
                  <c:v>Q3-20</c:v>
                </c:pt>
                <c:pt idx="52">
                  <c:v>Q4-20</c:v>
                </c:pt>
                <c:pt idx="53">
                  <c:v>Q1-21</c:v>
                </c:pt>
                <c:pt idx="54">
                  <c:v>Q2-21</c:v>
                </c:pt>
                <c:pt idx="55">
                  <c:v>Q3-21</c:v>
                </c:pt>
                <c:pt idx="56">
                  <c:v>Q4-21</c:v>
                </c:pt>
                <c:pt idx="57">
                  <c:v>Q1-22</c:v>
                </c:pt>
                <c:pt idx="58">
                  <c:v>Q2-22</c:v>
                </c:pt>
                <c:pt idx="59">
                  <c:v>Q3-22</c:v>
                </c:pt>
                <c:pt idx="60">
                  <c:v>Q4-22</c:v>
                </c:pt>
                <c:pt idx="61">
                  <c:v>Q1-23</c:v>
                </c:pt>
                <c:pt idx="62">
                  <c:v>Q2-23</c:v>
                </c:pt>
                <c:pt idx="63">
                  <c:v>Q3-23</c:v>
                </c:pt>
                <c:pt idx="64">
                  <c:v>Q4-23</c:v>
                </c:pt>
                <c:pt idx="65">
                  <c:v>Q1-24</c:v>
                </c:pt>
                <c:pt idx="66">
                  <c:v>Q2-24</c:v>
                </c:pt>
                <c:pt idx="67">
                  <c:v>Q3-24</c:v>
                </c:pt>
                <c:pt idx="68">
                  <c:v>Q4-24</c:v>
                </c:pt>
                <c:pt idx="69">
                  <c:v>Q1-25</c:v>
                </c:pt>
                <c:pt idx="70">
                  <c:v>Q2-25</c:v>
                </c:pt>
                <c:pt idx="71">
                  <c:v>Q3-25</c:v>
                </c:pt>
                <c:pt idx="72">
                  <c:v>Q4-25</c:v>
                </c:pt>
                <c:pt idx="73">
                  <c:v>Q1-26</c:v>
                </c:pt>
              </c:strCache>
            </c:strRef>
          </c:cat>
          <c:val>
            <c:numRef>
              <c:f>MCB!$D$2:$D$75</c:f>
              <c:numCache>
                <c:formatCode>#,##0</c:formatCode>
                <c:ptCount val="74"/>
                <c:pt idx="0">
                  <c:v>85001</c:v>
                </c:pt>
                <c:pt idx="1">
                  <c:v>81734</c:v>
                </c:pt>
                <c:pt idx="2">
                  <c:v>81992</c:v>
                </c:pt>
                <c:pt idx="3">
                  <c:v>84922</c:v>
                </c:pt>
                <c:pt idx="4">
                  <c:v>72926</c:v>
                </c:pt>
                <c:pt idx="5">
                  <c:v>67104</c:v>
                </c:pt>
                <c:pt idx="6">
                  <c:v>64118</c:v>
                </c:pt>
                <c:pt idx="7">
                  <c:v>72014</c:v>
                </c:pt>
                <c:pt idx="8">
                  <c:v>74993</c:v>
                </c:pt>
                <c:pt idx="9">
                  <c:v>73498</c:v>
                </c:pt>
                <c:pt idx="10">
                  <c:v>75117</c:v>
                </c:pt>
                <c:pt idx="11">
                  <c:v>73529</c:v>
                </c:pt>
                <c:pt idx="12">
                  <c:v>80268</c:v>
                </c:pt>
                <c:pt idx="13">
                  <c:v>81419</c:v>
                </c:pt>
                <c:pt idx="14">
                  <c:v>72089</c:v>
                </c:pt>
                <c:pt idx="15">
                  <c:v>71451</c:v>
                </c:pt>
                <c:pt idx="16">
                  <c:v>74312</c:v>
                </c:pt>
                <c:pt idx="17">
                  <c:v>74562</c:v>
                </c:pt>
                <c:pt idx="18">
                  <c:v>74493</c:v>
                </c:pt>
                <c:pt idx="19">
                  <c:v>73454</c:v>
                </c:pt>
                <c:pt idx="20">
                  <c:v>77016</c:v>
                </c:pt>
                <c:pt idx="21">
                  <c:v>72203</c:v>
                </c:pt>
                <c:pt idx="22">
                  <c:v>72191</c:v>
                </c:pt>
                <c:pt idx="23">
                  <c:v>71150</c:v>
                </c:pt>
                <c:pt idx="24">
                  <c:v>70064</c:v>
                </c:pt>
                <c:pt idx="25">
                  <c:v>62359</c:v>
                </c:pt>
                <c:pt idx="26">
                  <c:v>65046</c:v>
                </c:pt>
                <c:pt idx="27">
                  <c:v>61428</c:v>
                </c:pt>
                <c:pt idx="28">
                  <c:v>55590</c:v>
                </c:pt>
                <c:pt idx="29">
                  <c:v>45208</c:v>
                </c:pt>
                <c:pt idx="30">
                  <c:v>45610</c:v>
                </c:pt>
                <c:pt idx="31">
                  <c:v>48847</c:v>
                </c:pt>
                <c:pt idx="32">
                  <c:v>48030</c:v>
                </c:pt>
                <c:pt idx="33">
                  <c:v>47010</c:v>
                </c:pt>
                <c:pt idx="34">
                  <c:v>45873</c:v>
                </c:pt>
                <c:pt idx="35">
                  <c:v>53181</c:v>
                </c:pt>
                <c:pt idx="36">
                  <c:v>57029</c:v>
                </c:pt>
                <c:pt idx="37">
                  <c:v>54384</c:v>
                </c:pt>
                <c:pt idx="38">
                  <c:v>49072</c:v>
                </c:pt>
                <c:pt idx="39">
                  <c:v>55665</c:v>
                </c:pt>
                <c:pt idx="40">
                  <c:v>59137</c:v>
                </c:pt>
                <c:pt idx="41">
                  <c:v>58841</c:v>
                </c:pt>
                <c:pt idx="42">
                  <c:v>57512</c:v>
                </c:pt>
                <c:pt idx="43">
                  <c:v>60857</c:v>
                </c:pt>
                <c:pt idx="44">
                  <c:v>72451</c:v>
                </c:pt>
                <c:pt idx="45">
                  <c:v>79722</c:v>
                </c:pt>
                <c:pt idx="46">
                  <c:v>83449</c:v>
                </c:pt>
                <c:pt idx="47">
                  <c:v>91197</c:v>
                </c:pt>
                <c:pt idx="48">
                  <c:v>89358</c:v>
                </c:pt>
                <c:pt idx="49">
                  <c:v>74831</c:v>
                </c:pt>
                <c:pt idx="50">
                  <c:v>77426</c:v>
                </c:pt>
                <c:pt idx="51">
                  <c:v>76491</c:v>
                </c:pt>
                <c:pt idx="52">
                  <c:v>87163</c:v>
                </c:pt>
                <c:pt idx="53">
                  <c:v>83990</c:v>
                </c:pt>
                <c:pt idx="54">
                  <c:v>87328</c:v>
                </c:pt>
                <c:pt idx="55">
                  <c:v>79120</c:v>
                </c:pt>
                <c:pt idx="56">
                  <c:v>101544</c:v>
                </c:pt>
                <c:pt idx="57">
                  <c:v>90424</c:v>
                </c:pt>
                <c:pt idx="58">
                  <c:v>92331</c:v>
                </c:pt>
                <c:pt idx="59">
                  <c:v>91022</c:v>
                </c:pt>
                <c:pt idx="60">
                  <c:v>93763</c:v>
                </c:pt>
                <c:pt idx="61">
                  <c:v>90655</c:v>
                </c:pt>
                <c:pt idx="62">
                  <c:v>92087</c:v>
                </c:pt>
                <c:pt idx="63">
                  <c:v>87907</c:v>
                </c:pt>
                <c:pt idx="64">
                  <c:v>99557</c:v>
                </c:pt>
                <c:pt idx="65">
                  <c:v>99433</c:v>
                </c:pt>
                <c:pt idx="66">
                  <c:v>89984</c:v>
                </c:pt>
                <c:pt idx="67">
                  <c:v>93590</c:v>
                </c:pt>
                <c:pt idx="68">
                  <c:v>85310</c:v>
                </c:pt>
                <c:pt idx="69">
                  <c:v>84192</c:v>
                </c:pt>
                <c:pt idx="70">
                  <c:v>70196</c:v>
                </c:pt>
                <c:pt idx="71">
                  <c:v>60780</c:v>
                </c:pt>
                <c:pt idx="72">
                  <c:v>79528</c:v>
                </c:pt>
                <c:pt idx="73">
                  <c:v>91496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D9-4C71-82D6-56BB9EB36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415920"/>
        <c:axId val="1662414672"/>
      </c:lineChart>
      <c:catAx>
        <c:axId val="16624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14672"/>
        <c:crosses val="autoZero"/>
        <c:auto val="1"/>
        <c:lblAlgn val="ctr"/>
        <c:lblOffset val="100"/>
        <c:noMultiLvlLbl val="0"/>
      </c:catAx>
      <c:valAx>
        <c:axId val="16624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1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CAA vs MCB Grind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MCB!$H$2</c:f>
              <c:strCache>
                <c:ptCount val="1"/>
                <c:pt idx="0">
                  <c:v>MCB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MCB!$G$3:$G$41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MCB!$H$3:$H$41</c:f>
              <c:numCache>
                <c:formatCode>#,##0</c:formatCode>
                <c:ptCount val="39"/>
                <c:pt idx="0">
                  <c:v>57029</c:v>
                </c:pt>
                <c:pt idx="1">
                  <c:v>54384</c:v>
                </c:pt>
                <c:pt idx="2">
                  <c:v>49072</c:v>
                </c:pt>
                <c:pt idx="3">
                  <c:v>55665</c:v>
                </c:pt>
                <c:pt idx="4">
                  <c:v>59137</c:v>
                </c:pt>
                <c:pt idx="5">
                  <c:v>58841</c:v>
                </c:pt>
                <c:pt idx="6">
                  <c:v>57512</c:v>
                </c:pt>
                <c:pt idx="7">
                  <c:v>60857</c:v>
                </c:pt>
                <c:pt idx="8">
                  <c:v>72451</c:v>
                </c:pt>
                <c:pt idx="9">
                  <c:v>79722</c:v>
                </c:pt>
                <c:pt idx="10">
                  <c:v>83449</c:v>
                </c:pt>
                <c:pt idx="11">
                  <c:v>91197</c:v>
                </c:pt>
                <c:pt idx="12">
                  <c:v>89358</c:v>
                </c:pt>
                <c:pt idx="13">
                  <c:v>74831</c:v>
                </c:pt>
                <c:pt idx="14">
                  <c:v>77426</c:v>
                </c:pt>
                <c:pt idx="15">
                  <c:v>76491</c:v>
                </c:pt>
                <c:pt idx="16">
                  <c:v>87163</c:v>
                </c:pt>
                <c:pt idx="17">
                  <c:v>83990</c:v>
                </c:pt>
                <c:pt idx="18">
                  <c:v>87328</c:v>
                </c:pt>
                <c:pt idx="19">
                  <c:v>79120</c:v>
                </c:pt>
                <c:pt idx="20">
                  <c:v>101544</c:v>
                </c:pt>
                <c:pt idx="21">
                  <c:v>90424</c:v>
                </c:pt>
                <c:pt idx="22">
                  <c:v>92331</c:v>
                </c:pt>
                <c:pt idx="23">
                  <c:v>91022</c:v>
                </c:pt>
                <c:pt idx="24">
                  <c:v>93763</c:v>
                </c:pt>
                <c:pt idx="25">
                  <c:v>90655</c:v>
                </c:pt>
                <c:pt idx="26">
                  <c:v>92087</c:v>
                </c:pt>
                <c:pt idx="27">
                  <c:v>87907</c:v>
                </c:pt>
                <c:pt idx="28">
                  <c:v>99557</c:v>
                </c:pt>
                <c:pt idx="29">
                  <c:v>99433</c:v>
                </c:pt>
                <c:pt idx="30">
                  <c:v>89984</c:v>
                </c:pt>
                <c:pt idx="31">
                  <c:v>93878</c:v>
                </c:pt>
                <c:pt idx="32">
                  <c:v>85310</c:v>
                </c:pt>
                <c:pt idx="33">
                  <c:v>84192</c:v>
                </c:pt>
                <c:pt idx="34">
                  <c:v>70196</c:v>
                </c:pt>
                <c:pt idx="35">
                  <c:v>60780</c:v>
                </c:pt>
                <c:pt idx="36">
                  <c:v>79528</c:v>
                </c:pt>
                <c:pt idx="37">
                  <c:v>91496</c:v>
                </c:pt>
                <c:pt idx="38">
                  <c:v>90833.623999999996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F-458F-8A31-8AC630C2672D}"/>
            </c:ext>
          </c:extLst>
        </c:ser>
        <c:ser>
          <c:idx val="1"/>
          <c:order val="1"/>
          <c:tx>
            <c:strRef>
              <c:f>MCB!$I$2</c:f>
              <c:strCache>
                <c:ptCount val="1"/>
                <c:pt idx="0">
                  <c:v>CAA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7"/>
            <c:invertIfNegative val="0"/>
            <c:bubble3D val="0"/>
            <c:spPr>
              <a:solidFill>
                <a:schemeClr val="accent2"/>
              </a:solidFill>
              <a:ln w="28575" cap="rnd">
                <a:solidFill>
                  <a:schemeClr val="accent2"/>
                </a:solidFill>
                <a:prstDash val="solid"/>
                <a:round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  <c:extLst>
              <c:ext xmlns:c16="http://schemas.microsoft.com/office/drawing/2014/chart" uri="{C3380CC4-5D6E-409C-BE32-E72D297353CC}">
                <c16:uniqueId val="{00000001-D402-47FF-ACAD-9D314CC75ADA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23-44DB-BB86-3520558DE94B}"/>
              </c:ext>
            </c:extLst>
          </c:dPt>
          <c:cat>
            <c:strRef>
              <c:f>MCB!$G$3:$G$41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MCB!$I$3:$I$41</c:f>
              <c:numCache>
                <c:formatCode>_-* #,##0_-;\-* #,##0_-;_-* "-"??_-;_-@_-</c:formatCode>
                <c:ptCount val="39"/>
                <c:pt idx="0">
                  <c:v>177450</c:v>
                </c:pt>
                <c:pt idx="1">
                  <c:v>177450</c:v>
                </c:pt>
                <c:pt idx="2">
                  <c:v>160878</c:v>
                </c:pt>
                <c:pt idx="3">
                  <c:v>189407</c:v>
                </c:pt>
                <c:pt idx="4">
                  <c:v>196476</c:v>
                </c:pt>
                <c:pt idx="5">
                  <c:v>190244</c:v>
                </c:pt>
                <c:pt idx="6">
                  <c:v>185394</c:v>
                </c:pt>
                <c:pt idx="7">
                  <c:v>196418</c:v>
                </c:pt>
                <c:pt idx="8">
                  <c:v>208900</c:v>
                </c:pt>
                <c:pt idx="9">
                  <c:v>208388</c:v>
                </c:pt>
                <c:pt idx="10">
                  <c:v>215574</c:v>
                </c:pt>
                <c:pt idx="11">
                  <c:v>225356</c:v>
                </c:pt>
                <c:pt idx="12">
                  <c:v>227013</c:v>
                </c:pt>
                <c:pt idx="13">
                  <c:v>207356</c:v>
                </c:pt>
                <c:pt idx="14">
                  <c:v>202674</c:v>
                </c:pt>
                <c:pt idx="15">
                  <c:v>202665</c:v>
                </c:pt>
                <c:pt idx="16">
                  <c:v>217546</c:v>
                </c:pt>
                <c:pt idx="17">
                  <c:v>213858</c:v>
                </c:pt>
                <c:pt idx="18">
                  <c:v>220865</c:v>
                </c:pt>
                <c:pt idx="19">
                  <c:v>210970</c:v>
                </c:pt>
                <c:pt idx="20">
                  <c:v>231309</c:v>
                </c:pt>
                <c:pt idx="21">
                  <c:v>213313</c:v>
                </c:pt>
                <c:pt idx="22">
                  <c:v>228895</c:v>
                </c:pt>
                <c:pt idx="23">
                  <c:v>231080</c:v>
                </c:pt>
                <c:pt idx="24">
                  <c:v>230806</c:v>
                </c:pt>
                <c:pt idx="25">
                  <c:v>222028</c:v>
                </c:pt>
                <c:pt idx="26">
                  <c:v>213977</c:v>
                </c:pt>
                <c:pt idx="27">
                  <c:v>211468</c:v>
                </c:pt>
                <c:pt idx="28">
                  <c:v>211202</c:v>
                </c:pt>
                <c:pt idx="29">
                  <c:v>225562</c:v>
                </c:pt>
                <c:pt idx="30">
                  <c:v>215528</c:v>
                </c:pt>
                <c:pt idx="31">
                  <c:v>221205</c:v>
                </c:pt>
                <c:pt idx="32">
                  <c:v>214505</c:v>
                </c:pt>
                <c:pt idx="33">
                  <c:v>217459</c:v>
                </c:pt>
                <c:pt idx="34">
                  <c:v>182118</c:v>
                </c:pt>
                <c:pt idx="35">
                  <c:v>183413</c:v>
                </c:pt>
                <c:pt idx="36">
                  <c:v>197022</c:v>
                </c:pt>
                <c:pt idx="37">
                  <c:v>223503</c:v>
                </c:pt>
                <c:pt idx="38">
                  <c:v>224646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1F-458F-8A31-8AC630C26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295056"/>
        <c:axId val="87295536"/>
      </c:barChart>
      <c:catAx>
        <c:axId val="8729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95536"/>
        <c:crosses val="autoZero"/>
        <c:auto val="1"/>
        <c:lblAlgn val="ctr"/>
        <c:lblOffset val="100"/>
        <c:noMultiLvlLbl val="0"/>
      </c:catAx>
      <c:valAx>
        <c:axId val="8729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9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MCB</a:t>
            </a:r>
            <a:r>
              <a:rPr lang="en-US" baseline="0"/>
              <a:t> vs CAA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MCB!$I$2</c:f>
              <c:strCache>
                <c:ptCount val="1"/>
                <c:pt idx="0">
                  <c:v>CAA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67782152230971"/>
                  <c:y val="-0.199490740740740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MCB!$H$3:$H$40</c:f>
              <c:numCache>
                <c:formatCode>#,##0</c:formatCode>
                <c:ptCount val="38"/>
                <c:pt idx="0">
                  <c:v>57029</c:v>
                </c:pt>
                <c:pt idx="1">
                  <c:v>54384</c:v>
                </c:pt>
                <c:pt idx="2">
                  <c:v>49072</c:v>
                </c:pt>
                <c:pt idx="3">
                  <c:v>55665</c:v>
                </c:pt>
                <c:pt idx="4">
                  <c:v>59137</c:v>
                </c:pt>
                <c:pt idx="5">
                  <c:v>58841</c:v>
                </c:pt>
                <c:pt idx="6">
                  <c:v>57512</c:v>
                </c:pt>
                <c:pt idx="7">
                  <c:v>60857</c:v>
                </c:pt>
                <c:pt idx="8">
                  <c:v>72451</c:v>
                </c:pt>
                <c:pt idx="9">
                  <c:v>79722</c:v>
                </c:pt>
                <c:pt idx="10">
                  <c:v>83449</c:v>
                </c:pt>
                <c:pt idx="11">
                  <c:v>91197</c:v>
                </c:pt>
                <c:pt idx="12">
                  <c:v>89358</c:v>
                </c:pt>
                <c:pt idx="13">
                  <c:v>74831</c:v>
                </c:pt>
                <c:pt idx="14">
                  <c:v>77426</c:v>
                </c:pt>
                <c:pt idx="15">
                  <c:v>76491</c:v>
                </c:pt>
                <c:pt idx="16">
                  <c:v>87163</c:v>
                </c:pt>
                <c:pt idx="17">
                  <c:v>83990</c:v>
                </c:pt>
                <c:pt idx="18">
                  <c:v>87328</c:v>
                </c:pt>
                <c:pt idx="19">
                  <c:v>79120</c:v>
                </c:pt>
                <c:pt idx="20">
                  <c:v>101544</c:v>
                </c:pt>
                <c:pt idx="21">
                  <c:v>90424</c:v>
                </c:pt>
                <c:pt idx="22">
                  <c:v>92331</c:v>
                </c:pt>
                <c:pt idx="23">
                  <c:v>91022</c:v>
                </c:pt>
                <c:pt idx="24">
                  <c:v>93763</c:v>
                </c:pt>
                <c:pt idx="25">
                  <c:v>90655</c:v>
                </c:pt>
                <c:pt idx="26">
                  <c:v>92087</c:v>
                </c:pt>
                <c:pt idx="27">
                  <c:v>87907</c:v>
                </c:pt>
                <c:pt idx="28">
                  <c:v>99557</c:v>
                </c:pt>
                <c:pt idx="29">
                  <c:v>99433</c:v>
                </c:pt>
                <c:pt idx="30">
                  <c:v>89984</c:v>
                </c:pt>
                <c:pt idx="31">
                  <c:v>93878</c:v>
                </c:pt>
                <c:pt idx="32">
                  <c:v>85310</c:v>
                </c:pt>
                <c:pt idx="33">
                  <c:v>84192</c:v>
                </c:pt>
                <c:pt idx="34">
                  <c:v>70196</c:v>
                </c:pt>
                <c:pt idx="35">
                  <c:v>60780</c:v>
                </c:pt>
                <c:pt idx="36">
                  <c:v>79528</c:v>
                </c:pt>
                <c:pt idx="37">
                  <c:v>91496</c:v>
                </c:pt>
              </c:numCache>
            </c:numRef>
          </c:xVal>
          <c:yVal>
            <c:numRef>
              <c:f>MCB!$I$3:$I$40</c:f>
              <c:numCache>
                <c:formatCode>_-* #,##0_-;\-* #,##0_-;_-* "-"??_-;_-@_-</c:formatCode>
                <c:ptCount val="38"/>
                <c:pt idx="0">
                  <c:v>177450</c:v>
                </c:pt>
                <c:pt idx="1">
                  <c:v>177450</c:v>
                </c:pt>
                <c:pt idx="2">
                  <c:v>160878</c:v>
                </c:pt>
                <c:pt idx="3">
                  <c:v>189407</c:v>
                </c:pt>
                <c:pt idx="4">
                  <c:v>196476</c:v>
                </c:pt>
                <c:pt idx="5">
                  <c:v>190244</c:v>
                </c:pt>
                <c:pt idx="6">
                  <c:v>185394</c:v>
                </c:pt>
                <c:pt idx="7">
                  <c:v>196418</c:v>
                </c:pt>
                <c:pt idx="8">
                  <c:v>208900</c:v>
                </c:pt>
                <c:pt idx="9">
                  <c:v>208388</c:v>
                </c:pt>
                <c:pt idx="10">
                  <c:v>215574</c:v>
                </c:pt>
                <c:pt idx="11">
                  <c:v>225356</c:v>
                </c:pt>
                <c:pt idx="12">
                  <c:v>227013</c:v>
                </c:pt>
                <c:pt idx="13">
                  <c:v>207356</c:v>
                </c:pt>
                <c:pt idx="14">
                  <c:v>202674</c:v>
                </c:pt>
                <c:pt idx="15">
                  <c:v>202665</c:v>
                </c:pt>
                <c:pt idx="16">
                  <c:v>217546</c:v>
                </c:pt>
                <c:pt idx="17">
                  <c:v>213858</c:v>
                </c:pt>
                <c:pt idx="18">
                  <c:v>220865</c:v>
                </c:pt>
                <c:pt idx="19">
                  <c:v>210970</c:v>
                </c:pt>
                <c:pt idx="20">
                  <c:v>231309</c:v>
                </c:pt>
                <c:pt idx="21">
                  <c:v>213313</c:v>
                </c:pt>
                <c:pt idx="22">
                  <c:v>228895</c:v>
                </c:pt>
                <c:pt idx="23">
                  <c:v>231080</c:v>
                </c:pt>
                <c:pt idx="24">
                  <c:v>230806</c:v>
                </c:pt>
                <c:pt idx="25">
                  <c:v>222028</c:v>
                </c:pt>
                <c:pt idx="26">
                  <c:v>213977</c:v>
                </c:pt>
                <c:pt idx="27">
                  <c:v>211468</c:v>
                </c:pt>
                <c:pt idx="28">
                  <c:v>211202</c:v>
                </c:pt>
                <c:pt idx="29">
                  <c:v>225562</c:v>
                </c:pt>
                <c:pt idx="30">
                  <c:v>215528</c:v>
                </c:pt>
                <c:pt idx="31">
                  <c:v>221205</c:v>
                </c:pt>
                <c:pt idx="32">
                  <c:v>214505</c:v>
                </c:pt>
                <c:pt idx="33">
                  <c:v>217459</c:v>
                </c:pt>
                <c:pt idx="34">
                  <c:v>182118</c:v>
                </c:pt>
                <c:pt idx="35">
                  <c:v>183413</c:v>
                </c:pt>
                <c:pt idx="36">
                  <c:v>197022</c:v>
                </c:pt>
                <c:pt idx="37">
                  <c:v>223503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83-4779-94BA-92F5A6A30A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MCB!$H$40</c:f>
              <c:numCache>
                <c:formatCode>#,##0</c:formatCode>
                <c:ptCount val="1"/>
                <c:pt idx="0">
                  <c:v>91496</c:v>
                </c:pt>
              </c:numCache>
            </c:numRef>
          </c:xVal>
          <c:yVal>
            <c:numRef>
              <c:f>MCB!$I$40</c:f>
              <c:numCache>
                <c:formatCode>_-* #,##0_-;\-* #,##0_-;_-* "-"??_-;_-@_-</c:formatCode>
                <c:ptCount val="1"/>
                <c:pt idx="0">
                  <c:v>223503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83-4779-94BA-92F5A6A30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187600"/>
        <c:axId val="895195760"/>
      </c:scatterChart>
      <c:valAx>
        <c:axId val="89518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95760"/>
        <c:crosses val="autoZero"/>
        <c:crossBetween val="midCat"/>
      </c:valAx>
      <c:valAx>
        <c:axId val="8951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8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MCB!$J$2</c:f>
              <c:strCache>
                <c:ptCount val="1"/>
                <c:pt idx="0">
                  <c:v>MCB % as of CAA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MCB!$G$3:$G$41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MCB!$J$3:$J$41</c:f>
              <c:numCache>
                <c:formatCode>0%</c:formatCode>
                <c:ptCount val="39"/>
                <c:pt idx="0">
                  <c:v>0.32138067061143982</c:v>
                </c:pt>
                <c:pt idx="1">
                  <c:v>0.30647506339814035</c:v>
                </c:pt>
                <c:pt idx="2">
                  <c:v>0.3050261688981713</c:v>
                </c:pt>
                <c:pt idx="3">
                  <c:v>0.29389093328124094</c:v>
                </c:pt>
                <c:pt idx="4">
                  <c:v>0.30098841588794562</c:v>
                </c:pt>
                <c:pt idx="5">
                  <c:v>0.30929227728601166</c:v>
                </c:pt>
                <c:pt idx="6">
                  <c:v>0.31021500156423615</c:v>
                </c:pt>
                <c:pt idx="7">
                  <c:v>0.30983412925495629</c:v>
                </c:pt>
                <c:pt idx="8">
                  <c:v>0.34682144566778361</c:v>
                </c:pt>
                <c:pt idx="9">
                  <c:v>0.38256521488761347</c:v>
                </c:pt>
                <c:pt idx="10">
                  <c:v>0.38710141297187972</c:v>
                </c:pt>
                <c:pt idx="11">
                  <c:v>0.40467970677505816</c:v>
                </c:pt>
                <c:pt idx="12">
                  <c:v>0.39362503468964333</c:v>
                </c:pt>
                <c:pt idx="13">
                  <c:v>0.3608817685526341</c:v>
                </c:pt>
                <c:pt idx="14">
                  <c:v>0.38202236103298892</c:v>
                </c:pt>
                <c:pt idx="15">
                  <c:v>0.37742580119902303</c:v>
                </c:pt>
                <c:pt idx="16">
                  <c:v>0.4006646870087246</c:v>
                </c:pt>
                <c:pt idx="17">
                  <c:v>0.39273723685810208</c:v>
                </c:pt>
                <c:pt idx="18">
                  <c:v>0.3953908496140176</c:v>
                </c:pt>
                <c:pt idx="19">
                  <c:v>0.37502962506517512</c:v>
                </c:pt>
                <c:pt idx="20">
                  <c:v>0.43899718558292156</c:v>
                </c:pt>
                <c:pt idx="21">
                  <c:v>0.42390290324546559</c:v>
                </c:pt>
                <c:pt idx="22">
                  <c:v>0.40337709430088031</c:v>
                </c:pt>
                <c:pt idx="23">
                  <c:v>0.39389821706768219</c:v>
                </c:pt>
                <c:pt idx="24">
                  <c:v>0.40624160550418964</c:v>
                </c:pt>
                <c:pt idx="25">
                  <c:v>0.4083043580088998</c:v>
                </c:pt>
                <c:pt idx="26">
                  <c:v>0.43035933768582607</c:v>
                </c:pt>
                <c:pt idx="27">
                  <c:v>0.41569882913726902</c:v>
                </c:pt>
                <c:pt idx="28">
                  <c:v>0.47138284675334513</c:v>
                </c:pt>
                <c:pt idx="29">
                  <c:v>0.44082336563782909</c:v>
                </c:pt>
                <c:pt idx="30">
                  <c:v>0.4175049181544857</c:v>
                </c:pt>
                <c:pt idx="31">
                  <c:v>0.42439366198774892</c:v>
                </c:pt>
                <c:pt idx="32">
                  <c:v>0.39770634717139458</c:v>
                </c:pt>
                <c:pt idx="33">
                  <c:v>0.38716263755466546</c:v>
                </c:pt>
                <c:pt idx="34">
                  <c:v>0.38544240547337438</c:v>
                </c:pt>
                <c:pt idx="35">
                  <c:v>0.33138327163287223</c:v>
                </c:pt>
                <c:pt idx="36">
                  <c:v>0.40365035376759956</c:v>
                </c:pt>
                <c:pt idx="37">
                  <c:v>0.40937258112866493</c:v>
                </c:pt>
                <c:pt idx="38">
                  <c:v>0.40434115897901585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25-40E5-97DF-515CD3426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897775"/>
        <c:axId val="15933471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MCB!$H$2</c15:sqref>
                        </c15:formulaRef>
                      </c:ext>
                    </c:extLst>
                    <c:strCache>
                      <c:ptCount val="1"/>
                      <c:pt idx="0">
                        <c:v>MCB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MCB!$G$3:$G$41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MCB!$H$3:$H$41</c15:sqref>
                        </c15:formulaRef>
                      </c:ext>
                    </c:extLst>
                    <c:numCache>
                      <c:formatCode>#,##0</c:formatCode>
                      <c:ptCount val="39"/>
                      <c:pt idx="0">
                        <c:v>57029</c:v>
                      </c:pt>
                      <c:pt idx="1">
                        <c:v>54384</c:v>
                      </c:pt>
                      <c:pt idx="2">
                        <c:v>49072</c:v>
                      </c:pt>
                      <c:pt idx="3">
                        <c:v>55665</c:v>
                      </c:pt>
                      <c:pt idx="4">
                        <c:v>59137</c:v>
                      </c:pt>
                      <c:pt idx="5">
                        <c:v>58841</c:v>
                      </c:pt>
                      <c:pt idx="6">
                        <c:v>57512</c:v>
                      </c:pt>
                      <c:pt idx="7">
                        <c:v>60857</c:v>
                      </c:pt>
                      <c:pt idx="8">
                        <c:v>72451</c:v>
                      </c:pt>
                      <c:pt idx="9">
                        <c:v>79722</c:v>
                      </c:pt>
                      <c:pt idx="10">
                        <c:v>83449</c:v>
                      </c:pt>
                      <c:pt idx="11">
                        <c:v>91197</c:v>
                      </c:pt>
                      <c:pt idx="12">
                        <c:v>89358</c:v>
                      </c:pt>
                      <c:pt idx="13">
                        <c:v>74831</c:v>
                      </c:pt>
                      <c:pt idx="14">
                        <c:v>77426</c:v>
                      </c:pt>
                      <c:pt idx="15">
                        <c:v>76491</c:v>
                      </c:pt>
                      <c:pt idx="16">
                        <c:v>87163</c:v>
                      </c:pt>
                      <c:pt idx="17">
                        <c:v>83990</c:v>
                      </c:pt>
                      <c:pt idx="18">
                        <c:v>87328</c:v>
                      </c:pt>
                      <c:pt idx="19">
                        <c:v>79120</c:v>
                      </c:pt>
                      <c:pt idx="20">
                        <c:v>101544</c:v>
                      </c:pt>
                      <c:pt idx="21">
                        <c:v>90424</c:v>
                      </c:pt>
                      <c:pt idx="22">
                        <c:v>92331</c:v>
                      </c:pt>
                      <c:pt idx="23">
                        <c:v>91022</c:v>
                      </c:pt>
                      <c:pt idx="24">
                        <c:v>93763</c:v>
                      </c:pt>
                      <c:pt idx="25">
                        <c:v>90655</c:v>
                      </c:pt>
                      <c:pt idx="26">
                        <c:v>92087</c:v>
                      </c:pt>
                      <c:pt idx="27">
                        <c:v>87907</c:v>
                      </c:pt>
                      <c:pt idx="28">
                        <c:v>99557</c:v>
                      </c:pt>
                      <c:pt idx="29">
                        <c:v>99433</c:v>
                      </c:pt>
                      <c:pt idx="30">
                        <c:v>89984</c:v>
                      </c:pt>
                      <c:pt idx="31">
                        <c:v>93878</c:v>
                      </c:pt>
                      <c:pt idx="32">
                        <c:v>85310</c:v>
                      </c:pt>
                      <c:pt idx="33">
                        <c:v>84192</c:v>
                      </c:pt>
                      <c:pt idx="34">
                        <c:v>70196</c:v>
                      </c:pt>
                      <c:pt idx="35">
                        <c:v>60780</c:v>
                      </c:pt>
                      <c:pt idx="36">
                        <c:v>79528</c:v>
                      </c:pt>
                      <c:pt idx="37">
                        <c:v>91496</c:v>
                      </c:pt>
                      <c:pt idx="38">
                        <c:v>90833.623999999996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25-40E5-97DF-515CD3426DB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MCB!$I$2</c15:sqref>
                        </c15:formulaRef>
                      </c:ext>
                    </c:extLst>
                    <c:strCache>
                      <c:ptCount val="1"/>
                      <c:pt idx="0">
                        <c:v>CAA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MCB!$G$3:$G$41</c15:sqref>
                        </c15:formulaRef>
                      </c:ext>
                    </c:extLst>
                    <c:strCache>
                      <c:ptCount val="39"/>
                      <c:pt idx="0">
                        <c:v>Q1 | 16/17</c:v>
                      </c:pt>
                      <c:pt idx="1">
                        <c:v>Q2 | 16/17</c:v>
                      </c:pt>
                      <c:pt idx="2">
                        <c:v>Q3 | 16/17</c:v>
                      </c:pt>
                      <c:pt idx="3">
                        <c:v>Q4 | 16/17</c:v>
                      </c:pt>
                      <c:pt idx="4">
                        <c:v>Q1 | 17/18</c:v>
                      </c:pt>
                      <c:pt idx="5">
                        <c:v>Q2 | 17/18</c:v>
                      </c:pt>
                      <c:pt idx="6">
                        <c:v>Q3 | 17/18</c:v>
                      </c:pt>
                      <c:pt idx="7">
                        <c:v>Q4 | 17/18</c:v>
                      </c:pt>
                      <c:pt idx="8">
                        <c:v>Q1 | 18/19</c:v>
                      </c:pt>
                      <c:pt idx="9">
                        <c:v>Q2 | 18/19</c:v>
                      </c:pt>
                      <c:pt idx="10">
                        <c:v>Q3 | 18/19</c:v>
                      </c:pt>
                      <c:pt idx="11">
                        <c:v>Q4 | 18/19</c:v>
                      </c:pt>
                      <c:pt idx="12">
                        <c:v>Q1 | 19/20</c:v>
                      </c:pt>
                      <c:pt idx="13">
                        <c:v>Q2 | 19/20</c:v>
                      </c:pt>
                      <c:pt idx="14">
                        <c:v>Q3 | 19/20</c:v>
                      </c:pt>
                      <c:pt idx="15">
                        <c:v>Q4 | 19/20</c:v>
                      </c:pt>
                      <c:pt idx="16">
                        <c:v>Q1 | 20/21</c:v>
                      </c:pt>
                      <c:pt idx="17">
                        <c:v>Q2 | 20/21</c:v>
                      </c:pt>
                      <c:pt idx="18">
                        <c:v>Q3 | 20/21</c:v>
                      </c:pt>
                      <c:pt idx="19">
                        <c:v>Q4 | 20/21</c:v>
                      </c:pt>
                      <c:pt idx="20">
                        <c:v>Q1 | 21/22</c:v>
                      </c:pt>
                      <c:pt idx="21">
                        <c:v>Q2 | 21/22</c:v>
                      </c:pt>
                      <c:pt idx="22">
                        <c:v>Q3 | 21/22</c:v>
                      </c:pt>
                      <c:pt idx="23">
                        <c:v>Q4 | 21/22</c:v>
                      </c:pt>
                      <c:pt idx="24">
                        <c:v>Q1 | 22/23</c:v>
                      </c:pt>
                      <c:pt idx="25">
                        <c:v>Q2 | 22/23</c:v>
                      </c:pt>
                      <c:pt idx="26">
                        <c:v>Q3 | 22/23</c:v>
                      </c:pt>
                      <c:pt idx="27">
                        <c:v>Q4 | 22/23</c:v>
                      </c:pt>
                      <c:pt idx="28">
                        <c:v>Q1 | 23/24</c:v>
                      </c:pt>
                      <c:pt idx="29">
                        <c:v>Q2 | 23/24</c:v>
                      </c:pt>
                      <c:pt idx="30">
                        <c:v>Q3 | 23/24</c:v>
                      </c:pt>
                      <c:pt idx="31">
                        <c:v>Q4 | 23/24</c:v>
                      </c:pt>
                      <c:pt idx="32">
                        <c:v>Q1 | 24/25</c:v>
                      </c:pt>
                      <c:pt idx="33">
                        <c:v>Q2 | 24/25</c:v>
                      </c:pt>
                      <c:pt idx="34">
                        <c:v>Q3 | 24/25</c:v>
                      </c:pt>
                      <c:pt idx="35">
                        <c:v>Q4 | 24/25</c:v>
                      </c:pt>
                      <c:pt idx="36">
                        <c:v>Q1 | 25/26</c:v>
                      </c:pt>
                      <c:pt idx="37">
                        <c:v>Q2 | 25/26</c:v>
                      </c:pt>
                      <c:pt idx="38">
                        <c:v>Q3 | 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MCB!$I$3:$I$41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9"/>
                      <c:pt idx="0">
                        <c:v>177450</c:v>
                      </c:pt>
                      <c:pt idx="1">
                        <c:v>177450</c:v>
                      </c:pt>
                      <c:pt idx="2">
                        <c:v>160878</c:v>
                      </c:pt>
                      <c:pt idx="3">
                        <c:v>189407</c:v>
                      </c:pt>
                      <c:pt idx="4">
                        <c:v>196476</c:v>
                      </c:pt>
                      <c:pt idx="5">
                        <c:v>190244</c:v>
                      </c:pt>
                      <c:pt idx="6">
                        <c:v>185394</c:v>
                      </c:pt>
                      <c:pt idx="7">
                        <c:v>196418</c:v>
                      </c:pt>
                      <c:pt idx="8">
                        <c:v>208900</c:v>
                      </c:pt>
                      <c:pt idx="9">
                        <c:v>208388</c:v>
                      </c:pt>
                      <c:pt idx="10">
                        <c:v>215574</c:v>
                      </c:pt>
                      <c:pt idx="11">
                        <c:v>225356</c:v>
                      </c:pt>
                      <c:pt idx="12">
                        <c:v>227013</c:v>
                      </c:pt>
                      <c:pt idx="13">
                        <c:v>207356</c:v>
                      </c:pt>
                      <c:pt idx="14">
                        <c:v>202674</c:v>
                      </c:pt>
                      <c:pt idx="15">
                        <c:v>202665</c:v>
                      </c:pt>
                      <c:pt idx="16">
                        <c:v>217546</c:v>
                      </c:pt>
                      <c:pt idx="17">
                        <c:v>213858</c:v>
                      </c:pt>
                      <c:pt idx="18">
                        <c:v>220865</c:v>
                      </c:pt>
                      <c:pt idx="19">
                        <c:v>210970</c:v>
                      </c:pt>
                      <c:pt idx="20">
                        <c:v>231309</c:v>
                      </c:pt>
                      <c:pt idx="21">
                        <c:v>213313</c:v>
                      </c:pt>
                      <c:pt idx="22">
                        <c:v>228895</c:v>
                      </c:pt>
                      <c:pt idx="23">
                        <c:v>231080</c:v>
                      </c:pt>
                      <c:pt idx="24">
                        <c:v>230806</c:v>
                      </c:pt>
                      <c:pt idx="25">
                        <c:v>222028</c:v>
                      </c:pt>
                      <c:pt idx="26">
                        <c:v>213977</c:v>
                      </c:pt>
                      <c:pt idx="27">
                        <c:v>211468</c:v>
                      </c:pt>
                      <c:pt idx="28">
                        <c:v>211202</c:v>
                      </c:pt>
                      <c:pt idx="29">
                        <c:v>225562</c:v>
                      </c:pt>
                      <c:pt idx="30">
                        <c:v>215528</c:v>
                      </c:pt>
                      <c:pt idx="31">
                        <c:v>221205</c:v>
                      </c:pt>
                      <c:pt idx="32">
                        <c:v>214505</c:v>
                      </c:pt>
                      <c:pt idx="33">
                        <c:v>217459</c:v>
                      </c:pt>
                      <c:pt idx="34">
                        <c:v>182118</c:v>
                      </c:pt>
                      <c:pt idx="35">
                        <c:v>183413</c:v>
                      </c:pt>
                      <c:pt idx="36">
                        <c:v>197022</c:v>
                      </c:pt>
                      <c:pt idx="37">
                        <c:v>223503</c:v>
                      </c:pt>
                      <c:pt idx="38">
                        <c:v>224646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D25-40E5-97DF-515CD3426DB9}"/>
                  </c:ext>
                </c:extLst>
              </c15:ser>
            </c15:filteredLineSeries>
          </c:ext>
        </c:extLst>
      </c:lineChart>
      <c:catAx>
        <c:axId val="209689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47152"/>
        <c:crosses val="autoZero"/>
        <c:auto val="1"/>
        <c:lblAlgn val="ctr"/>
        <c:lblOffset val="100"/>
        <c:noMultiLvlLbl val="0"/>
      </c:catAx>
      <c:valAx>
        <c:axId val="15933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9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r>
              <a:rPr lang="en-US" baseline="0"/>
              <a:t> Exports vs Grinds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'CAA Grinding Estimates'!$H$54</c:f>
              <c:strCache>
                <c:ptCount val="1"/>
                <c:pt idx="0">
                  <c:v>Grind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893-4C86-A73C-1CF4A719F765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41513560804899"/>
                  <c:y val="-0.24198855351414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'CAA Grinding Estimates'!$G$55:$G$78</c:f>
              <c:numCache>
                <c:formatCode>0%</c:formatCode>
                <c:ptCount val="24"/>
                <c:pt idx="0">
                  <c:v>0.10721893491124268</c:v>
                </c:pt>
                <c:pt idx="1">
                  <c:v>7.2099182868413658E-2</c:v>
                </c:pt>
                <c:pt idx="2">
                  <c:v>0.15238876664304635</c:v>
                </c:pt>
                <c:pt idx="3">
                  <c:v>3.7015527409229865E-2</c:v>
                </c:pt>
                <c:pt idx="4">
                  <c:v>6.3234186363728906E-2</c:v>
                </c:pt>
                <c:pt idx="5">
                  <c:v>9.537225878345712E-2</c:v>
                </c:pt>
                <c:pt idx="6">
                  <c:v>0.16278843975533186</c:v>
                </c:pt>
                <c:pt idx="7">
                  <c:v>0.14732865623313551</c:v>
                </c:pt>
                <c:pt idx="8">
                  <c:v>8.670655816179984E-2</c:v>
                </c:pt>
                <c:pt idx="9">
                  <c:v>-4.9523005163445433E-3</c:v>
                </c:pt>
                <c:pt idx="10">
                  <c:v>-5.9840240474268724E-2</c:v>
                </c:pt>
                <c:pt idx="11">
                  <c:v>-0.10068957560482084</c:v>
                </c:pt>
                <c:pt idx="12">
                  <c:v>-4.1702457568509321E-2</c:v>
                </c:pt>
                <c:pt idx="13">
                  <c:v>3.1356700553637262E-2</c:v>
                </c:pt>
                <c:pt idx="14">
                  <c:v>8.9754975971264139E-2</c:v>
                </c:pt>
                <c:pt idx="15">
                  <c:v>4.0978955419041174E-2</c:v>
                </c:pt>
                <c:pt idx="16">
                  <c:v>6.3264780781995489E-2</c:v>
                </c:pt>
                <c:pt idx="17">
                  <c:v>-2.5484199796126372E-3</c:v>
                </c:pt>
                <c:pt idx="18">
                  <c:v>3.635705068707118E-2</c:v>
                </c:pt>
                <c:pt idx="19">
                  <c:v>9.5321609707541333E-2</c:v>
                </c:pt>
                <c:pt idx="20">
                  <c:v>-2.1745803232905425E-3</c:v>
                </c:pt>
                <c:pt idx="21">
                  <c:v>4.0855456535701107E-2</c:v>
                </c:pt>
                <c:pt idx="22">
                  <c:v>-6.5173988073134015E-2</c:v>
                </c:pt>
                <c:pt idx="23">
                  <c:v>-8.4871040332352488E-2</c:v>
                </c:pt>
              </c:numCache>
            </c:numRef>
          </c:xVal>
          <c:yVal>
            <c:numRef>
              <c:f>'CAA Grinding Estimates'!$H$55:$H$78</c:f>
              <c:numCache>
                <c:formatCode>0%</c:formatCode>
                <c:ptCount val="24"/>
                <c:pt idx="0">
                  <c:v>7.716016215321142E-2</c:v>
                </c:pt>
                <c:pt idx="1">
                  <c:v>0.12891508198686252</c:v>
                </c:pt>
                <c:pt idx="2">
                  <c:v>0.15795328568588607</c:v>
                </c:pt>
                <c:pt idx="3">
                  <c:v>0.12088953557714999</c:v>
                </c:pt>
                <c:pt idx="4">
                  <c:v>2.6229537108947376E-2</c:v>
                </c:pt>
                <c:pt idx="5">
                  <c:v>-2.9475783487836749E-2</c:v>
                </c:pt>
                <c:pt idx="6">
                  <c:v>0.1385092873811391</c:v>
                </c:pt>
                <c:pt idx="7">
                  <c:v>0.11519569341617264</c:v>
                </c:pt>
                <c:pt idx="8">
                  <c:v>9.0508164375383116E-2</c:v>
                </c:pt>
                <c:pt idx="9">
                  <c:v>0.11001062374675596</c:v>
                </c:pt>
                <c:pt idx="10">
                  <c:v>-6.4705697513119831E-2</c:v>
                </c:pt>
                <c:pt idx="11">
                  <c:v>-0.12118330719045911</c:v>
                </c:pt>
                <c:pt idx="12">
                  <c:v>9.3986096142408826E-3</c:v>
                </c:pt>
                <c:pt idx="13">
                  <c:v>-4.9529422568976411E-2</c:v>
                </c:pt>
                <c:pt idx="14">
                  <c:v>-2.9395820380433424E-3</c:v>
                </c:pt>
                <c:pt idx="15">
                  <c:v>0.10587694240154155</c:v>
                </c:pt>
                <c:pt idx="16">
                  <c:v>6.3832910582883207E-2</c:v>
                </c:pt>
                <c:pt idx="17">
                  <c:v>3.1665799111304516E-2</c:v>
                </c:pt>
                <c:pt idx="18">
                  <c:v>0.1481789064831982</c:v>
                </c:pt>
                <c:pt idx="19">
                  <c:v>4.2412515683731389E-2</c:v>
                </c:pt>
                <c:pt idx="20">
                  <c:v>9.6469264249721132E-3</c:v>
                </c:pt>
                <c:pt idx="21">
                  <c:v>4.6728539802738833E-2</c:v>
                </c:pt>
                <c:pt idx="22">
                  <c:v>-6.0730184990044345E-2</c:v>
                </c:pt>
                <c:pt idx="23">
                  <c:v>-5.0359262005402528E-2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93-4C86-A73C-1CF4A719F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010064"/>
        <c:axId val="334006704"/>
      </c:scatterChart>
      <c:valAx>
        <c:axId val="33401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06704"/>
        <c:crosses val="autoZero"/>
        <c:crossBetween val="midCat"/>
      </c:valAx>
      <c:valAx>
        <c:axId val="3340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1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Malaysia!$A$1</c:f>
          <c:strCache>
            <c:ptCount val="1"/>
            <c:pt idx="0">
              <c:v>Malaysia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Malaysia!$B$7:$B$46</c:f>
              <c:strCache>
                <c:ptCount val="40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|24/25</c:v>
                </c:pt>
                <c:pt idx="34">
                  <c:v>Q3 |24/25</c:v>
                </c:pt>
                <c:pt idx="35">
                  <c:v>Q4|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  <c:pt idx="39">
                  <c:v>Q4 | 25/26</c:v>
                </c:pt>
              </c:strCache>
            </c:strRef>
          </c:cat>
          <c:val>
            <c:numRef>
              <c:f>Malaysia!$C$7:$C$46</c:f>
              <c:numCache>
                <c:formatCode>_-* #,##0_-;\-* #,##0_-;_-* "-"??_-;_-@_-</c:formatCode>
                <c:ptCount val="40"/>
                <c:pt idx="0">
                  <c:v>57029</c:v>
                </c:pt>
                <c:pt idx="1">
                  <c:v>54384</c:v>
                </c:pt>
                <c:pt idx="2">
                  <c:v>49072</c:v>
                </c:pt>
                <c:pt idx="3">
                  <c:v>55665</c:v>
                </c:pt>
                <c:pt idx="4">
                  <c:v>59137</c:v>
                </c:pt>
                <c:pt idx="5">
                  <c:v>58841</c:v>
                </c:pt>
                <c:pt idx="6">
                  <c:v>57512</c:v>
                </c:pt>
                <c:pt idx="7">
                  <c:v>60857</c:v>
                </c:pt>
                <c:pt idx="8">
                  <c:v>72451</c:v>
                </c:pt>
                <c:pt idx="9">
                  <c:v>79722</c:v>
                </c:pt>
                <c:pt idx="10">
                  <c:v>83449</c:v>
                </c:pt>
                <c:pt idx="11">
                  <c:v>91197</c:v>
                </c:pt>
                <c:pt idx="12">
                  <c:v>89358</c:v>
                </c:pt>
                <c:pt idx="13">
                  <c:v>74831</c:v>
                </c:pt>
                <c:pt idx="14">
                  <c:v>77426</c:v>
                </c:pt>
                <c:pt idx="15">
                  <c:v>76491</c:v>
                </c:pt>
                <c:pt idx="16">
                  <c:v>87163</c:v>
                </c:pt>
                <c:pt idx="17">
                  <c:v>83990</c:v>
                </c:pt>
                <c:pt idx="18">
                  <c:v>87328</c:v>
                </c:pt>
                <c:pt idx="19">
                  <c:v>79120</c:v>
                </c:pt>
                <c:pt idx="20">
                  <c:v>101544</c:v>
                </c:pt>
                <c:pt idx="21">
                  <c:v>90424</c:v>
                </c:pt>
                <c:pt idx="22">
                  <c:v>92331</c:v>
                </c:pt>
                <c:pt idx="23">
                  <c:v>91022</c:v>
                </c:pt>
                <c:pt idx="24">
                  <c:v>93763</c:v>
                </c:pt>
                <c:pt idx="25">
                  <c:v>90655</c:v>
                </c:pt>
                <c:pt idx="26">
                  <c:v>92087</c:v>
                </c:pt>
                <c:pt idx="27">
                  <c:v>87907</c:v>
                </c:pt>
                <c:pt idx="28">
                  <c:v>99557</c:v>
                </c:pt>
                <c:pt idx="29">
                  <c:v>99433</c:v>
                </c:pt>
                <c:pt idx="30">
                  <c:v>89984</c:v>
                </c:pt>
                <c:pt idx="31">
                  <c:v>93878</c:v>
                </c:pt>
                <c:pt idx="32">
                  <c:v>85310</c:v>
                </c:pt>
                <c:pt idx="33">
                  <c:v>84192</c:v>
                </c:pt>
                <c:pt idx="34">
                  <c:v>70196</c:v>
                </c:pt>
                <c:pt idx="35">
                  <c:v>60780</c:v>
                </c:pt>
                <c:pt idx="36">
                  <c:v>79528</c:v>
                </c:pt>
                <c:pt idx="37">
                  <c:v>79982.399999999994</c:v>
                </c:pt>
                <c:pt idx="38">
                  <c:v>90833.623999999996</c:v>
                </c:pt>
                <c:pt idx="39">
                  <c:v>89400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2-469F-9CB8-768BCD89C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Malaysia!$P$10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Malaysia!$Q$6:$T$6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Malaysia!$Q$10:$T$10</c:f>
              <c:numCache>
                <c:formatCode>_-* #,##0_-;\-* #,##0_-;_-* "-"??_-;_-@_-</c:formatCode>
                <c:ptCount val="4"/>
                <c:pt idx="0">
                  <c:v>89358</c:v>
                </c:pt>
                <c:pt idx="1">
                  <c:v>74831</c:v>
                </c:pt>
                <c:pt idx="2">
                  <c:v>77426</c:v>
                </c:pt>
                <c:pt idx="3">
                  <c:v>76491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7-42D7-B80C-FC913962376A}"/>
            </c:ext>
          </c:extLst>
        </c:ser>
        <c:ser>
          <c:idx val="4"/>
          <c:order val="4"/>
          <c:tx>
            <c:strRef>
              <c:f>Malaysia!$P$11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Malaysia!$Q$6:$T$6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Malaysia!$Q$11:$T$11</c:f>
              <c:numCache>
                <c:formatCode>_-* #,##0_-;\-* #,##0_-;_-* "-"??_-;_-@_-</c:formatCode>
                <c:ptCount val="4"/>
                <c:pt idx="0">
                  <c:v>87163</c:v>
                </c:pt>
                <c:pt idx="1">
                  <c:v>83990</c:v>
                </c:pt>
                <c:pt idx="2">
                  <c:v>87328</c:v>
                </c:pt>
                <c:pt idx="3">
                  <c:v>79120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7-42D7-B80C-FC913962376A}"/>
            </c:ext>
          </c:extLst>
        </c:ser>
        <c:ser>
          <c:idx val="5"/>
          <c:order val="5"/>
          <c:tx>
            <c:strRef>
              <c:f>Malaysia!$P$12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Malaysia!$Q$6:$T$6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Malaysia!$Q$12:$T$12</c:f>
              <c:numCache>
                <c:formatCode>_-* #,##0_-;\-* #,##0_-;_-* "-"??_-;_-@_-</c:formatCode>
                <c:ptCount val="4"/>
                <c:pt idx="0">
                  <c:v>101544</c:v>
                </c:pt>
                <c:pt idx="1">
                  <c:v>90424</c:v>
                </c:pt>
                <c:pt idx="2">
                  <c:v>92331</c:v>
                </c:pt>
                <c:pt idx="3">
                  <c:v>91022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7-42D7-B80C-FC913962376A}"/>
            </c:ext>
          </c:extLst>
        </c:ser>
        <c:ser>
          <c:idx val="6"/>
          <c:order val="6"/>
          <c:tx>
            <c:strRef>
              <c:f>Malaysia!$P$13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Malaysia!$Q$6:$T$6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Malaysia!$Q$13:$T$13</c:f>
              <c:numCache>
                <c:formatCode>_-* #,##0_-;\-* #,##0_-;_-* "-"??_-;_-@_-</c:formatCode>
                <c:ptCount val="4"/>
                <c:pt idx="0">
                  <c:v>93763</c:v>
                </c:pt>
                <c:pt idx="1">
                  <c:v>90655</c:v>
                </c:pt>
                <c:pt idx="2">
                  <c:v>92087</c:v>
                </c:pt>
                <c:pt idx="3">
                  <c:v>87907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7-42D7-B80C-FC913962376A}"/>
            </c:ext>
          </c:extLst>
        </c:ser>
        <c:ser>
          <c:idx val="7"/>
          <c:order val="7"/>
          <c:tx>
            <c:strRef>
              <c:f>Malaysia!$P$14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Malaysia!$Q$6:$T$6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Malaysia!$Q$14:$T$14</c:f>
              <c:numCache>
                <c:formatCode>_-* #,##0_-;\-* #,##0_-;_-* "-"??_-;_-@_-</c:formatCode>
                <c:ptCount val="4"/>
                <c:pt idx="0">
                  <c:v>99557</c:v>
                </c:pt>
                <c:pt idx="1">
                  <c:v>99433</c:v>
                </c:pt>
                <c:pt idx="2">
                  <c:v>89984</c:v>
                </c:pt>
                <c:pt idx="3">
                  <c:v>93878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17-42D7-B80C-FC913962376A}"/>
            </c:ext>
          </c:extLst>
        </c:ser>
        <c:ser>
          <c:idx val="8"/>
          <c:order val="8"/>
          <c:tx>
            <c:strRef>
              <c:f>Malaysia!$P$15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FF0066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FF0066"/>
                </a:solidFill>
                <a:round/>
              </a:ln>
              <a:effectLst/>
            </c:spPr>
          </c:marker>
          <c:cat>
            <c:strRef>
              <c:f>Malaysia!$Q$6:$T$6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Malaysia!$Q$15:$T$15</c:f>
              <c:numCache>
                <c:formatCode>_-* #,##0_-;\-* #,##0_-;_-* "-"??_-;_-@_-</c:formatCode>
                <c:ptCount val="4"/>
                <c:pt idx="0">
                  <c:v>85310</c:v>
                </c:pt>
                <c:pt idx="1">
                  <c:v>84192</c:v>
                </c:pt>
                <c:pt idx="2">
                  <c:v>70196</c:v>
                </c:pt>
                <c:pt idx="3">
                  <c:v>60780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17-42D7-B80C-FC913962376A}"/>
            </c:ext>
          </c:extLst>
        </c:ser>
        <c:ser>
          <c:idx val="9"/>
          <c:order val="9"/>
          <c:tx>
            <c:strRef>
              <c:f>Malaysia!$P$16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Malaysia!$Q$6:$T$6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Malaysia!$Q$16:$T$16</c:f>
              <c:numCache>
                <c:formatCode>_-* #,##0_-;\-* #,##0_-;_-* "-"??_-;_-@_-</c:formatCode>
                <c:ptCount val="4"/>
                <c:pt idx="0">
                  <c:v>79528</c:v>
                </c:pt>
                <c:pt idx="1">
                  <c:v>79982.399999999994</c:v>
                </c:pt>
                <c:pt idx="2">
                  <c:v>90833.623999999996</c:v>
                </c:pt>
                <c:pt idx="3">
                  <c:v>89400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E-4FB7-AB0C-5CA8AFEDB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Malaysia!$P$7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Malaysia!$Q$6:$T$6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Malaysia!$Q$7:$T$7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57029</c:v>
                      </c:pt>
                      <c:pt idx="1">
                        <c:v>54384</c:v>
                      </c:pt>
                      <c:pt idx="2">
                        <c:v>49072</c:v>
                      </c:pt>
                      <c:pt idx="3">
                        <c:v>55665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F17-42D7-B80C-FC913962376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Malaysia!$P$8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Malaysia!$Q$6:$T$6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Malaysia!$Q$8:$T$8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59137</c:v>
                      </c:pt>
                      <c:pt idx="1">
                        <c:v>58841</c:v>
                      </c:pt>
                      <c:pt idx="2">
                        <c:v>57512</c:v>
                      </c:pt>
                      <c:pt idx="3">
                        <c:v>60857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17-42D7-B80C-FC913962376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Malaysia!$P$9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Malaysia!$Q$6:$T$6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Malaysia!$Q$9:$T$9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72451</c:v>
                      </c:pt>
                      <c:pt idx="1">
                        <c:v>79722</c:v>
                      </c:pt>
                      <c:pt idx="2">
                        <c:v>83449</c:v>
                      </c:pt>
                      <c:pt idx="3">
                        <c:v>91197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F17-42D7-B80C-FC913962376A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Malaysia!$Z$6</c:f>
          <c:strCache>
            <c:ptCount val="1"/>
            <c:pt idx="0">
              <c:v>YTD (Q1 to Q4)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Malaysia!$Z$6</c:f>
              <c:strCache>
                <c:ptCount val="1"/>
                <c:pt idx="0">
                  <c:v>YTD (Q1 to Q4)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Malaysia!$Y$7:$Y$16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Malaysia!$Z$7:$Z$16</c:f>
              <c:numCache>
                <c:formatCode>_-* #,##0_-;\-* #,##0_-;_-* "-"??_-;_-@_-</c:formatCode>
                <c:ptCount val="10"/>
                <c:pt idx="0">
                  <c:v>216150</c:v>
                </c:pt>
                <c:pt idx="1">
                  <c:v>236347</c:v>
                </c:pt>
                <c:pt idx="2">
                  <c:v>326819</c:v>
                </c:pt>
                <c:pt idx="3">
                  <c:v>318106</c:v>
                </c:pt>
                <c:pt idx="4">
                  <c:v>337601</c:v>
                </c:pt>
                <c:pt idx="5">
                  <c:v>375321</c:v>
                </c:pt>
                <c:pt idx="6">
                  <c:v>364412</c:v>
                </c:pt>
                <c:pt idx="7">
                  <c:v>382852</c:v>
                </c:pt>
                <c:pt idx="8">
                  <c:v>300478</c:v>
                </c:pt>
                <c:pt idx="9">
                  <c:v>339744.02399999998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B-4D4F-B52C-1FE3842A7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Malaysia!$AA$6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Malaysia!$Y$7:$Y$16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Malaysia!$AA$7:$AA$16</c:f>
              <c:numCache>
                <c:formatCode>0.0%</c:formatCode>
                <c:ptCount val="10"/>
                <c:pt idx="1">
                  <c:v>9.3439740920656877E-2</c:v>
                </c:pt>
                <c:pt idx="2">
                  <c:v>0.38279309659102934</c:v>
                </c:pt>
                <c:pt idx="3">
                  <c:v>-2.6660016706494982E-2</c:v>
                </c:pt>
                <c:pt idx="4">
                  <c:v>6.1284603245459035E-2</c:v>
                </c:pt>
                <c:pt idx="5">
                  <c:v>0.11172952686751514</c:v>
                </c:pt>
                <c:pt idx="6">
                  <c:v>-2.9065786353548062E-2</c:v>
                </c:pt>
                <c:pt idx="7">
                  <c:v>5.060206579366211E-2</c:v>
                </c:pt>
                <c:pt idx="8">
                  <c:v>-0.2151588603429001</c:v>
                </c:pt>
                <c:pt idx="9">
                  <c:v>0.13067853220535275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B-4D4F-B52C-1FE3842A7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Malaysia!$AC$25</c:f>
          <c:strCache>
            <c:ptCount val="1"/>
            <c:pt idx="0">
              <c:v>Malaysia Grinds Q4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Malaysia!$AA$23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Malaysia!$Z$24:$Z$33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Malaysia!$AA$24:$AA$33</c:f>
              <c:numCache>
                <c:formatCode>_-* #,##0_-;\-* #,##0_-;_-* "-"??_-;_-@_-</c:formatCode>
                <c:ptCount val="10"/>
                <c:pt idx="0">
                  <c:v>55665</c:v>
                </c:pt>
                <c:pt idx="1">
                  <c:v>60857</c:v>
                </c:pt>
                <c:pt idx="2">
                  <c:v>91197</c:v>
                </c:pt>
                <c:pt idx="3">
                  <c:v>76491</c:v>
                </c:pt>
                <c:pt idx="4">
                  <c:v>79120</c:v>
                </c:pt>
                <c:pt idx="5">
                  <c:v>91022</c:v>
                </c:pt>
                <c:pt idx="6">
                  <c:v>87907</c:v>
                </c:pt>
                <c:pt idx="7">
                  <c:v>93878</c:v>
                </c:pt>
                <c:pt idx="8">
                  <c:v>60780</c:v>
                </c:pt>
                <c:pt idx="9">
                  <c:v>89400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9-40CF-8C52-37F4D1A49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'CAA Non Malaysian Grind'!$A$1</c:f>
          <c:strCache>
            <c:ptCount val="1"/>
            <c:pt idx="0">
              <c:v>CAA : Non Malaysian Grind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'CAA Non Malaysian Grind'!$B$7:$B$45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|24/25</c:v>
                </c:pt>
                <c:pt idx="34">
                  <c:v>Q3 |24/25</c:v>
                </c:pt>
                <c:pt idx="35">
                  <c:v>Q4|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'CAA Non Malaysian Grind'!$C$7:$C$45</c:f>
              <c:numCache>
                <c:formatCode>_-* #,##0_-;\-* #,##0_-;_-* "-"??_-;_-@_-</c:formatCode>
                <c:ptCount val="39"/>
                <c:pt idx="0">
                  <c:v>120421</c:v>
                </c:pt>
                <c:pt idx="1">
                  <c:v>123066</c:v>
                </c:pt>
                <c:pt idx="2">
                  <c:v>111806</c:v>
                </c:pt>
                <c:pt idx="3">
                  <c:v>133742</c:v>
                </c:pt>
                <c:pt idx="4">
                  <c:v>137339</c:v>
                </c:pt>
                <c:pt idx="5">
                  <c:v>131403</c:v>
                </c:pt>
                <c:pt idx="6">
                  <c:v>127882</c:v>
                </c:pt>
                <c:pt idx="7">
                  <c:v>135561</c:v>
                </c:pt>
                <c:pt idx="8">
                  <c:v>136449</c:v>
                </c:pt>
                <c:pt idx="9">
                  <c:v>128666</c:v>
                </c:pt>
                <c:pt idx="10">
                  <c:v>132125</c:v>
                </c:pt>
                <c:pt idx="11">
                  <c:v>134159</c:v>
                </c:pt>
                <c:pt idx="12">
                  <c:v>137655</c:v>
                </c:pt>
                <c:pt idx="13">
                  <c:v>132525</c:v>
                </c:pt>
                <c:pt idx="14">
                  <c:v>125248</c:v>
                </c:pt>
                <c:pt idx="15">
                  <c:v>126174</c:v>
                </c:pt>
                <c:pt idx="16">
                  <c:v>130383</c:v>
                </c:pt>
                <c:pt idx="17">
                  <c:v>129868</c:v>
                </c:pt>
                <c:pt idx="18">
                  <c:v>133537</c:v>
                </c:pt>
                <c:pt idx="19">
                  <c:v>131850</c:v>
                </c:pt>
                <c:pt idx="20">
                  <c:v>129765</c:v>
                </c:pt>
                <c:pt idx="21">
                  <c:v>122889</c:v>
                </c:pt>
                <c:pt idx="22">
                  <c:v>136564</c:v>
                </c:pt>
                <c:pt idx="23">
                  <c:v>140058</c:v>
                </c:pt>
                <c:pt idx="24">
                  <c:v>137043</c:v>
                </c:pt>
                <c:pt idx="25">
                  <c:v>131373</c:v>
                </c:pt>
                <c:pt idx="26">
                  <c:v>121890</c:v>
                </c:pt>
                <c:pt idx="27">
                  <c:v>123561</c:v>
                </c:pt>
                <c:pt idx="28">
                  <c:v>111645</c:v>
                </c:pt>
                <c:pt idx="29">
                  <c:v>126129</c:v>
                </c:pt>
                <c:pt idx="30">
                  <c:v>125544</c:v>
                </c:pt>
                <c:pt idx="31">
                  <c:v>127327</c:v>
                </c:pt>
                <c:pt idx="32">
                  <c:v>129195</c:v>
                </c:pt>
                <c:pt idx="33">
                  <c:v>133267</c:v>
                </c:pt>
                <c:pt idx="34">
                  <c:v>111922</c:v>
                </c:pt>
                <c:pt idx="35">
                  <c:v>122633</c:v>
                </c:pt>
                <c:pt idx="36">
                  <c:v>117494</c:v>
                </c:pt>
                <c:pt idx="37">
                  <c:v>143520.6</c:v>
                </c:pt>
                <c:pt idx="38">
                  <c:v>133812.37599999999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0-4BF6-ADDF-3E17E1903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'CAA Non Malaysian Grind'!$P$10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'CAA Non Malaysian Grind'!$Q$6:$T$6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'CAA Non Malaysian Grind'!$Q$10:$T$10</c:f>
              <c:numCache>
                <c:formatCode>_-* #,##0_-;\-* #,##0_-;_-* "-"??_-;_-@_-</c:formatCode>
                <c:ptCount val="4"/>
                <c:pt idx="0">
                  <c:v>137655</c:v>
                </c:pt>
                <c:pt idx="1">
                  <c:v>132525</c:v>
                </c:pt>
                <c:pt idx="2">
                  <c:v>125248</c:v>
                </c:pt>
                <c:pt idx="3">
                  <c:v>126174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2-4979-AAAB-AC72A4F0B829}"/>
            </c:ext>
          </c:extLst>
        </c:ser>
        <c:ser>
          <c:idx val="4"/>
          <c:order val="4"/>
          <c:tx>
            <c:strRef>
              <c:f>'CAA Non Malaysian Grind'!$P$11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'CAA Non Malaysian Grind'!$Q$6:$T$6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'CAA Non Malaysian Grind'!$Q$11:$T$11</c:f>
              <c:numCache>
                <c:formatCode>_-* #,##0_-;\-* #,##0_-;_-* "-"??_-;_-@_-</c:formatCode>
                <c:ptCount val="4"/>
                <c:pt idx="0">
                  <c:v>130383</c:v>
                </c:pt>
                <c:pt idx="1">
                  <c:v>129868</c:v>
                </c:pt>
                <c:pt idx="2">
                  <c:v>133537</c:v>
                </c:pt>
                <c:pt idx="3">
                  <c:v>131850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2-4979-AAAB-AC72A4F0B829}"/>
            </c:ext>
          </c:extLst>
        </c:ser>
        <c:ser>
          <c:idx val="5"/>
          <c:order val="5"/>
          <c:tx>
            <c:strRef>
              <c:f>'CAA Non Malaysian Grind'!$P$12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'CAA Non Malaysian Grind'!$Q$6:$T$6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'CAA Non Malaysian Grind'!$Q$12:$T$12</c:f>
              <c:numCache>
                <c:formatCode>_-* #,##0_-;\-* #,##0_-;_-* "-"??_-;_-@_-</c:formatCode>
                <c:ptCount val="4"/>
                <c:pt idx="0">
                  <c:v>129765</c:v>
                </c:pt>
                <c:pt idx="1">
                  <c:v>122889</c:v>
                </c:pt>
                <c:pt idx="2">
                  <c:v>136564</c:v>
                </c:pt>
                <c:pt idx="3">
                  <c:v>140058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72-4979-AAAB-AC72A4F0B829}"/>
            </c:ext>
          </c:extLst>
        </c:ser>
        <c:ser>
          <c:idx val="6"/>
          <c:order val="6"/>
          <c:tx>
            <c:strRef>
              <c:f>'CAA Non Malaysian Grind'!$P$13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'CAA Non Malaysian Grind'!$Q$6:$T$6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'CAA Non Malaysian Grind'!$Q$13:$T$13</c:f>
              <c:numCache>
                <c:formatCode>_-* #,##0_-;\-* #,##0_-;_-* "-"??_-;_-@_-</c:formatCode>
                <c:ptCount val="4"/>
                <c:pt idx="0">
                  <c:v>137043</c:v>
                </c:pt>
                <c:pt idx="1">
                  <c:v>131373</c:v>
                </c:pt>
                <c:pt idx="2">
                  <c:v>121890</c:v>
                </c:pt>
                <c:pt idx="3">
                  <c:v>123561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72-4979-AAAB-AC72A4F0B829}"/>
            </c:ext>
          </c:extLst>
        </c:ser>
        <c:ser>
          <c:idx val="7"/>
          <c:order val="7"/>
          <c:tx>
            <c:strRef>
              <c:f>'CAA Non Malaysian Grind'!$P$14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'CAA Non Malaysian Grind'!$Q$6:$T$6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'CAA Non Malaysian Grind'!$Q$14:$T$14</c:f>
              <c:numCache>
                <c:formatCode>_-* #,##0_-;\-* #,##0_-;_-* "-"??_-;_-@_-</c:formatCode>
                <c:ptCount val="4"/>
                <c:pt idx="0">
                  <c:v>111645</c:v>
                </c:pt>
                <c:pt idx="1">
                  <c:v>126129</c:v>
                </c:pt>
                <c:pt idx="2">
                  <c:v>125544</c:v>
                </c:pt>
                <c:pt idx="3">
                  <c:v>127327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72-4979-AAAB-AC72A4F0B829}"/>
            </c:ext>
          </c:extLst>
        </c:ser>
        <c:ser>
          <c:idx val="8"/>
          <c:order val="8"/>
          <c:tx>
            <c:strRef>
              <c:f>'CAA Non Malaysian Grind'!$P$15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FF0066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FF0066"/>
                </a:solidFill>
                <a:round/>
              </a:ln>
              <a:effectLst/>
            </c:spPr>
          </c:marker>
          <c:cat>
            <c:strRef>
              <c:f>'CAA Non Malaysian Grind'!$Q$6:$T$6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'CAA Non Malaysian Grind'!$Q$15:$T$15</c:f>
              <c:numCache>
                <c:formatCode>_-* #,##0_-;\-* #,##0_-;_-* "-"??_-;_-@_-</c:formatCode>
                <c:ptCount val="4"/>
                <c:pt idx="0">
                  <c:v>129195</c:v>
                </c:pt>
                <c:pt idx="1">
                  <c:v>133267</c:v>
                </c:pt>
                <c:pt idx="2">
                  <c:v>111922</c:v>
                </c:pt>
                <c:pt idx="3">
                  <c:v>122633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72-4979-AAAB-AC72A4F0B829}"/>
            </c:ext>
          </c:extLst>
        </c:ser>
        <c:ser>
          <c:idx val="9"/>
          <c:order val="9"/>
          <c:tx>
            <c:strRef>
              <c:f>'CAA Non Malaysian Grind'!$P$16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'CAA Non Malaysian Grind'!$Q$6:$T$6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'CAA Non Malaysian Grind'!$Q$16:$T$16</c:f>
              <c:numCache>
                <c:formatCode>_-* #,##0_-;\-* #,##0_-;_-* "-"??_-;_-@_-</c:formatCode>
                <c:ptCount val="4"/>
                <c:pt idx="0">
                  <c:v>117494</c:v>
                </c:pt>
                <c:pt idx="1">
                  <c:v>143520.6</c:v>
                </c:pt>
                <c:pt idx="2">
                  <c:v>133812.37599999999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E-455C-BC6B-E8A1EF75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'CAA Non Malaysian Grind'!$P$7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'CAA Non Malaysian Grind'!$Q$6:$T$6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'CAA Non Malaysian Grind'!$Q$7:$T$7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120421</c:v>
                      </c:pt>
                      <c:pt idx="1">
                        <c:v>123066</c:v>
                      </c:pt>
                      <c:pt idx="2">
                        <c:v>111806</c:v>
                      </c:pt>
                      <c:pt idx="3">
                        <c:v>133742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072-4979-AAAB-AC72A4F0B82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'CAA Non Malaysian Grind'!$P$8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'CAA Non Malaysian Grind'!$Q$6:$T$6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'CAA Non Malaysian Grind'!$Q$8:$T$8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137339</c:v>
                      </c:pt>
                      <c:pt idx="1">
                        <c:v>131403</c:v>
                      </c:pt>
                      <c:pt idx="2">
                        <c:v>127882</c:v>
                      </c:pt>
                      <c:pt idx="3">
                        <c:v>135561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072-4979-AAAB-AC72A4F0B82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'CAA Non Malaysian Grind'!$P$9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'CAA Non Malaysian Grind'!$Q$6:$T$6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'CAA Non Malaysian Grind'!$Q$9:$T$9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136449</c:v>
                      </c:pt>
                      <c:pt idx="1">
                        <c:v>128666</c:v>
                      </c:pt>
                      <c:pt idx="2">
                        <c:v>132125</c:v>
                      </c:pt>
                      <c:pt idx="3">
                        <c:v>134159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072-4979-AAAB-AC72A4F0B829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  <c:min val="10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'CAA Non Malaysian Grind'!$Z$6</c:f>
          <c:strCache>
            <c:ptCount val="1"/>
            <c:pt idx="0">
              <c:v>YTD (Q1 to Q3)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'CAA Non Malaysian Grind'!$Z$6</c:f>
              <c:strCache>
                <c:ptCount val="1"/>
                <c:pt idx="0">
                  <c:v>YTD (Q1 to Q3)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'CAA Non Malaysian Grind'!$Y$7:$Y$15</c:f>
              <c:strCache>
                <c:ptCount val="9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</c:strCache>
            </c:strRef>
          </c:cat>
          <c:val>
            <c:numRef>
              <c:f>'CAA Non Malaysian Grind'!$Z$7:$Z$15</c:f>
              <c:numCache>
                <c:formatCode>_-* #,##0_-;\-* #,##0_-;_-* "-"??_-;_-@_-</c:formatCode>
                <c:ptCount val="9"/>
                <c:pt idx="0">
                  <c:v>355293</c:v>
                </c:pt>
                <c:pt idx="1">
                  <c:v>396624</c:v>
                </c:pt>
                <c:pt idx="2">
                  <c:v>397240</c:v>
                </c:pt>
                <c:pt idx="3">
                  <c:v>395428</c:v>
                </c:pt>
                <c:pt idx="4">
                  <c:v>393788</c:v>
                </c:pt>
                <c:pt idx="5">
                  <c:v>389218</c:v>
                </c:pt>
                <c:pt idx="6">
                  <c:v>390306</c:v>
                </c:pt>
                <c:pt idx="7">
                  <c:v>363318</c:v>
                </c:pt>
                <c:pt idx="8">
                  <c:v>374384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6-4EB0-AA7C-6B8376CCD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'CAA Non Malaysian Grind'!$AA$6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'CAA Non Malaysian Grind'!$Y$7:$Y$15</c:f>
              <c:strCache>
                <c:ptCount val="9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</c:strCache>
            </c:strRef>
          </c:cat>
          <c:val>
            <c:numRef>
              <c:f>'CAA Non Malaysian Grind'!$AA$7:$AA$15</c:f>
              <c:numCache>
                <c:formatCode>0.0%</c:formatCode>
                <c:ptCount val="9"/>
                <c:pt idx="1">
                  <c:v>0.11632933944659762</c:v>
                </c:pt>
                <c:pt idx="2">
                  <c:v>1.553108233490752E-3</c:v>
                </c:pt>
                <c:pt idx="3">
                  <c:v>-4.561474171785318E-3</c:v>
                </c:pt>
                <c:pt idx="4">
                  <c:v>-4.1474048372902583E-3</c:v>
                </c:pt>
                <c:pt idx="5">
                  <c:v>-1.1605229209625478E-2</c:v>
                </c:pt>
                <c:pt idx="6">
                  <c:v>2.7953486221088397E-3</c:v>
                </c:pt>
                <c:pt idx="7">
                  <c:v>-6.91457471829795E-2</c:v>
                </c:pt>
                <c:pt idx="8">
                  <c:v>3.0458166124441854E-2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66-4EB0-AA7C-6B8376CCD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'CAA Non Malaysian Grind'!$AC$25</c:f>
          <c:strCache>
            <c:ptCount val="1"/>
            <c:pt idx="0">
              <c:v>CAA : Non Malaysian Grind Q3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'CAA Non Malaysian Grind'!$AA$23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'CAA Non Malaysian Grind'!$Z$24:$Z$33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'CAA Non Malaysian Grind'!$AA$24:$AA$33</c:f>
              <c:numCache>
                <c:formatCode>_-* #,##0_-;\-* #,##0_-;_-* "-"??_-;_-@_-</c:formatCode>
                <c:ptCount val="10"/>
                <c:pt idx="0">
                  <c:v>111806</c:v>
                </c:pt>
                <c:pt idx="1">
                  <c:v>127882</c:v>
                </c:pt>
                <c:pt idx="2">
                  <c:v>132125</c:v>
                </c:pt>
                <c:pt idx="3">
                  <c:v>125248</c:v>
                </c:pt>
                <c:pt idx="4">
                  <c:v>133537</c:v>
                </c:pt>
                <c:pt idx="5">
                  <c:v>136564</c:v>
                </c:pt>
                <c:pt idx="6">
                  <c:v>121890</c:v>
                </c:pt>
                <c:pt idx="7">
                  <c:v>125544</c:v>
                </c:pt>
                <c:pt idx="8">
                  <c:v>111922</c:v>
                </c:pt>
                <c:pt idx="9">
                  <c:v>133812.37599999999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E-4EDF-A5CA-23B27C480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r>
              <a:rPr lang="en-US" baseline="0"/>
              <a:t> Exports vs Grinds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'NCA Estimates'!$H$54</c:f>
              <c:strCache>
                <c:ptCount val="1"/>
                <c:pt idx="0">
                  <c:v>Grind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8"/>
            <c:marker>
              <c:symbol val="circle"/>
              <c:size val="5"/>
              <c:spPr>
                <a:solidFill>
                  <a:schemeClr val="bg1">
                    <a:lumMod val="9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D2-41B8-99F8-8EABC7362E23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41513560804899"/>
                  <c:y val="-0.24198855351414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'NCA Estimates'!$G$55:$G$87</c:f>
              <c:numCache>
                <c:formatCode>0%</c:formatCode>
                <c:ptCount val="33"/>
                <c:pt idx="0">
                  <c:v>0.14279156458663955</c:v>
                </c:pt>
                <c:pt idx="1">
                  <c:v>-0.11911819535960277</c:v>
                </c:pt>
                <c:pt idx="2">
                  <c:v>-8.5194867150695019E-2</c:v>
                </c:pt>
                <c:pt idx="3">
                  <c:v>8.0669337174257283E-2</c:v>
                </c:pt>
                <c:pt idx="4">
                  <c:v>-0.2416389603304373</c:v>
                </c:pt>
                <c:pt idx="5">
                  <c:v>-1.272100232282436E-2</c:v>
                </c:pt>
                <c:pt idx="6">
                  <c:v>0.46228634833677518</c:v>
                </c:pt>
                <c:pt idx="7">
                  <c:v>-0.22294052973733847</c:v>
                </c:pt>
                <c:pt idx="8">
                  <c:v>0.14226545353618758</c:v>
                </c:pt>
                <c:pt idx="9">
                  <c:v>-3.2347298757088749E-2</c:v>
                </c:pt>
                <c:pt idx="10">
                  <c:v>-0.2489467706260956</c:v>
                </c:pt>
                <c:pt idx="11">
                  <c:v>0.40062260130037064</c:v>
                </c:pt>
                <c:pt idx="12">
                  <c:v>0.16694604847909034</c:v>
                </c:pt>
                <c:pt idx="13">
                  <c:v>0.12277264363640628</c:v>
                </c:pt>
                <c:pt idx="14">
                  <c:v>-8.8402727997441199E-2</c:v>
                </c:pt>
                <c:pt idx="15">
                  <c:v>-5.3449861311753555E-2</c:v>
                </c:pt>
                <c:pt idx="16">
                  <c:v>-8.5330022255619475E-2</c:v>
                </c:pt>
                <c:pt idx="17">
                  <c:v>9.17469512712068E-2</c:v>
                </c:pt>
                <c:pt idx="18">
                  <c:v>0.19501996091197005</c:v>
                </c:pt>
                <c:pt idx="19">
                  <c:v>4.6452499991426643E-2</c:v>
                </c:pt>
                <c:pt idx="20">
                  <c:v>-0.18436036386997678</c:v>
                </c:pt>
                <c:pt idx="21">
                  <c:v>-0.13089572095982449</c:v>
                </c:pt>
                <c:pt idx="22">
                  <c:v>-8.1306239469057351E-2</c:v>
                </c:pt>
                <c:pt idx="23">
                  <c:v>-0.11392017633885343</c:v>
                </c:pt>
                <c:pt idx="24">
                  <c:v>0.2488148344593557</c:v>
                </c:pt>
                <c:pt idx="25">
                  <c:v>0.92868997794124319</c:v>
                </c:pt>
                <c:pt idx="26">
                  <c:v>1.5612223547135571</c:v>
                </c:pt>
                <c:pt idx="27">
                  <c:v>2.6785979929448316</c:v>
                </c:pt>
                <c:pt idx="28">
                  <c:v>2.3274663528586732</c:v>
                </c:pt>
                <c:pt idx="29">
                  <c:v>0.74113423177916138</c:v>
                </c:pt>
                <c:pt idx="30">
                  <c:v>0.16738387207054628</c:v>
                </c:pt>
                <c:pt idx="31">
                  <c:v>-0.32566908381437065</c:v>
                </c:pt>
                <c:pt idx="32">
                  <c:v>-0.02</c:v>
                </c:pt>
              </c:numCache>
            </c:numRef>
          </c:xVal>
          <c:yVal>
            <c:numRef>
              <c:f>'NCA Estimates'!$H$55:$H$87</c:f>
              <c:numCache>
                <c:formatCode>0%</c:formatCode>
                <c:ptCount val="33"/>
                <c:pt idx="0">
                  <c:v>-3.389040548638389E-2</c:v>
                </c:pt>
                <c:pt idx="1">
                  <c:v>-1.1435515014315167E-2</c:v>
                </c:pt>
                <c:pt idx="2">
                  <c:v>-3.1057868020304524E-2</c:v>
                </c:pt>
                <c:pt idx="3">
                  <c:v>2.5302618034997559E-2</c:v>
                </c:pt>
                <c:pt idx="4">
                  <c:v>9.8380427291522299E-3</c:v>
                </c:pt>
                <c:pt idx="5">
                  <c:v>2.5450841064843743E-2</c:v>
                </c:pt>
                <c:pt idx="6">
                  <c:v>3.9806875047149637E-2</c:v>
                </c:pt>
                <c:pt idx="7">
                  <c:v>-4.113810761591985E-2</c:v>
                </c:pt>
                <c:pt idx="8">
                  <c:v>-5.8444660558598205E-2</c:v>
                </c:pt>
                <c:pt idx="9">
                  <c:v>-5.0984803080434515E-2</c:v>
                </c:pt>
                <c:pt idx="10">
                  <c:v>-0.1070052398226522</c:v>
                </c:pt>
                <c:pt idx="11">
                  <c:v>-4.0159729887669582E-2</c:v>
                </c:pt>
                <c:pt idx="12">
                  <c:v>6.9511012856638077E-2</c:v>
                </c:pt>
                <c:pt idx="13">
                  <c:v>2.046007042070741E-2</c:v>
                </c:pt>
                <c:pt idx="14">
                  <c:v>0.11683938759298051</c:v>
                </c:pt>
                <c:pt idx="15">
                  <c:v>4.3455098934551017E-2</c:v>
                </c:pt>
                <c:pt idx="16">
                  <c:v>-1.187702786272804E-2</c:v>
                </c:pt>
                <c:pt idx="17">
                  <c:v>-2.7654379599172607E-2</c:v>
                </c:pt>
                <c:pt idx="18">
                  <c:v>-6.3207753053290072E-2</c:v>
                </c:pt>
                <c:pt idx="19">
                  <c:v>-3.3671261517516315E-2</c:v>
                </c:pt>
                <c:pt idx="20">
                  <c:v>-8.1540796118003134E-2</c:v>
                </c:pt>
                <c:pt idx="21">
                  <c:v>-4.3838387361152309E-2</c:v>
                </c:pt>
                <c:pt idx="22">
                  <c:v>-0.11566967790921401</c:v>
                </c:pt>
                <c:pt idx="23">
                  <c:v>-0.17915366810908728</c:v>
                </c:pt>
                <c:pt idx="24">
                  <c:v>-2.9487538504620603E-2</c:v>
                </c:pt>
                <c:pt idx="25">
                  <c:v>3.6629402002443801E-2</c:v>
                </c:pt>
                <c:pt idx="26">
                  <c:v>2.2323475749563393E-2</c:v>
                </c:pt>
                <c:pt idx="27">
                  <c:v>0.11629427570212814</c:v>
                </c:pt>
                <c:pt idx="28">
                  <c:v>-1.1637860557270785E-2</c:v>
                </c:pt>
                <c:pt idx="29">
                  <c:v>-2.9951707819111051E-2</c:v>
                </c:pt>
                <c:pt idx="30">
                  <c:v>-2.7829472900621322E-2</c:v>
                </c:pt>
                <c:pt idx="31">
                  <c:v>-4.1001610777566255E-2</c:v>
                </c:pt>
                <c:pt idx="32" formatCode="0.0%">
                  <c:v>-2.7219648193051008E-2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D2-41B8-99F8-8EABC7362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010064"/>
        <c:axId val="334006704"/>
      </c:scatterChart>
      <c:valAx>
        <c:axId val="3340100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06704"/>
        <c:crosses val="autoZero"/>
        <c:crossBetween val="midCat"/>
      </c:valAx>
      <c:valAx>
        <c:axId val="3340067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1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'ECA,NCA,CAA'!$A$1</c:f>
          <c:strCache>
            <c:ptCount val="1"/>
            <c:pt idx="0">
              <c:v>ECA, CAA &amp; NCA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'ECA,NCA,CAA'!$B$7:$B$45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'ECA,NCA,CAA'!$D$7:$D$45</c:f>
              <c:numCache>
                <c:formatCode>_-* #,##0_-;\-* #,##0_-;_-* "-"??_-;_-@_-</c:formatCode>
                <c:ptCount val="39"/>
                <c:pt idx="0">
                  <c:v>339741</c:v>
                </c:pt>
                <c:pt idx="1">
                  <c:v>339741</c:v>
                </c:pt>
                <c:pt idx="2">
                  <c:v>331970</c:v>
                </c:pt>
                <c:pt idx="3">
                  <c:v>353544</c:v>
                </c:pt>
                <c:pt idx="4">
                  <c:v>353286</c:v>
                </c:pt>
                <c:pt idx="5">
                  <c:v>358432</c:v>
                </c:pt>
                <c:pt idx="6">
                  <c:v>356109</c:v>
                </c:pt>
                <c:pt idx="7">
                  <c:v>363122</c:v>
                </c:pt>
                <c:pt idx="8">
                  <c:v>359103</c:v>
                </c:pt>
                <c:pt idx="9">
                  <c:v>370359</c:v>
                </c:pt>
                <c:pt idx="10">
                  <c:v>344890</c:v>
                </c:pt>
                <c:pt idx="11">
                  <c:v>362940</c:v>
                </c:pt>
                <c:pt idx="12">
                  <c:v>355201</c:v>
                </c:pt>
                <c:pt idx="13">
                  <c:v>368934</c:v>
                </c:pt>
                <c:pt idx="14">
                  <c:v>314108</c:v>
                </c:pt>
                <c:pt idx="15">
                  <c:v>345730</c:v>
                </c:pt>
                <c:pt idx="16">
                  <c:v>344151</c:v>
                </c:pt>
                <c:pt idx="17">
                  <c:v>357815</c:v>
                </c:pt>
                <c:pt idx="18">
                  <c:v>356854</c:v>
                </c:pt>
                <c:pt idx="19">
                  <c:v>375811</c:v>
                </c:pt>
                <c:pt idx="20">
                  <c:v>365826</c:v>
                </c:pt>
                <c:pt idx="21">
                  <c:v>373498</c:v>
                </c:pt>
                <c:pt idx="22">
                  <c:v>364081</c:v>
                </c:pt>
                <c:pt idx="23">
                  <c:v>369679</c:v>
                </c:pt>
                <c:pt idx="24">
                  <c:v>359577</c:v>
                </c:pt>
                <c:pt idx="25">
                  <c:v>375375</c:v>
                </c:pt>
                <c:pt idx="26">
                  <c:v>343283</c:v>
                </c:pt>
                <c:pt idx="27">
                  <c:v>366298</c:v>
                </c:pt>
                <c:pt idx="28">
                  <c:v>350739</c:v>
                </c:pt>
                <c:pt idx="29">
                  <c:v>367287</c:v>
                </c:pt>
                <c:pt idx="30">
                  <c:v>357502</c:v>
                </c:pt>
                <c:pt idx="31">
                  <c:v>354334</c:v>
                </c:pt>
                <c:pt idx="32">
                  <c:v>331853</c:v>
                </c:pt>
                <c:pt idx="33">
                  <c:v>353522</c:v>
                </c:pt>
                <c:pt idx="34">
                  <c:v>331762</c:v>
                </c:pt>
                <c:pt idx="35">
                  <c:v>337353</c:v>
                </c:pt>
                <c:pt idx="36">
                  <c:v>304470</c:v>
                </c:pt>
                <c:pt idx="37">
                  <c:v>325895</c:v>
                </c:pt>
                <c:pt idx="38">
                  <c:v>316366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D-4778-BEE2-474A006BA9F4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'ECA,NCA,CAA'!$B$7:$B$45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'ECA,NCA,CAA'!$E$7:$E$45</c:f>
              <c:numCache>
                <c:formatCode>_-* #,##0_-;\-* #,##0_-;_-* "-"??_-;_-@_-</c:formatCode>
                <c:ptCount val="39"/>
                <c:pt idx="0">
                  <c:v>177450</c:v>
                </c:pt>
                <c:pt idx="1">
                  <c:v>177450</c:v>
                </c:pt>
                <c:pt idx="2">
                  <c:v>160878</c:v>
                </c:pt>
                <c:pt idx="3">
                  <c:v>189407</c:v>
                </c:pt>
                <c:pt idx="4">
                  <c:v>196476</c:v>
                </c:pt>
                <c:pt idx="5">
                  <c:v>190244</c:v>
                </c:pt>
                <c:pt idx="6">
                  <c:v>185394</c:v>
                </c:pt>
                <c:pt idx="7">
                  <c:v>196418</c:v>
                </c:pt>
                <c:pt idx="8">
                  <c:v>208900</c:v>
                </c:pt>
                <c:pt idx="9">
                  <c:v>208388</c:v>
                </c:pt>
                <c:pt idx="10">
                  <c:v>215574</c:v>
                </c:pt>
                <c:pt idx="11">
                  <c:v>225356</c:v>
                </c:pt>
                <c:pt idx="12">
                  <c:v>227013</c:v>
                </c:pt>
                <c:pt idx="13">
                  <c:v>207356</c:v>
                </c:pt>
                <c:pt idx="14">
                  <c:v>202674</c:v>
                </c:pt>
                <c:pt idx="15">
                  <c:v>202665</c:v>
                </c:pt>
                <c:pt idx="16">
                  <c:v>217546</c:v>
                </c:pt>
                <c:pt idx="17">
                  <c:v>213858</c:v>
                </c:pt>
                <c:pt idx="18">
                  <c:v>220865</c:v>
                </c:pt>
                <c:pt idx="19">
                  <c:v>210970</c:v>
                </c:pt>
                <c:pt idx="20">
                  <c:v>231309</c:v>
                </c:pt>
                <c:pt idx="21">
                  <c:v>213313</c:v>
                </c:pt>
                <c:pt idx="22">
                  <c:v>228895</c:v>
                </c:pt>
                <c:pt idx="23">
                  <c:v>231080</c:v>
                </c:pt>
                <c:pt idx="24">
                  <c:v>230806</c:v>
                </c:pt>
                <c:pt idx="25">
                  <c:v>222028</c:v>
                </c:pt>
                <c:pt idx="26">
                  <c:v>213977</c:v>
                </c:pt>
                <c:pt idx="27">
                  <c:v>211468</c:v>
                </c:pt>
                <c:pt idx="28">
                  <c:v>211202</c:v>
                </c:pt>
                <c:pt idx="29">
                  <c:v>225562</c:v>
                </c:pt>
                <c:pt idx="30">
                  <c:v>215528</c:v>
                </c:pt>
                <c:pt idx="31">
                  <c:v>221205</c:v>
                </c:pt>
                <c:pt idx="32">
                  <c:v>214505</c:v>
                </c:pt>
                <c:pt idx="33">
                  <c:v>217459</c:v>
                </c:pt>
                <c:pt idx="34">
                  <c:v>182118</c:v>
                </c:pt>
                <c:pt idx="35">
                  <c:v>183413</c:v>
                </c:pt>
                <c:pt idx="36">
                  <c:v>197022</c:v>
                </c:pt>
                <c:pt idx="37">
                  <c:v>223503</c:v>
                </c:pt>
                <c:pt idx="38">
                  <c:v>224646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D-4778-BEE2-474A006BA9F4}"/>
            </c:ext>
          </c:extLst>
        </c:ser>
        <c:ser>
          <c:idx val="2"/>
          <c:order val="2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'ECA,NCA,CAA'!$B$7:$B$45</c:f>
              <c:strCache>
                <c:ptCount val="3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 24/25</c:v>
                </c:pt>
                <c:pt idx="34">
                  <c:v>Q3 | 24/25</c:v>
                </c:pt>
                <c:pt idx="35">
                  <c:v>Q4 | 24/25</c:v>
                </c:pt>
                <c:pt idx="36">
                  <c:v>Q1 | 25/26</c:v>
                </c:pt>
                <c:pt idx="37">
                  <c:v>Q2 | 25/26</c:v>
                </c:pt>
                <c:pt idx="38">
                  <c:v>Q3 | 25/26</c:v>
                </c:pt>
              </c:strCache>
            </c:strRef>
          </c:cat>
          <c:val>
            <c:numRef>
              <c:f>'ECA,NCA,CAA'!$F$7:$F$45</c:f>
              <c:numCache>
                <c:formatCode>_-* #,##0_-;\-* #,##0_-;_-* "-"??_-;_-@_-</c:formatCode>
                <c:ptCount val="39"/>
                <c:pt idx="0">
                  <c:v>120152</c:v>
                </c:pt>
                <c:pt idx="1">
                  <c:v>120152</c:v>
                </c:pt>
                <c:pt idx="2">
                  <c:v>123125</c:v>
                </c:pt>
                <c:pt idx="3">
                  <c:v>125323</c:v>
                </c:pt>
                <c:pt idx="4">
                  <c:v>116080</c:v>
                </c:pt>
                <c:pt idx="5">
                  <c:v>118778</c:v>
                </c:pt>
                <c:pt idx="6">
                  <c:v>119301</c:v>
                </c:pt>
                <c:pt idx="7">
                  <c:v>128494</c:v>
                </c:pt>
                <c:pt idx="8">
                  <c:v>117222</c:v>
                </c:pt>
                <c:pt idx="9">
                  <c:v>121801</c:v>
                </c:pt>
                <c:pt idx="10">
                  <c:v>124050</c:v>
                </c:pt>
                <c:pt idx="11">
                  <c:v>123208</c:v>
                </c:pt>
                <c:pt idx="12">
                  <c:v>110371</c:v>
                </c:pt>
                <c:pt idx="13">
                  <c:v>115591</c:v>
                </c:pt>
                <c:pt idx="14">
                  <c:v>110776</c:v>
                </c:pt>
                <c:pt idx="15">
                  <c:v>118260</c:v>
                </c:pt>
                <c:pt idx="16">
                  <c:v>118043</c:v>
                </c:pt>
                <c:pt idx="17">
                  <c:v>117956</c:v>
                </c:pt>
                <c:pt idx="18">
                  <c:v>123719</c:v>
                </c:pt>
                <c:pt idx="19">
                  <c:v>123399</c:v>
                </c:pt>
                <c:pt idx="20">
                  <c:v>116641</c:v>
                </c:pt>
                <c:pt idx="21">
                  <c:v>114694</c:v>
                </c:pt>
                <c:pt idx="22">
                  <c:v>115899</c:v>
                </c:pt>
                <c:pt idx="23">
                  <c:v>119244</c:v>
                </c:pt>
                <c:pt idx="24">
                  <c:v>107130</c:v>
                </c:pt>
                <c:pt idx="25">
                  <c:v>109666</c:v>
                </c:pt>
                <c:pt idx="26">
                  <c:v>102493</c:v>
                </c:pt>
                <c:pt idx="27">
                  <c:v>97881</c:v>
                </c:pt>
                <c:pt idx="28">
                  <c:v>103971</c:v>
                </c:pt>
                <c:pt idx="29">
                  <c:v>113683</c:v>
                </c:pt>
                <c:pt idx="30">
                  <c:v>104781</c:v>
                </c:pt>
                <c:pt idx="31">
                  <c:v>109264</c:v>
                </c:pt>
                <c:pt idx="32">
                  <c:v>102761</c:v>
                </c:pt>
                <c:pt idx="33">
                  <c:v>110278</c:v>
                </c:pt>
                <c:pt idx="34">
                  <c:v>101865</c:v>
                </c:pt>
                <c:pt idx="35">
                  <c:v>112784</c:v>
                </c:pt>
                <c:pt idx="36">
                  <c:v>103117</c:v>
                </c:pt>
                <c:pt idx="37">
                  <c:v>106087</c:v>
                </c:pt>
                <c:pt idx="38">
                  <c:v>109659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DD-4778-BEE2-474A006B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02799"/>
        <c:axId val="1237187376"/>
      </c:area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'ECA,NCA,CAA'!$S$10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'ECA,NCA,CAA'!$T$6:$W$6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'ECA,NCA,CAA'!$T$10:$W$10</c:f>
              <c:numCache>
                <c:formatCode>_-* #,##0_-;\-* #,##0_-;_-* "-"??_-;_-@_-</c:formatCode>
                <c:ptCount val="4"/>
                <c:pt idx="0">
                  <c:v>692585</c:v>
                </c:pt>
                <c:pt idx="1">
                  <c:v>691881</c:v>
                </c:pt>
                <c:pt idx="2">
                  <c:v>627558</c:v>
                </c:pt>
                <c:pt idx="3">
                  <c:v>666655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B7-4885-9BB9-0581276B281E}"/>
            </c:ext>
          </c:extLst>
        </c:ser>
        <c:ser>
          <c:idx val="4"/>
          <c:order val="4"/>
          <c:tx>
            <c:strRef>
              <c:f>'ECA,NCA,CAA'!$S$11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'ECA,NCA,CAA'!$T$6:$W$6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'ECA,NCA,CAA'!$T$11:$W$11</c:f>
              <c:numCache>
                <c:formatCode>_-* #,##0_-;\-* #,##0_-;_-* "-"??_-;_-@_-</c:formatCode>
                <c:ptCount val="4"/>
                <c:pt idx="0">
                  <c:v>679740</c:v>
                </c:pt>
                <c:pt idx="1">
                  <c:v>689629</c:v>
                </c:pt>
                <c:pt idx="2">
                  <c:v>701438</c:v>
                </c:pt>
                <c:pt idx="3">
                  <c:v>710180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B7-4885-9BB9-0581276B281E}"/>
            </c:ext>
          </c:extLst>
        </c:ser>
        <c:ser>
          <c:idx val="5"/>
          <c:order val="5"/>
          <c:tx>
            <c:strRef>
              <c:f>'ECA,NCA,CAA'!$S$12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'ECA,NCA,CAA'!$T$6:$W$6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'ECA,NCA,CAA'!$T$12:$W$12</c:f>
              <c:numCache>
                <c:formatCode>_-* #,##0_-;\-* #,##0_-;_-* "-"??_-;_-@_-</c:formatCode>
                <c:ptCount val="4"/>
                <c:pt idx="0">
                  <c:v>713776</c:v>
                </c:pt>
                <c:pt idx="1">
                  <c:v>701505</c:v>
                </c:pt>
                <c:pt idx="2">
                  <c:v>708875</c:v>
                </c:pt>
                <c:pt idx="3">
                  <c:v>720003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B7-4885-9BB9-0581276B281E}"/>
            </c:ext>
          </c:extLst>
        </c:ser>
        <c:ser>
          <c:idx val="6"/>
          <c:order val="6"/>
          <c:tx>
            <c:strRef>
              <c:f>'ECA,NCA,CAA'!$S$13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'ECA,NCA,CAA'!$T$6:$W$6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'ECA,NCA,CAA'!$T$13:$W$13</c:f>
              <c:numCache>
                <c:formatCode>_-* #,##0_-;\-* #,##0_-;_-* "-"??_-;_-@_-</c:formatCode>
                <c:ptCount val="4"/>
                <c:pt idx="0">
                  <c:v>697513</c:v>
                </c:pt>
                <c:pt idx="1">
                  <c:v>707069</c:v>
                </c:pt>
                <c:pt idx="2">
                  <c:v>659753</c:v>
                </c:pt>
                <c:pt idx="3">
                  <c:v>675647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B7-4885-9BB9-0581276B281E}"/>
            </c:ext>
          </c:extLst>
        </c:ser>
        <c:ser>
          <c:idx val="7"/>
          <c:order val="7"/>
          <c:tx>
            <c:strRef>
              <c:f>'ECA,NCA,CAA'!$S$14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ysClr val="windowText" lastClr="000000"/>
                </a:solidFill>
                <a:round/>
              </a:ln>
              <a:effectLst/>
            </c:spPr>
          </c:marker>
          <c:cat>
            <c:strRef>
              <c:f>'ECA,NCA,CAA'!$T$6:$W$6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'ECA,NCA,CAA'!$T$14:$W$14</c:f>
              <c:numCache>
                <c:formatCode>_-* #,##0_-;\-* #,##0_-;_-* "-"??_-;_-@_-</c:formatCode>
                <c:ptCount val="4"/>
                <c:pt idx="0">
                  <c:v>665912</c:v>
                </c:pt>
                <c:pt idx="1">
                  <c:v>706532</c:v>
                </c:pt>
                <c:pt idx="2">
                  <c:v>677811</c:v>
                </c:pt>
                <c:pt idx="3">
                  <c:v>684803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A-487C-A4EB-934CE398B407}"/>
            </c:ext>
          </c:extLst>
        </c:ser>
        <c:ser>
          <c:idx val="8"/>
          <c:order val="8"/>
          <c:tx>
            <c:strRef>
              <c:f>'ECA,NCA,CAA'!$S$15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'ECA,NCA,CAA'!$T$6:$W$6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'ECA,NCA,CAA'!$T$15:$W$15</c:f>
              <c:numCache>
                <c:formatCode>_-* #,##0_-;\-* #,##0_-;_-* "-"??_-;_-@_-</c:formatCode>
                <c:ptCount val="4"/>
                <c:pt idx="0">
                  <c:v>649119</c:v>
                </c:pt>
                <c:pt idx="1">
                  <c:v>681259</c:v>
                </c:pt>
                <c:pt idx="2">
                  <c:v>615745</c:v>
                </c:pt>
                <c:pt idx="3">
                  <c:v>633550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9-4806-BEBD-95021FD04F90}"/>
            </c:ext>
          </c:extLst>
        </c:ser>
        <c:ser>
          <c:idx val="9"/>
          <c:order val="9"/>
          <c:tx>
            <c:strRef>
              <c:f>'ECA,NCA,CAA'!$S$16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'ECA,NCA,CAA'!$T$6:$W$6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'ECA,NCA,CAA'!$T$16:$W$16</c:f>
              <c:numCache>
                <c:formatCode>_-* #,##0_-;\-* #,##0_-;_-* "-"??_-;_-@_-</c:formatCode>
                <c:ptCount val="4"/>
                <c:pt idx="0">
                  <c:v>604609</c:v>
                </c:pt>
                <c:pt idx="1">
                  <c:v>655485</c:v>
                </c:pt>
                <c:pt idx="2">
                  <c:v>650671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B-4AB7-B7AA-D1B0CB281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'ECA,NCA,CAA'!$S$7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'ECA,NCA,CAA'!$T$6:$W$6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'ECA,NCA,CAA'!$T$7:$W$7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637343</c:v>
                      </c:pt>
                      <c:pt idx="1">
                        <c:v>637343</c:v>
                      </c:pt>
                      <c:pt idx="2">
                        <c:v>615973</c:v>
                      </c:pt>
                      <c:pt idx="3">
                        <c:v>668274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FB7-4885-9BB9-0581276B28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'ECA,NCA,CAA'!$S$8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'ECA,NCA,CAA'!$T$6:$W$6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'ECA,NCA,CAA'!$T$8:$W$8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665842</c:v>
                      </c:pt>
                      <c:pt idx="1">
                        <c:v>667454</c:v>
                      </c:pt>
                      <c:pt idx="2">
                        <c:v>660804</c:v>
                      </c:pt>
                      <c:pt idx="3">
                        <c:v>688034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B7-4885-9BB9-0581276B28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'ECA,NCA,CAA'!$S$9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'ECA,NCA,CAA'!$T$6:$W$6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'ECA,NCA,CAA'!$T$9:$W$9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685225</c:v>
                      </c:pt>
                      <c:pt idx="1">
                        <c:v>700548</c:v>
                      </c:pt>
                      <c:pt idx="2">
                        <c:v>684514</c:v>
                      </c:pt>
                      <c:pt idx="3">
                        <c:v>711504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B7-4885-9BB9-0581276B281E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5"/>
          <c:order val="5"/>
          <c:tx>
            <c:strRef>
              <c:f>'ECA,NCA,CAA'!$S$12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'ECA,NCA,CAA'!$AH$6:$AK$6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'ECA,NCA,CAA'!$AH$12:$AK$12</c:f>
              <c:numCache>
                <c:formatCode>_-* #,##0_-;\-* #,##0_-;_-* "-"??_-;_-@_-</c:formatCode>
                <c:ptCount val="4"/>
                <c:pt idx="0">
                  <c:v>713776</c:v>
                </c:pt>
                <c:pt idx="1">
                  <c:v>1415281</c:v>
                </c:pt>
                <c:pt idx="2">
                  <c:v>2124156</c:v>
                </c:pt>
                <c:pt idx="3">
                  <c:v>2844159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8F-4AA3-AE03-E8213CE6EE57}"/>
            </c:ext>
          </c:extLst>
        </c:ser>
        <c:ser>
          <c:idx val="6"/>
          <c:order val="6"/>
          <c:tx>
            <c:strRef>
              <c:f>'ECA,NCA,CAA'!$S$13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'ECA,NCA,CAA'!$AH$6:$AK$6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'ECA,NCA,CAA'!$AH$13:$AK$13</c:f>
              <c:numCache>
                <c:formatCode>_-* #,##0_-;\-* #,##0_-;_-* "-"??_-;_-@_-</c:formatCode>
                <c:ptCount val="4"/>
                <c:pt idx="0">
                  <c:v>697513</c:v>
                </c:pt>
                <c:pt idx="1">
                  <c:v>1404582</c:v>
                </c:pt>
                <c:pt idx="2">
                  <c:v>2064335</c:v>
                </c:pt>
                <c:pt idx="3">
                  <c:v>2739982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8F-4AA3-AE03-E8213CE6EE57}"/>
            </c:ext>
          </c:extLst>
        </c:ser>
        <c:ser>
          <c:idx val="7"/>
          <c:order val="7"/>
          <c:tx>
            <c:strRef>
              <c:f>'ECA,NCA,CAA'!$S$14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'ECA,NCA,CAA'!$AH$6:$AK$6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'ECA,NCA,CAA'!$AH$14:$AK$14</c:f>
              <c:numCache>
                <c:formatCode>_-* #,##0_-;\-* #,##0_-;_-* "-"??_-;_-@_-</c:formatCode>
                <c:ptCount val="4"/>
                <c:pt idx="0">
                  <c:v>665912</c:v>
                </c:pt>
                <c:pt idx="1">
                  <c:v>1372444</c:v>
                </c:pt>
                <c:pt idx="2">
                  <c:v>2050255</c:v>
                </c:pt>
                <c:pt idx="3">
                  <c:v>2735058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C-42DB-BE27-F716CA8B9634}"/>
            </c:ext>
          </c:extLst>
        </c:ser>
        <c:ser>
          <c:idx val="8"/>
          <c:order val="8"/>
          <c:tx>
            <c:strRef>
              <c:f>'ECA,NCA,CAA'!$S$15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'ECA,NCA,CAA'!$AH$6:$AK$6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'ECA,NCA,CAA'!$AH$15:$AK$15</c:f>
              <c:numCache>
                <c:formatCode>_-* #,##0_-;\-* #,##0_-;_-* "-"??_-;_-@_-</c:formatCode>
                <c:ptCount val="4"/>
                <c:pt idx="0">
                  <c:v>649119</c:v>
                </c:pt>
                <c:pt idx="1">
                  <c:v>1330378</c:v>
                </c:pt>
                <c:pt idx="2">
                  <c:v>1946123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E-4950-96A4-5828EEF9C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'ECA,NCA,CAA'!$S$7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'ECA,NCA,CAA'!$AH$6:$AK$6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'ECA,NCA,CAA'!$AH$7:$AK$7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637343</c:v>
                      </c:pt>
                      <c:pt idx="1">
                        <c:v>1274686</c:v>
                      </c:pt>
                      <c:pt idx="2">
                        <c:v>1890659</c:v>
                      </c:pt>
                      <c:pt idx="3">
                        <c:v>2558933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38F-4AA3-AE03-E8213CE6EE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'ECA,NCA,CAA'!$S$8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'ECA,NCA,CAA'!$AH$6:$AK$6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'ECA,NCA,CAA'!$AH$8:$AK$8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665842</c:v>
                      </c:pt>
                      <c:pt idx="1">
                        <c:v>1333296</c:v>
                      </c:pt>
                      <c:pt idx="2">
                        <c:v>1994100</c:v>
                      </c:pt>
                      <c:pt idx="3">
                        <c:v>2682134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8F-4AA3-AE03-E8213CE6EE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'ECA,NCA,CAA'!$S$9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'ECA,NCA,CAA'!$AH$6:$AK$6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'ECA,NCA,CAA'!$AH$9:$AK$9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685225</c:v>
                      </c:pt>
                      <c:pt idx="1">
                        <c:v>1385773</c:v>
                      </c:pt>
                      <c:pt idx="2">
                        <c:v>2070287</c:v>
                      </c:pt>
                      <c:pt idx="3">
                        <c:v>2781791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38F-4AA3-AE03-E8213CE6EE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'ECA,NCA,CAA'!$S$10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'ECA,NCA,CAA'!$AH$6:$AK$6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'ECA,NCA,CAA'!$AH$10:$AK$10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692585</c:v>
                      </c:pt>
                      <c:pt idx="1">
                        <c:v>1384466</c:v>
                      </c:pt>
                      <c:pt idx="2">
                        <c:v>2012024</c:v>
                      </c:pt>
                      <c:pt idx="3">
                        <c:v>2678679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38F-4AA3-AE03-E8213CE6EE5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'ECA,NCA,CAA'!$S$11</c15:sqref>
                        </c15:formulaRef>
                      </c:ext>
                    </c:extLst>
                    <c:strCache>
                      <c:ptCount val="1"/>
                      <c:pt idx="0">
                        <c:v>20/21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'ECA,NCA,CAA'!$AH$6:$AK$6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'ECA,NCA,CAA'!$AH$11:$AK$11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679740</c:v>
                      </c:pt>
                      <c:pt idx="1">
                        <c:v>1369369</c:v>
                      </c:pt>
                      <c:pt idx="2">
                        <c:v>2070807</c:v>
                      </c:pt>
                      <c:pt idx="3">
                        <c:v>2780987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38F-4AA3-AE03-E8213CE6EE57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'ECA,NCA,CAA'!$AC$6</c:f>
          <c:strCache>
            <c:ptCount val="1"/>
            <c:pt idx="0">
              <c:v>YTD (Q1 to Q3)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'ECA,NCA,CAA'!$AC$6</c:f>
              <c:strCache>
                <c:ptCount val="1"/>
                <c:pt idx="0">
                  <c:v>YTD (Q1 to Q3)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'ECA,NCA,CAA'!$AB$7:$AB$16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'ECA,NCA,CAA'!$AC$7:$AC$16</c:f>
              <c:numCache>
                <c:formatCode>_-* #,##0_-;\-* #,##0_-;_-* "-"??_-;_-@_-</c:formatCode>
                <c:ptCount val="10"/>
                <c:pt idx="0">
                  <c:v>1890659</c:v>
                </c:pt>
                <c:pt idx="1">
                  <c:v>1994100</c:v>
                </c:pt>
                <c:pt idx="2">
                  <c:v>2070287</c:v>
                </c:pt>
                <c:pt idx="3">
                  <c:v>2012024</c:v>
                </c:pt>
                <c:pt idx="4">
                  <c:v>2070807</c:v>
                </c:pt>
                <c:pt idx="5">
                  <c:v>2124156</c:v>
                </c:pt>
                <c:pt idx="6">
                  <c:v>2064335</c:v>
                </c:pt>
                <c:pt idx="7">
                  <c:v>2050255</c:v>
                </c:pt>
                <c:pt idx="8">
                  <c:v>1946123</c:v>
                </c:pt>
                <c:pt idx="9">
                  <c:v>1910765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6-4FC0-858A-9F9EADAB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'ECA,NCA,CAA'!$AD$6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'ECA,NCA,CAA'!$AB$7:$AB$16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'ECA,NCA,CAA'!$AD$7:$AD$16</c:f>
              <c:numCache>
                <c:formatCode>0.0%</c:formatCode>
                <c:ptCount val="10"/>
                <c:pt idx="1">
                  <c:v>5.471161113664591E-2</c:v>
                </c:pt>
                <c:pt idx="2">
                  <c:v>3.8206208314527812E-2</c:v>
                </c:pt>
                <c:pt idx="3">
                  <c:v>-2.8142474932219552E-2</c:v>
                </c:pt>
                <c:pt idx="4">
                  <c:v>2.9215854284044385E-2</c:v>
                </c:pt>
                <c:pt idx="5">
                  <c:v>2.5762420157938504E-2</c:v>
                </c:pt>
                <c:pt idx="6">
                  <c:v>-2.8162244204286369E-2</c:v>
                </c:pt>
                <c:pt idx="7">
                  <c:v>-6.8205984009378495E-3</c:v>
                </c:pt>
                <c:pt idx="8">
                  <c:v>-5.0789779807877578E-2</c:v>
                </c:pt>
                <c:pt idx="9">
                  <c:v>-1.8168430258519108E-2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6-4FC0-858A-9F9EADAB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'ECA,NCA,CAA'!$AF$25</c:f>
          <c:strCache>
            <c:ptCount val="1"/>
            <c:pt idx="0">
              <c:v>ECA, CAA &amp; NCA Grinds Q3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'ECA,NCA,CAA'!$AD$23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'ECA,NCA,CAA'!$AC$24:$AC$33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'ECA,NCA,CAA'!$AD$24:$AD$33</c:f>
              <c:numCache>
                <c:formatCode>_-* #,##0_-;\-* #,##0_-;_-* "-"??_-;_-@_-</c:formatCode>
                <c:ptCount val="10"/>
                <c:pt idx="0">
                  <c:v>615973</c:v>
                </c:pt>
                <c:pt idx="1">
                  <c:v>660804</c:v>
                </c:pt>
                <c:pt idx="2">
                  <c:v>684514</c:v>
                </c:pt>
                <c:pt idx="3">
                  <c:v>627558</c:v>
                </c:pt>
                <c:pt idx="4">
                  <c:v>701438</c:v>
                </c:pt>
                <c:pt idx="5">
                  <c:v>708875</c:v>
                </c:pt>
                <c:pt idx="6">
                  <c:v>659753</c:v>
                </c:pt>
                <c:pt idx="7">
                  <c:v>677811</c:v>
                </c:pt>
                <c:pt idx="8">
                  <c:v>615745</c:v>
                </c:pt>
                <c:pt idx="9">
                  <c:v>650671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3-4BC2-96B7-F0F7CCBDD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German!$A$1</c:f>
          <c:strCache>
            <c:ptCount val="1"/>
            <c:pt idx="0">
              <c:v>Germany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German!$B$7:$B$43</c:f>
              <c:strCache>
                <c:ptCount val="37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  <c:pt idx="29">
                  <c:v>Q2 | 23/24</c:v>
                </c:pt>
                <c:pt idx="30">
                  <c:v>Q3 | 23/24</c:v>
                </c:pt>
                <c:pt idx="31">
                  <c:v>Q4 | 23/24</c:v>
                </c:pt>
                <c:pt idx="32">
                  <c:v>Q1 | 24/25</c:v>
                </c:pt>
                <c:pt idx="33">
                  <c:v>Q2 |24/25</c:v>
                </c:pt>
                <c:pt idx="34">
                  <c:v>Q3 |24/25</c:v>
                </c:pt>
                <c:pt idx="35">
                  <c:v>Q4| 24/25</c:v>
                </c:pt>
                <c:pt idx="36">
                  <c:v>Q1 | 25/26</c:v>
                </c:pt>
              </c:strCache>
            </c:strRef>
          </c:cat>
          <c:val>
            <c:numRef>
              <c:f>German!$C$7:$C$43</c:f>
              <c:numCache>
                <c:formatCode>_-* #,##0_-;\-* #,##0_-;_-* "-"??_-;_-@_-</c:formatCode>
                <c:ptCount val="37"/>
                <c:pt idx="0">
                  <c:v>91423</c:v>
                </c:pt>
                <c:pt idx="1">
                  <c:v>91423</c:v>
                </c:pt>
                <c:pt idx="2">
                  <c:v>87849</c:v>
                </c:pt>
                <c:pt idx="3">
                  <c:v>103613</c:v>
                </c:pt>
                <c:pt idx="4">
                  <c:v>98549</c:v>
                </c:pt>
                <c:pt idx="5">
                  <c:v>99642</c:v>
                </c:pt>
                <c:pt idx="6">
                  <c:v>94357</c:v>
                </c:pt>
                <c:pt idx="7">
                  <c:v>106146</c:v>
                </c:pt>
                <c:pt idx="8">
                  <c:v>99181</c:v>
                </c:pt>
                <c:pt idx="9">
                  <c:v>101498</c:v>
                </c:pt>
                <c:pt idx="10">
                  <c:v>94203</c:v>
                </c:pt>
                <c:pt idx="11">
                  <c:v>103333</c:v>
                </c:pt>
                <c:pt idx="12">
                  <c:v>98250</c:v>
                </c:pt>
                <c:pt idx="13">
                  <c:v>99559</c:v>
                </c:pt>
                <c:pt idx="14">
                  <c:v>78885</c:v>
                </c:pt>
                <c:pt idx="15">
                  <c:v>93355</c:v>
                </c:pt>
                <c:pt idx="16">
                  <c:v>92034</c:v>
                </c:pt>
                <c:pt idx="17">
                  <c:v>91482</c:v>
                </c:pt>
                <c:pt idx="18">
                  <c:v>93064</c:v>
                </c:pt>
                <c:pt idx="19">
                  <c:v>108615</c:v>
                </c:pt>
                <c:pt idx="20">
                  <c:v>100149</c:v>
                </c:pt>
                <c:pt idx="21">
                  <c:v>98018</c:v>
                </c:pt>
                <c:pt idx="22">
                  <c:v>96498</c:v>
                </c:pt>
                <c:pt idx="23">
                  <c:v>103532</c:v>
                </c:pt>
                <c:pt idx="24">
                  <c:v>99546</c:v>
                </c:pt>
                <c:pt idx="25">
                  <c:v>101923</c:v>
                </c:pt>
                <c:pt idx="26">
                  <c:v>94302</c:v>
                </c:pt>
                <c:pt idx="27">
                  <c:v>99144</c:v>
                </c:pt>
                <c:pt idx="28">
                  <c:v>97421</c:v>
                </c:pt>
                <c:pt idx="29">
                  <c:v>105889.13043478261</c:v>
                </c:pt>
                <c:pt idx="30">
                  <c:v>102000</c:v>
                </c:pt>
                <c:pt idx="31">
                  <c:v>100351.13696456901</c:v>
                </c:pt>
                <c:pt idx="32">
                  <c:v>90017.004000000001</c:v>
                </c:pt>
                <c:pt idx="33">
                  <c:v>97418</c:v>
                </c:pt>
                <c:pt idx="34">
                  <c:v>84280</c:v>
                </c:pt>
                <c:pt idx="35">
                  <c:v>94882</c:v>
                </c:pt>
                <c:pt idx="36">
                  <c:v>81096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C-4E3A-BEFA-E278C444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3"/>
          <c:order val="3"/>
          <c:tx>
            <c:strRef>
              <c:f>German!$P$10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German!$Q$6:$T$6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German!$Q$10:$T$10</c:f>
              <c:numCache>
                <c:formatCode>_-* #,##0_-;\-* #,##0_-;_-* "-"??_-;_-@_-</c:formatCode>
                <c:ptCount val="4"/>
                <c:pt idx="0">
                  <c:v>98250</c:v>
                </c:pt>
                <c:pt idx="1">
                  <c:v>99559</c:v>
                </c:pt>
                <c:pt idx="2">
                  <c:v>78885</c:v>
                </c:pt>
                <c:pt idx="3">
                  <c:v>93355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7-484C-B506-26BC4B343B52}"/>
            </c:ext>
          </c:extLst>
        </c:ser>
        <c:ser>
          <c:idx val="4"/>
          <c:order val="4"/>
          <c:tx>
            <c:strRef>
              <c:f>German!$P$11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German!$Q$6:$T$6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German!$Q$11:$T$11</c:f>
              <c:numCache>
                <c:formatCode>_-* #,##0_-;\-* #,##0_-;_-* "-"??_-;_-@_-</c:formatCode>
                <c:ptCount val="4"/>
                <c:pt idx="0">
                  <c:v>92034</c:v>
                </c:pt>
                <c:pt idx="1">
                  <c:v>91482</c:v>
                </c:pt>
                <c:pt idx="2">
                  <c:v>93064</c:v>
                </c:pt>
                <c:pt idx="3">
                  <c:v>108615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97-484C-B506-26BC4B343B52}"/>
            </c:ext>
          </c:extLst>
        </c:ser>
        <c:ser>
          <c:idx val="5"/>
          <c:order val="5"/>
          <c:tx>
            <c:strRef>
              <c:f>German!$P$12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German!$Q$6:$T$6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German!$Q$12:$T$12</c:f>
              <c:numCache>
                <c:formatCode>_-* #,##0_-;\-* #,##0_-;_-* "-"??_-;_-@_-</c:formatCode>
                <c:ptCount val="4"/>
                <c:pt idx="0">
                  <c:v>100149</c:v>
                </c:pt>
                <c:pt idx="1">
                  <c:v>98018</c:v>
                </c:pt>
                <c:pt idx="2">
                  <c:v>96498</c:v>
                </c:pt>
                <c:pt idx="3">
                  <c:v>103532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97-484C-B506-26BC4B343B52}"/>
            </c:ext>
          </c:extLst>
        </c:ser>
        <c:ser>
          <c:idx val="6"/>
          <c:order val="6"/>
          <c:tx>
            <c:strRef>
              <c:f>German!$P$13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German!$Q$6:$T$6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German!$Q$13:$T$13</c:f>
              <c:numCache>
                <c:formatCode>_-* #,##0_-;\-* #,##0_-;_-* "-"??_-;_-@_-</c:formatCode>
                <c:ptCount val="4"/>
                <c:pt idx="0">
                  <c:v>99546</c:v>
                </c:pt>
                <c:pt idx="1">
                  <c:v>101923</c:v>
                </c:pt>
                <c:pt idx="2">
                  <c:v>94302</c:v>
                </c:pt>
                <c:pt idx="3">
                  <c:v>99144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97-484C-B506-26BC4B343B52}"/>
            </c:ext>
          </c:extLst>
        </c:ser>
        <c:ser>
          <c:idx val="7"/>
          <c:order val="7"/>
          <c:tx>
            <c:strRef>
              <c:f>German!$P$14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German!$Q$6:$T$6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German!$Q$14:$T$14</c:f>
              <c:numCache>
                <c:formatCode>_-* #,##0_-;\-* #,##0_-;_-* "-"??_-;_-@_-</c:formatCode>
                <c:ptCount val="4"/>
                <c:pt idx="0">
                  <c:v>97421</c:v>
                </c:pt>
                <c:pt idx="1">
                  <c:v>105889.13043478261</c:v>
                </c:pt>
                <c:pt idx="2">
                  <c:v>102000</c:v>
                </c:pt>
                <c:pt idx="3">
                  <c:v>100351.13696456901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97-484C-B506-26BC4B343B52}"/>
            </c:ext>
          </c:extLst>
        </c:ser>
        <c:ser>
          <c:idx val="8"/>
          <c:order val="8"/>
          <c:tx>
            <c:strRef>
              <c:f>German!$P$15</c:f>
              <c:strCache>
                <c:ptCount val="1"/>
                <c:pt idx="0">
                  <c:v>24/25</c:v>
                </c:pt>
              </c:strCache>
            </c:strRef>
          </c:tx>
          <c:spPr>
            <a:ln w="22225" cap="rnd">
              <a:solidFill>
                <a:srgbClr val="FF0066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rgbClr val="FF0066"/>
                </a:solidFill>
                <a:round/>
              </a:ln>
              <a:effectLst/>
            </c:spPr>
          </c:marker>
          <c:cat>
            <c:strRef>
              <c:f>German!$Q$6:$T$6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German!$Q$15:$T$15</c:f>
              <c:numCache>
                <c:formatCode>_-* #,##0_-;\-* #,##0_-;_-* "-"??_-;_-@_-</c:formatCode>
                <c:ptCount val="4"/>
                <c:pt idx="0">
                  <c:v>90017.004000000001</c:v>
                </c:pt>
                <c:pt idx="1">
                  <c:v>97418</c:v>
                </c:pt>
                <c:pt idx="2">
                  <c:v>84280</c:v>
                </c:pt>
                <c:pt idx="3">
                  <c:v>94882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97-484C-B506-26BC4B343B52}"/>
            </c:ext>
          </c:extLst>
        </c:ser>
        <c:ser>
          <c:idx val="9"/>
          <c:order val="9"/>
          <c:tx>
            <c:strRef>
              <c:f>German!$P$16</c:f>
              <c:strCache>
                <c:ptCount val="1"/>
                <c:pt idx="0">
                  <c:v>25/26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German!$Q$6:$T$6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German!$Q$16:$T$16</c:f>
              <c:numCache>
                <c:formatCode>_-* #,##0_-;\-* #,##0_-;_-* "-"??_-;_-@_-</c:formatCode>
                <c:ptCount val="4"/>
                <c:pt idx="0">
                  <c:v>81096</c:v>
                </c:pt>
                <c:pt idx="1">
                  <c:v>92547.099999999991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4-41FE-87B9-3FE2830FD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German!$P$7</c15:sqref>
                        </c15:formulaRef>
                      </c:ext>
                    </c:extLst>
                    <c:strCache>
                      <c:ptCount val="1"/>
                      <c:pt idx="0">
                        <c:v>16/17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German!$Q$6:$T$6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German!$Q$7:$T$7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91423</c:v>
                      </c:pt>
                      <c:pt idx="1">
                        <c:v>91423</c:v>
                      </c:pt>
                      <c:pt idx="2">
                        <c:v>87849</c:v>
                      </c:pt>
                      <c:pt idx="3">
                        <c:v>103613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997-484C-B506-26BC4B343B5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German!$P$8</c15:sqref>
                        </c15:formulaRef>
                      </c:ext>
                    </c:extLst>
                    <c:strCache>
                      <c:ptCount val="1"/>
                      <c:pt idx="0">
                        <c:v>17/18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German!$Q$6:$T$6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German!$Q$8:$T$8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98549</c:v>
                      </c:pt>
                      <c:pt idx="1">
                        <c:v>99642</c:v>
                      </c:pt>
                      <c:pt idx="2">
                        <c:v>94357</c:v>
                      </c:pt>
                      <c:pt idx="3">
                        <c:v>106146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997-484C-B506-26BC4B343B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German!$P$9</c15:sqref>
                        </c15:formulaRef>
                      </c:ext>
                    </c:extLst>
                    <c:strCache>
                      <c:ptCount val="1"/>
                      <c:pt idx="0">
                        <c:v>18/19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German!$Q$6:$T$6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German!$Q$9:$T$9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99181</c:v>
                      </c:pt>
                      <c:pt idx="1">
                        <c:v>101498</c:v>
                      </c:pt>
                      <c:pt idx="2">
                        <c:v>94203</c:v>
                      </c:pt>
                      <c:pt idx="3">
                        <c:v>103333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997-484C-B506-26BC4B343B52}"/>
                  </c:ext>
                </c:extLst>
              </c15:ser>
            </c15:filteredLineSeries>
          </c:ext>
        </c:extLst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German!$Y$6</c:f>
          <c:strCache>
            <c:ptCount val="1"/>
            <c:pt idx="0">
              <c:v>YTD (Q1 to Q2)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German!$Y$6</c:f>
              <c:strCache>
                <c:ptCount val="1"/>
                <c:pt idx="0">
                  <c:v>YTD (Q1 to Q2)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German!$X$7:$X$16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German!$Y$7:$Y$16</c:f>
              <c:numCache>
                <c:formatCode>_-* #,##0_-;\-* #,##0_-;_-* "-"??_-;_-@_-</c:formatCode>
                <c:ptCount val="10"/>
                <c:pt idx="0">
                  <c:v>182846</c:v>
                </c:pt>
                <c:pt idx="1">
                  <c:v>198191</c:v>
                </c:pt>
                <c:pt idx="2">
                  <c:v>200679</c:v>
                </c:pt>
                <c:pt idx="3">
                  <c:v>197809</c:v>
                </c:pt>
                <c:pt idx="4">
                  <c:v>183516</c:v>
                </c:pt>
                <c:pt idx="5">
                  <c:v>198167</c:v>
                </c:pt>
                <c:pt idx="6">
                  <c:v>201469</c:v>
                </c:pt>
                <c:pt idx="7">
                  <c:v>203310.13043478259</c:v>
                </c:pt>
                <c:pt idx="8">
                  <c:v>187435.00400000002</c:v>
                </c:pt>
                <c:pt idx="9">
                  <c:v>173643.09999999998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0-46C2-8916-4E1E0B595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German!$Z$6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German!$X$7:$X$16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German!$Z$7:$Z$16</c:f>
              <c:numCache>
                <c:formatCode>0.0%</c:formatCode>
                <c:ptCount val="10"/>
                <c:pt idx="1">
                  <c:v>8.3923082812858985E-2</c:v>
                </c:pt>
                <c:pt idx="2">
                  <c:v>1.2553546831087115E-2</c:v>
                </c:pt>
                <c:pt idx="3">
                  <c:v>-1.4301446588830924E-2</c:v>
                </c:pt>
                <c:pt idx="4">
                  <c:v>-7.2256570732373127E-2</c:v>
                </c:pt>
                <c:pt idx="5">
                  <c:v>7.9835000762876307E-2</c:v>
                </c:pt>
                <c:pt idx="6">
                  <c:v>1.6662713771717685E-2</c:v>
                </c:pt>
                <c:pt idx="7">
                  <c:v>9.1385296734614041E-3</c:v>
                </c:pt>
                <c:pt idx="8">
                  <c:v>-7.8083302592120263E-2</c:v>
                </c:pt>
                <c:pt idx="9">
                  <c:v>-7.3582328304055977E-2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0-46C2-8916-4E1E0B595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German!$AB$25</c:f>
          <c:strCache>
            <c:ptCount val="1"/>
            <c:pt idx="0">
              <c:v>Germany Grinds Q2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German!$Z$23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German!$Y$24:$Y$33</c:f>
              <c:strCache>
                <c:ptCount val="10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</c:strCache>
            </c:strRef>
          </c:cat>
          <c:val>
            <c:numRef>
              <c:f>German!$Z$24:$Z$33</c:f>
              <c:numCache>
                <c:formatCode>_-* #,##0_-;\-* #,##0_-;_-* "-"??_-;_-@_-</c:formatCode>
                <c:ptCount val="10"/>
                <c:pt idx="0">
                  <c:v>91423</c:v>
                </c:pt>
                <c:pt idx="1">
                  <c:v>99642</c:v>
                </c:pt>
                <c:pt idx="2">
                  <c:v>101498</c:v>
                </c:pt>
                <c:pt idx="3">
                  <c:v>99559</c:v>
                </c:pt>
                <c:pt idx="4">
                  <c:v>91482</c:v>
                </c:pt>
                <c:pt idx="5">
                  <c:v>98018</c:v>
                </c:pt>
                <c:pt idx="6">
                  <c:v>101923</c:v>
                </c:pt>
                <c:pt idx="7">
                  <c:v>105889.13043478261</c:v>
                </c:pt>
                <c:pt idx="8">
                  <c:v>97418</c:v>
                </c:pt>
                <c:pt idx="9">
                  <c:v>92547.099999999991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B-4EF7-B66F-659A9D738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GR!$A$1</c:f>
          <c:strCache>
            <c:ptCount val="1"/>
            <c:pt idx="0">
              <c:v>German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GR!$B$7:$B$35</c:f>
              <c:strCache>
                <c:ptCount val="2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</c:strCache>
            </c:strRef>
          </c:cat>
          <c:val>
            <c:numRef>
              <c:f>GR!$C$7:$C$35</c:f>
              <c:numCache>
                <c:formatCode>_-* #,##0_-;\-* #,##0_-;_-* "-"??_-;_-@_-</c:formatCode>
                <c:ptCount val="29"/>
                <c:pt idx="0">
                  <c:v>91423</c:v>
                </c:pt>
                <c:pt idx="1">
                  <c:v>91423</c:v>
                </c:pt>
                <c:pt idx="2">
                  <c:v>87849</c:v>
                </c:pt>
                <c:pt idx="3">
                  <c:v>103613</c:v>
                </c:pt>
                <c:pt idx="4">
                  <c:v>98549</c:v>
                </c:pt>
                <c:pt idx="5">
                  <c:v>99642</c:v>
                </c:pt>
                <c:pt idx="6">
                  <c:v>94357</c:v>
                </c:pt>
                <c:pt idx="7">
                  <c:v>106146</c:v>
                </c:pt>
                <c:pt idx="8">
                  <c:v>99181</c:v>
                </c:pt>
                <c:pt idx="9">
                  <c:v>101498</c:v>
                </c:pt>
                <c:pt idx="10">
                  <c:v>94203</c:v>
                </c:pt>
                <c:pt idx="11">
                  <c:v>103333</c:v>
                </c:pt>
                <c:pt idx="12">
                  <c:v>98250</c:v>
                </c:pt>
                <c:pt idx="13">
                  <c:v>99559</c:v>
                </c:pt>
                <c:pt idx="14">
                  <c:v>78885</c:v>
                </c:pt>
                <c:pt idx="15">
                  <c:v>93355</c:v>
                </c:pt>
                <c:pt idx="16">
                  <c:v>92034</c:v>
                </c:pt>
                <c:pt idx="17">
                  <c:v>91482</c:v>
                </c:pt>
                <c:pt idx="18">
                  <c:v>93064</c:v>
                </c:pt>
                <c:pt idx="19">
                  <c:v>108615</c:v>
                </c:pt>
                <c:pt idx="20">
                  <c:v>100149</c:v>
                </c:pt>
                <c:pt idx="21">
                  <c:v>98018</c:v>
                </c:pt>
                <c:pt idx="22">
                  <c:v>96498</c:v>
                </c:pt>
                <c:pt idx="23">
                  <c:v>103532</c:v>
                </c:pt>
                <c:pt idx="24">
                  <c:v>99546</c:v>
                </c:pt>
                <c:pt idx="25">
                  <c:v>101923</c:v>
                </c:pt>
                <c:pt idx="26">
                  <c:v>94302</c:v>
                </c:pt>
                <c:pt idx="27">
                  <c:v>99144</c:v>
                </c:pt>
                <c:pt idx="28">
                  <c:v>97421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C-431B-B872-1D2CB363F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GR!$P$7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GR!$Q$7:$T$7</c:f>
              <c:numCache>
                <c:formatCode>_-* #,##0_-;\-* #,##0_-;_-* "-"??_-;_-@_-</c:formatCode>
                <c:ptCount val="4"/>
                <c:pt idx="0">
                  <c:v>91423</c:v>
                </c:pt>
                <c:pt idx="1">
                  <c:v>91423</c:v>
                </c:pt>
                <c:pt idx="2">
                  <c:v>87849</c:v>
                </c:pt>
                <c:pt idx="3">
                  <c:v>103613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6-4A91-97F2-C97A589FC294}"/>
            </c:ext>
          </c:extLst>
        </c:ser>
        <c:ser>
          <c:idx val="1"/>
          <c:order val="1"/>
          <c:tx>
            <c:strRef>
              <c:f>GR!$P$8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GR!$Q$8:$T$8</c:f>
              <c:numCache>
                <c:formatCode>_-* #,##0_-;\-* #,##0_-;_-* "-"??_-;_-@_-</c:formatCode>
                <c:ptCount val="4"/>
                <c:pt idx="0">
                  <c:v>98549</c:v>
                </c:pt>
                <c:pt idx="1">
                  <c:v>99642</c:v>
                </c:pt>
                <c:pt idx="2">
                  <c:v>94357</c:v>
                </c:pt>
                <c:pt idx="3">
                  <c:v>106146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6-4A91-97F2-C97A589FC294}"/>
            </c:ext>
          </c:extLst>
        </c:ser>
        <c:ser>
          <c:idx val="2"/>
          <c:order val="2"/>
          <c:tx>
            <c:strRef>
              <c:f>GR!$P$9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GR!$Q$6:$T$6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GR!$Q$9:$T$9</c:f>
              <c:numCache>
                <c:formatCode>_-* #,##0_-;\-* #,##0_-;_-* "-"??_-;_-@_-</c:formatCode>
                <c:ptCount val="4"/>
                <c:pt idx="0">
                  <c:v>99181</c:v>
                </c:pt>
                <c:pt idx="1">
                  <c:v>101498</c:v>
                </c:pt>
                <c:pt idx="2">
                  <c:v>94203</c:v>
                </c:pt>
                <c:pt idx="3">
                  <c:v>103333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26-4A91-97F2-C97A589FC294}"/>
            </c:ext>
          </c:extLst>
        </c:ser>
        <c:ser>
          <c:idx val="3"/>
          <c:order val="3"/>
          <c:tx>
            <c:strRef>
              <c:f>GR!$P$10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GR!$Q$6:$T$6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GR!$Q$10:$T$10</c:f>
              <c:numCache>
                <c:formatCode>_-* #,##0_-;\-* #,##0_-;_-* "-"??_-;_-@_-</c:formatCode>
                <c:ptCount val="4"/>
                <c:pt idx="0">
                  <c:v>98250</c:v>
                </c:pt>
                <c:pt idx="1">
                  <c:v>99559</c:v>
                </c:pt>
                <c:pt idx="2">
                  <c:v>78885</c:v>
                </c:pt>
                <c:pt idx="3">
                  <c:v>93355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26-4A91-97F2-C97A589FC294}"/>
            </c:ext>
          </c:extLst>
        </c:ser>
        <c:ser>
          <c:idx val="4"/>
          <c:order val="4"/>
          <c:tx>
            <c:strRef>
              <c:f>GR!$P$11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GR!$Q$6:$T$6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GR!$Q$11:$T$11</c:f>
              <c:numCache>
                <c:formatCode>_-* #,##0_-;\-* #,##0_-;_-* "-"??_-;_-@_-</c:formatCode>
                <c:ptCount val="4"/>
                <c:pt idx="0">
                  <c:v>92034</c:v>
                </c:pt>
                <c:pt idx="1">
                  <c:v>91482</c:v>
                </c:pt>
                <c:pt idx="2">
                  <c:v>93064</c:v>
                </c:pt>
                <c:pt idx="3">
                  <c:v>108615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26-4A91-97F2-C97A589FC294}"/>
            </c:ext>
          </c:extLst>
        </c:ser>
        <c:ser>
          <c:idx val="5"/>
          <c:order val="5"/>
          <c:tx>
            <c:strRef>
              <c:f>GR!$P$12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GR!$Q$6:$T$6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GR!$Q$12:$T$12</c:f>
              <c:numCache>
                <c:formatCode>_-* #,##0_-;\-* #,##0_-;_-* "-"??_-;_-@_-</c:formatCode>
                <c:ptCount val="4"/>
                <c:pt idx="0">
                  <c:v>100149</c:v>
                </c:pt>
                <c:pt idx="1">
                  <c:v>98018</c:v>
                </c:pt>
                <c:pt idx="2">
                  <c:v>96498</c:v>
                </c:pt>
                <c:pt idx="3">
                  <c:v>103532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26-4A91-97F2-C97A589FC294}"/>
            </c:ext>
          </c:extLst>
        </c:ser>
        <c:ser>
          <c:idx val="6"/>
          <c:order val="6"/>
          <c:tx>
            <c:strRef>
              <c:f>GR!$P$13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GR!$Q$6:$T$6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GR!$Q$13:$T$13</c:f>
              <c:numCache>
                <c:formatCode>_-* #,##0_-;\-* #,##0_-;_-* "-"??_-;_-@_-</c:formatCode>
                <c:ptCount val="4"/>
                <c:pt idx="0">
                  <c:v>99546</c:v>
                </c:pt>
                <c:pt idx="1">
                  <c:v>101923</c:v>
                </c:pt>
                <c:pt idx="2">
                  <c:v>94302</c:v>
                </c:pt>
                <c:pt idx="3">
                  <c:v>99144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26-4A91-97F2-C97A589FC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GR!$P$7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GR!$AB$7:$AE$7</c:f>
              <c:numCache>
                <c:formatCode>_-* #,##0_-;\-* #,##0_-;_-* "-"??_-;_-@_-</c:formatCode>
                <c:ptCount val="4"/>
                <c:pt idx="0">
                  <c:v>91423</c:v>
                </c:pt>
                <c:pt idx="1">
                  <c:v>182846</c:v>
                </c:pt>
                <c:pt idx="2">
                  <c:v>270695</c:v>
                </c:pt>
                <c:pt idx="3">
                  <c:v>374308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A-497B-B970-262479758161}"/>
            </c:ext>
          </c:extLst>
        </c:ser>
        <c:ser>
          <c:idx val="1"/>
          <c:order val="1"/>
          <c:tx>
            <c:strRef>
              <c:f>GR!$P$8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GR!$AB$8:$AE$8</c:f>
              <c:numCache>
                <c:formatCode>_-* #,##0_-;\-* #,##0_-;_-* "-"??_-;_-@_-</c:formatCode>
                <c:ptCount val="4"/>
                <c:pt idx="0">
                  <c:v>98549</c:v>
                </c:pt>
                <c:pt idx="1">
                  <c:v>198191</c:v>
                </c:pt>
                <c:pt idx="2">
                  <c:v>292548</c:v>
                </c:pt>
                <c:pt idx="3">
                  <c:v>398694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A-497B-B970-262479758161}"/>
            </c:ext>
          </c:extLst>
        </c:ser>
        <c:ser>
          <c:idx val="2"/>
          <c:order val="2"/>
          <c:tx>
            <c:strRef>
              <c:f>GR!$P$9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GR!$AB$6:$AE$6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GR!$AB$9:$AE$9</c:f>
              <c:numCache>
                <c:formatCode>_-* #,##0_-;\-* #,##0_-;_-* "-"??_-;_-@_-</c:formatCode>
                <c:ptCount val="4"/>
                <c:pt idx="0">
                  <c:v>99181</c:v>
                </c:pt>
                <c:pt idx="1">
                  <c:v>200679</c:v>
                </c:pt>
                <c:pt idx="2">
                  <c:v>294882</c:v>
                </c:pt>
                <c:pt idx="3">
                  <c:v>398215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A-497B-B970-262479758161}"/>
            </c:ext>
          </c:extLst>
        </c:ser>
        <c:ser>
          <c:idx val="3"/>
          <c:order val="3"/>
          <c:tx>
            <c:strRef>
              <c:f>GR!$P$10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GR!$AB$6:$AE$6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GR!$AB$10:$AE$10</c:f>
              <c:numCache>
                <c:formatCode>_-* #,##0_-;\-* #,##0_-;_-* "-"??_-;_-@_-</c:formatCode>
                <c:ptCount val="4"/>
                <c:pt idx="0">
                  <c:v>98250</c:v>
                </c:pt>
                <c:pt idx="1">
                  <c:v>197809</c:v>
                </c:pt>
                <c:pt idx="2">
                  <c:v>276694</c:v>
                </c:pt>
                <c:pt idx="3">
                  <c:v>370049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9A-497B-B970-262479758161}"/>
            </c:ext>
          </c:extLst>
        </c:ser>
        <c:ser>
          <c:idx val="4"/>
          <c:order val="4"/>
          <c:tx>
            <c:strRef>
              <c:f>GR!$P$11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GR!$AB$6:$AE$6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GR!$AB$11:$AE$11</c:f>
              <c:numCache>
                <c:formatCode>_-* #,##0_-;\-* #,##0_-;_-* "-"??_-;_-@_-</c:formatCode>
                <c:ptCount val="4"/>
                <c:pt idx="0">
                  <c:v>92034</c:v>
                </c:pt>
                <c:pt idx="1">
                  <c:v>183516</c:v>
                </c:pt>
                <c:pt idx="2">
                  <c:v>276580</c:v>
                </c:pt>
                <c:pt idx="3">
                  <c:v>385195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9A-497B-B970-262479758161}"/>
            </c:ext>
          </c:extLst>
        </c:ser>
        <c:ser>
          <c:idx val="5"/>
          <c:order val="5"/>
          <c:tx>
            <c:strRef>
              <c:f>GR!$P$12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GR!$AB$6:$AE$6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GR!$AB$12:$AE$12</c:f>
              <c:numCache>
                <c:formatCode>_-* #,##0_-;\-* #,##0_-;_-* "-"??_-;_-@_-</c:formatCode>
                <c:ptCount val="4"/>
                <c:pt idx="0">
                  <c:v>100149</c:v>
                </c:pt>
                <c:pt idx="1">
                  <c:v>198167</c:v>
                </c:pt>
                <c:pt idx="2">
                  <c:v>294665</c:v>
                </c:pt>
                <c:pt idx="3">
                  <c:v>398197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9A-497B-B970-262479758161}"/>
            </c:ext>
          </c:extLst>
        </c:ser>
        <c:ser>
          <c:idx val="6"/>
          <c:order val="6"/>
          <c:tx>
            <c:strRef>
              <c:f>GR!$P$13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GR!$AB$6:$AE$6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GR!$AB$13:$AE$13</c:f>
              <c:numCache>
                <c:formatCode>_-* #,##0_-;\-* #,##0_-;_-* "-"??_-;_-@_-</c:formatCode>
                <c:ptCount val="4"/>
                <c:pt idx="0">
                  <c:v>99546</c:v>
                </c:pt>
                <c:pt idx="1">
                  <c:v>201469</c:v>
                </c:pt>
                <c:pt idx="2">
                  <c:v>295771</c:v>
                </c:pt>
                <c:pt idx="3">
                  <c:v>394915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9A-497B-B970-26247975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GR!$W$6</c:f>
          <c:strCache>
            <c:ptCount val="1"/>
            <c:pt idx="0">
              <c:v>YTD (Q1 to Q4)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GR!$W$6</c:f>
              <c:strCache>
                <c:ptCount val="1"/>
                <c:pt idx="0">
                  <c:v>YTD (Q1 to Q4)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GR!$V$7:$V$13</c:f>
              <c:strCache>
                <c:ptCount val="7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</c:strCache>
            </c:strRef>
          </c:cat>
          <c:val>
            <c:numRef>
              <c:f>GR!$W$7:$W$13</c:f>
              <c:numCache>
                <c:formatCode>_-* #,##0_-;\-* #,##0_-;_-* "-"??_-;_-@_-</c:formatCode>
                <c:ptCount val="7"/>
                <c:pt idx="0">
                  <c:v>374308</c:v>
                </c:pt>
                <c:pt idx="1">
                  <c:v>398694</c:v>
                </c:pt>
                <c:pt idx="2">
                  <c:v>398215</c:v>
                </c:pt>
                <c:pt idx="3">
                  <c:v>370049</c:v>
                </c:pt>
                <c:pt idx="4">
                  <c:v>385195</c:v>
                </c:pt>
                <c:pt idx="5">
                  <c:v>398197</c:v>
                </c:pt>
                <c:pt idx="6">
                  <c:v>394915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F-45EF-A017-6EF4374DC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GR!$X$6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GR!$V$7:$V$13</c:f>
              <c:strCache>
                <c:ptCount val="7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</c:strCache>
            </c:strRef>
          </c:cat>
          <c:val>
            <c:numRef>
              <c:f>GR!$X$7:$X$13</c:f>
              <c:numCache>
                <c:formatCode>0.0%</c:formatCode>
                <c:ptCount val="7"/>
                <c:pt idx="1">
                  <c:v>6.514955598063632E-2</c:v>
                </c:pt>
                <c:pt idx="2">
                  <c:v>-1.2014226449357235E-3</c:v>
                </c:pt>
                <c:pt idx="3">
                  <c:v>-7.0730635460743541E-2</c:v>
                </c:pt>
                <c:pt idx="4">
                  <c:v>4.0929714713456855E-2</c:v>
                </c:pt>
                <c:pt idx="5">
                  <c:v>3.3754332221342498E-2</c:v>
                </c:pt>
                <c:pt idx="6">
                  <c:v>-8.2421514978766597E-3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3F-45EF-A017-6EF4374DC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GR!$Z$25</c:f>
          <c:strCache>
            <c:ptCount val="1"/>
            <c:pt idx="0">
              <c:v>German Grinds Q1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GR!$X$23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GR!$W$24:$W$31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GR!$X$24:$X$31</c:f>
              <c:numCache>
                <c:formatCode>_-* #,##0_-;\-* #,##0_-;_-* "-"??_-;_-@_-</c:formatCode>
                <c:ptCount val="8"/>
                <c:pt idx="0">
                  <c:v>91423</c:v>
                </c:pt>
                <c:pt idx="1">
                  <c:v>98549</c:v>
                </c:pt>
                <c:pt idx="2">
                  <c:v>99181</c:v>
                </c:pt>
                <c:pt idx="3">
                  <c:v>98250</c:v>
                </c:pt>
                <c:pt idx="4">
                  <c:v>92034</c:v>
                </c:pt>
                <c:pt idx="5">
                  <c:v>100149</c:v>
                </c:pt>
                <c:pt idx="6">
                  <c:v>99546</c:v>
                </c:pt>
                <c:pt idx="7">
                  <c:v>97421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B-4EEC-BED6-36F4A282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'IVC (2)'!$A$1</c:f>
          <c:strCache>
            <c:ptCount val="1"/>
            <c:pt idx="0">
              <c:v>IVC Grinds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6666"/>
              </a:solidFill>
              <a:round/>
            </a:ln>
            <a:effectLst/>
          </c:spPr>
          <c:marker>
            <c:symbol val="none"/>
          </c:marker>
          <c:cat>
            <c:strRef>
              <c:f>'IVC (2)'!$B$7:$B$35</c:f>
              <c:strCache>
                <c:ptCount val="29"/>
                <c:pt idx="0">
                  <c:v>Q1 | 16/17</c:v>
                </c:pt>
                <c:pt idx="1">
                  <c:v>Q2 | 16/17</c:v>
                </c:pt>
                <c:pt idx="2">
                  <c:v>Q3 | 16/17</c:v>
                </c:pt>
                <c:pt idx="3">
                  <c:v>Q4 | 16/17</c:v>
                </c:pt>
                <c:pt idx="4">
                  <c:v>Q1 | 17/18</c:v>
                </c:pt>
                <c:pt idx="5">
                  <c:v>Q2 | 17/18</c:v>
                </c:pt>
                <c:pt idx="6">
                  <c:v>Q3 | 17/18</c:v>
                </c:pt>
                <c:pt idx="7">
                  <c:v>Q4 | 17/18</c:v>
                </c:pt>
                <c:pt idx="8">
                  <c:v>Q1 | 18/19</c:v>
                </c:pt>
                <c:pt idx="9">
                  <c:v>Q2 | 18/19</c:v>
                </c:pt>
                <c:pt idx="10">
                  <c:v>Q3 | 18/19</c:v>
                </c:pt>
                <c:pt idx="11">
                  <c:v>Q4 | 18/19</c:v>
                </c:pt>
                <c:pt idx="12">
                  <c:v>Q1 | 19/20</c:v>
                </c:pt>
                <c:pt idx="13">
                  <c:v>Q2 | 19/20</c:v>
                </c:pt>
                <c:pt idx="14">
                  <c:v>Q3 | 19/20</c:v>
                </c:pt>
                <c:pt idx="15">
                  <c:v>Q4 | 19/20</c:v>
                </c:pt>
                <c:pt idx="16">
                  <c:v>Q1 | 20/21</c:v>
                </c:pt>
                <c:pt idx="17">
                  <c:v>Q2 | 20/21</c:v>
                </c:pt>
                <c:pt idx="18">
                  <c:v>Q3 | 20/21</c:v>
                </c:pt>
                <c:pt idx="19">
                  <c:v>Q4 | 20/21</c:v>
                </c:pt>
                <c:pt idx="20">
                  <c:v>Q1 | 21/22</c:v>
                </c:pt>
                <c:pt idx="21">
                  <c:v>Q2 | 21/22</c:v>
                </c:pt>
                <c:pt idx="22">
                  <c:v>Q3 | 21/22</c:v>
                </c:pt>
                <c:pt idx="23">
                  <c:v>Q4 | 21/22</c:v>
                </c:pt>
                <c:pt idx="24">
                  <c:v>Q1 | 22/23</c:v>
                </c:pt>
                <c:pt idx="25">
                  <c:v>Q2 | 22/23</c:v>
                </c:pt>
                <c:pt idx="26">
                  <c:v>Q3 | 22/23</c:v>
                </c:pt>
                <c:pt idx="27">
                  <c:v>Q4 | 22/23</c:v>
                </c:pt>
                <c:pt idx="28">
                  <c:v>Q1 | 23/24</c:v>
                </c:pt>
              </c:strCache>
            </c:strRef>
          </c:cat>
          <c:val>
            <c:numRef>
              <c:f>'IVC (2)'!$C$7:$C$35</c:f>
              <c:numCache>
                <c:formatCode>_-* #,##0_-;\-* #,##0_-;_-* "-"??_-;_-@_-</c:formatCode>
                <c:ptCount val="29"/>
                <c:pt idx="0">
                  <c:v>127000</c:v>
                </c:pt>
                <c:pt idx="1">
                  <c:v>127000</c:v>
                </c:pt>
                <c:pt idx="2">
                  <c:v>127000</c:v>
                </c:pt>
                <c:pt idx="3">
                  <c:v>128000</c:v>
                </c:pt>
                <c:pt idx="4">
                  <c:v>124000</c:v>
                </c:pt>
                <c:pt idx="5">
                  <c:v>130000</c:v>
                </c:pt>
                <c:pt idx="6">
                  <c:v>125000</c:v>
                </c:pt>
                <c:pt idx="7">
                  <c:v>126347</c:v>
                </c:pt>
                <c:pt idx="8">
                  <c:v>135510</c:v>
                </c:pt>
                <c:pt idx="9">
                  <c:v>133000</c:v>
                </c:pt>
                <c:pt idx="10">
                  <c:v>139000</c:v>
                </c:pt>
                <c:pt idx="11">
                  <c:v>140473</c:v>
                </c:pt>
                <c:pt idx="12">
                  <c:v>144314</c:v>
                </c:pt>
                <c:pt idx="13">
                  <c:v>139821</c:v>
                </c:pt>
                <c:pt idx="14">
                  <c:v>139559</c:v>
                </c:pt>
                <c:pt idx="15">
                  <c:v>135954</c:v>
                </c:pt>
                <c:pt idx="16">
                  <c:v>150241</c:v>
                </c:pt>
                <c:pt idx="17">
                  <c:v>150593</c:v>
                </c:pt>
                <c:pt idx="18">
                  <c:v>109471</c:v>
                </c:pt>
                <c:pt idx="19">
                  <c:v>154121</c:v>
                </c:pt>
                <c:pt idx="20">
                  <c:v>158272</c:v>
                </c:pt>
                <c:pt idx="21">
                  <c:v>155454</c:v>
                </c:pt>
                <c:pt idx="22">
                  <c:v>156723</c:v>
                </c:pt>
                <c:pt idx="23">
                  <c:v>171540</c:v>
                </c:pt>
                <c:pt idx="24">
                  <c:v>172605</c:v>
                </c:pt>
                <c:pt idx="25">
                  <c:v>189495</c:v>
                </c:pt>
                <c:pt idx="26">
                  <c:v>160725</c:v>
                </c:pt>
                <c:pt idx="27">
                  <c:v>183731</c:v>
                </c:pt>
                <c:pt idx="28">
                  <c:v>169953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0-482C-A890-4F5997B29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2799"/>
        <c:axId val="1237187376"/>
      </c:lineChart>
      <c:catAx>
        <c:axId val="2110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376"/>
        <c:crosses val="autoZero"/>
        <c:auto val="1"/>
        <c:lblAlgn val="ctr"/>
        <c:lblOffset val="100"/>
        <c:noMultiLvlLbl val="0"/>
      </c:catAx>
      <c:valAx>
        <c:axId val="12371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Seasonality per quarter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'IVC (2)'!$P$7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(2)'!$Q$7:$T$7</c:f>
              <c:numCache>
                <c:formatCode>_-* #,##0_-;\-* #,##0_-;_-* "-"??_-;_-@_-</c:formatCode>
                <c:ptCount val="4"/>
                <c:pt idx="0">
                  <c:v>127000</c:v>
                </c:pt>
                <c:pt idx="1">
                  <c:v>127000</c:v>
                </c:pt>
                <c:pt idx="2">
                  <c:v>127000</c:v>
                </c:pt>
                <c:pt idx="3">
                  <c:v>128000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5-4430-ADDB-64FDB94D4907}"/>
            </c:ext>
          </c:extLst>
        </c:ser>
        <c:ser>
          <c:idx val="1"/>
          <c:order val="1"/>
          <c:tx>
            <c:strRef>
              <c:f>'IVC (2)'!$P$8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(2)'!$Q$8:$T$8</c:f>
              <c:numCache>
                <c:formatCode>_-* #,##0_-;\-* #,##0_-;_-* "-"??_-;_-@_-</c:formatCode>
                <c:ptCount val="4"/>
                <c:pt idx="0">
                  <c:v>124000</c:v>
                </c:pt>
                <c:pt idx="1">
                  <c:v>130000</c:v>
                </c:pt>
                <c:pt idx="2">
                  <c:v>125000</c:v>
                </c:pt>
                <c:pt idx="3">
                  <c:v>126347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5-4430-ADDB-64FDB94D4907}"/>
            </c:ext>
          </c:extLst>
        </c:ser>
        <c:ser>
          <c:idx val="2"/>
          <c:order val="2"/>
          <c:tx>
            <c:strRef>
              <c:f>'IVC (2)'!$P$9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(2)'!$Q$9:$T$9</c:f>
              <c:numCache>
                <c:formatCode>_-* #,##0_-;\-* #,##0_-;_-* "-"??_-;_-@_-</c:formatCode>
                <c:ptCount val="4"/>
                <c:pt idx="0">
                  <c:v>135510</c:v>
                </c:pt>
                <c:pt idx="1">
                  <c:v>133000</c:v>
                </c:pt>
                <c:pt idx="2">
                  <c:v>139000</c:v>
                </c:pt>
                <c:pt idx="3">
                  <c:v>140473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05-4430-ADDB-64FDB94D4907}"/>
            </c:ext>
          </c:extLst>
        </c:ser>
        <c:ser>
          <c:idx val="3"/>
          <c:order val="3"/>
          <c:tx>
            <c:strRef>
              <c:f>'IVC (2)'!$P$10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(2)'!$Q$10:$T$10</c:f>
              <c:numCache>
                <c:formatCode>_-* #,##0_-;\-* #,##0_-;_-* "-"??_-;_-@_-</c:formatCode>
                <c:ptCount val="4"/>
                <c:pt idx="0">
                  <c:v>144314</c:v>
                </c:pt>
                <c:pt idx="1">
                  <c:v>139821</c:v>
                </c:pt>
                <c:pt idx="2">
                  <c:v>139559</c:v>
                </c:pt>
                <c:pt idx="3">
                  <c:v>135954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05-4430-ADDB-64FDB94D4907}"/>
            </c:ext>
          </c:extLst>
        </c:ser>
        <c:ser>
          <c:idx val="4"/>
          <c:order val="4"/>
          <c:tx>
            <c:strRef>
              <c:f>'IVC (2)'!$P$11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(2)'!$Q$11:$T$11</c:f>
              <c:numCache>
                <c:formatCode>_-* #,##0_-;\-* #,##0_-;_-* "-"??_-;_-@_-</c:formatCode>
                <c:ptCount val="4"/>
                <c:pt idx="0">
                  <c:v>150241</c:v>
                </c:pt>
                <c:pt idx="1">
                  <c:v>150593</c:v>
                </c:pt>
                <c:pt idx="2">
                  <c:v>109471</c:v>
                </c:pt>
                <c:pt idx="3">
                  <c:v>154121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05-4430-ADDB-64FDB94D4907}"/>
            </c:ext>
          </c:extLst>
        </c:ser>
        <c:ser>
          <c:idx val="5"/>
          <c:order val="5"/>
          <c:tx>
            <c:strRef>
              <c:f>'IVC (2)'!$P$12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(2)'!$Q$12:$T$12</c:f>
              <c:numCache>
                <c:formatCode>_-* #,##0_-;\-* #,##0_-;_-* "-"??_-;_-@_-</c:formatCode>
                <c:ptCount val="4"/>
                <c:pt idx="0">
                  <c:v>158272</c:v>
                </c:pt>
                <c:pt idx="1">
                  <c:v>155454</c:v>
                </c:pt>
                <c:pt idx="2">
                  <c:v>156723</c:v>
                </c:pt>
                <c:pt idx="3">
                  <c:v>171540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05-4430-ADDB-64FDB94D4907}"/>
            </c:ext>
          </c:extLst>
        </c:ser>
        <c:ser>
          <c:idx val="6"/>
          <c:order val="6"/>
          <c:tx>
            <c:strRef>
              <c:f>'IVC (2)'!$P$13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rgbClr val="7030A0"/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(2)'!$Q$13:$T$13</c:f>
              <c:numCache>
                <c:formatCode>_-* #,##0_-;\-* #,##0_-;_-* "-"??_-;_-@_-</c:formatCode>
                <c:ptCount val="4"/>
                <c:pt idx="0">
                  <c:v>172605</c:v>
                </c:pt>
                <c:pt idx="1">
                  <c:v>189495</c:v>
                </c:pt>
                <c:pt idx="2">
                  <c:v>160725</c:v>
                </c:pt>
                <c:pt idx="3" formatCode="General">
                  <c:v>183731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05-4430-ADDB-64FDB94D4907}"/>
            </c:ext>
          </c:extLst>
        </c:ser>
        <c:ser>
          <c:idx val="7"/>
          <c:order val="7"/>
          <c:tx>
            <c:strRef>
              <c:f>'IVC (2)'!$P$14</c:f>
              <c:strCache>
                <c:ptCount val="1"/>
                <c:pt idx="0">
                  <c:v>23/24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ysClr val="windowText" lastClr="000000"/>
                </a:solidFill>
                <a:round/>
              </a:ln>
              <a:effectLst/>
            </c:spPr>
          </c:marker>
          <c:cat>
            <c:strRef>
              <c:f>'IVC (2)'!$Q$6:$T$6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(2)'!$Q$14:$T$14</c:f>
              <c:numCache>
                <c:formatCode>General</c:formatCode>
                <c:ptCount val="4"/>
                <c:pt idx="0">
                  <c:v>169953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05-4430-ADDB-64FDB94D4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accent2">
                    <a:lumMod val="20000"/>
                    <a:lumOff val="80000"/>
                  </a:schemeClr>
                </a:solidFill>
              </a:rPr>
              <a:t>Cumulative</a:t>
            </a:r>
            <a:endParaRPr lang="en-NL" sz="1100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5134976980336475E-2"/>
          <c:y val="0.24657660493713773"/>
          <c:w val="0.86989234542403515"/>
          <c:h val="0.68769496994177104"/>
        </c:manualLayout>
      </c:layout>
      <c:lineChart>
        <c:grouping val="standard"/>
        <c:varyColors val="0"/>
        <c:ser>
          <c:idx val="0"/>
          <c:order val="0"/>
          <c:tx>
            <c:strRef>
              <c:f>'IVC (2)'!$P$7</c:f>
              <c:strCache>
                <c:ptCount val="1"/>
                <c:pt idx="0">
                  <c:v>16/17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'IVC (2)'!$AB$6:$AE$6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(2)'!$AB$7:$AE$7</c:f>
              <c:numCache>
                <c:formatCode>_-* #,##0_-;\-* #,##0_-;_-* "-"??_-;_-@_-</c:formatCode>
                <c:ptCount val="4"/>
                <c:pt idx="0">
                  <c:v>127000</c:v>
                </c:pt>
                <c:pt idx="1">
                  <c:v>254000</c:v>
                </c:pt>
                <c:pt idx="2">
                  <c:v>381000</c:v>
                </c:pt>
                <c:pt idx="3">
                  <c:v>509000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2-4C68-B802-6891C90A890E}"/>
            </c:ext>
          </c:extLst>
        </c:ser>
        <c:ser>
          <c:idx val="1"/>
          <c:order val="1"/>
          <c:tx>
            <c:strRef>
              <c:f>'IVC (2)'!$P$8</c:f>
              <c:strCache>
                <c:ptCount val="1"/>
                <c:pt idx="0">
                  <c:v>17/18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'IVC (2)'!$AB$6:$AE$6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(2)'!$AB$8:$AE$8</c:f>
              <c:numCache>
                <c:formatCode>_-* #,##0_-;\-* #,##0_-;_-* "-"??_-;_-@_-</c:formatCode>
                <c:ptCount val="4"/>
                <c:pt idx="0">
                  <c:v>124000</c:v>
                </c:pt>
                <c:pt idx="1">
                  <c:v>254000</c:v>
                </c:pt>
                <c:pt idx="2">
                  <c:v>379000</c:v>
                </c:pt>
                <c:pt idx="3">
                  <c:v>505347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2-4C68-B802-6891C90A890E}"/>
            </c:ext>
          </c:extLst>
        </c:ser>
        <c:ser>
          <c:idx val="2"/>
          <c:order val="2"/>
          <c:tx>
            <c:strRef>
              <c:f>'IVC (2)'!$P$9</c:f>
              <c:strCache>
                <c:ptCount val="1"/>
                <c:pt idx="0">
                  <c:v>18/19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'IVC (2)'!$AB$6:$AE$6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(2)'!$AB$9:$AE$9</c:f>
              <c:numCache>
                <c:formatCode>_-* #,##0_-;\-* #,##0_-;_-* "-"??_-;_-@_-</c:formatCode>
                <c:ptCount val="4"/>
                <c:pt idx="0">
                  <c:v>135510</c:v>
                </c:pt>
                <c:pt idx="1">
                  <c:v>268510</c:v>
                </c:pt>
                <c:pt idx="2">
                  <c:v>407510</c:v>
                </c:pt>
                <c:pt idx="3">
                  <c:v>547983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C68-B802-6891C90A890E}"/>
            </c:ext>
          </c:extLst>
        </c:ser>
        <c:ser>
          <c:idx val="3"/>
          <c:order val="3"/>
          <c:tx>
            <c:strRef>
              <c:f>'IVC (2)'!$P$10</c:f>
              <c:strCache>
                <c:ptCount val="1"/>
                <c:pt idx="0">
                  <c:v>19/20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'IVC (2)'!$AB$6:$AE$6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(2)'!$AB$10:$AE$10</c:f>
              <c:numCache>
                <c:formatCode>_-* #,##0_-;\-* #,##0_-;_-* "-"??_-;_-@_-</c:formatCode>
                <c:ptCount val="4"/>
                <c:pt idx="0">
                  <c:v>144314</c:v>
                </c:pt>
                <c:pt idx="1">
                  <c:v>284135</c:v>
                </c:pt>
                <c:pt idx="2">
                  <c:v>423694</c:v>
                </c:pt>
                <c:pt idx="3">
                  <c:v>559648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C68-B802-6891C90A890E}"/>
            </c:ext>
          </c:extLst>
        </c:ser>
        <c:ser>
          <c:idx val="4"/>
          <c:order val="4"/>
          <c:tx>
            <c:strRef>
              <c:f>'IVC (2)'!$P$11</c:f>
              <c:strCache>
                <c:ptCount val="1"/>
                <c:pt idx="0">
                  <c:v>20/21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'IVC (2)'!$AB$6:$AE$6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(2)'!$AB$11:$AE$11</c:f>
              <c:numCache>
                <c:formatCode>_-* #,##0_-;\-* #,##0_-;_-* "-"??_-;_-@_-</c:formatCode>
                <c:ptCount val="4"/>
                <c:pt idx="0">
                  <c:v>150241</c:v>
                </c:pt>
                <c:pt idx="1">
                  <c:v>300834</c:v>
                </c:pt>
                <c:pt idx="2">
                  <c:v>410305</c:v>
                </c:pt>
                <c:pt idx="3">
                  <c:v>564426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F2-4C68-B802-6891C90A890E}"/>
            </c:ext>
          </c:extLst>
        </c:ser>
        <c:ser>
          <c:idx val="5"/>
          <c:order val="5"/>
          <c:tx>
            <c:strRef>
              <c:f>'IVC (2)'!$P$12</c:f>
              <c:strCache>
                <c:ptCount val="1"/>
                <c:pt idx="0">
                  <c:v>21/22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'IVC (2)'!$AB$6:$AE$6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(2)'!$AB$12:$AE$12</c:f>
              <c:numCache>
                <c:formatCode>_-* #,##0_-;\-* #,##0_-;_-* "-"??_-;_-@_-</c:formatCode>
                <c:ptCount val="4"/>
                <c:pt idx="0">
                  <c:v>158272</c:v>
                </c:pt>
                <c:pt idx="1">
                  <c:v>313726</c:v>
                </c:pt>
                <c:pt idx="2">
                  <c:v>470449</c:v>
                </c:pt>
                <c:pt idx="3">
                  <c:v>641989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C68-B802-6891C90A890E}"/>
            </c:ext>
          </c:extLst>
        </c:ser>
        <c:ser>
          <c:idx val="6"/>
          <c:order val="6"/>
          <c:tx>
            <c:strRef>
              <c:f>'IVC (2)'!$P$13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marker>
          <c:cat>
            <c:strRef>
              <c:f>'IVC (2)'!$AB$6:$AE$6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'IVC (2)'!$AB$13:$AE$13</c:f>
              <c:numCache>
                <c:formatCode>_-* #,##0_-;\-* #,##0_-;_-* "-"??_-;_-@_-</c:formatCode>
                <c:ptCount val="4"/>
                <c:pt idx="0">
                  <c:v>172605</c:v>
                </c:pt>
                <c:pt idx="1">
                  <c:v>362100</c:v>
                </c:pt>
                <c:pt idx="2">
                  <c:v>522825</c:v>
                </c:pt>
                <c:pt idx="3">
                  <c:v>706556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F2-4C68-B802-6891C90A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84079"/>
        <c:axId val="1237177952"/>
      </c:lineChart>
      <c:catAx>
        <c:axId val="21098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7952"/>
        <c:crosses val="autoZero"/>
        <c:auto val="1"/>
        <c:lblAlgn val="ctr"/>
        <c:lblOffset val="100"/>
        <c:noMultiLvlLbl val="0"/>
      </c:catAx>
      <c:valAx>
        <c:axId val="1237177952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'IVC (2)'!$W$6</c:f>
          <c:strCache>
            <c:ptCount val="1"/>
            <c:pt idx="0">
              <c:v>YTD (Q1 to Q4)</c:v>
            </c:pt>
          </c:strCache>
        </c:strRef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'IVC (2)'!$W$6</c:f>
              <c:strCache>
                <c:ptCount val="1"/>
                <c:pt idx="0">
                  <c:v>YTD (Q1 to Q4)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'IVC (2)'!$V$7:$V$13</c:f>
              <c:strCache>
                <c:ptCount val="7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</c:strCache>
            </c:strRef>
          </c:cat>
          <c:val>
            <c:numRef>
              <c:f>'IVC (2)'!$W$7:$W$13</c:f>
              <c:numCache>
                <c:formatCode>_-* #,##0_-;\-* #,##0_-;_-* "-"??_-;_-@_-</c:formatCode>
                <c:ptCount val="7"/>
                <c:pt idx="0">
                  <c:v>509000</c:v>
                </c:pt>
                <c:pt idx="1">
                  <c:v>505347</c:v>
                </c:pt>
                <c:pt idx="2">
                  <c:v>547983</c:v>
                </c:pt>
                <c:pt idx="3">
                  <c:v>559648</c:v>
                </c:pt>
                <c:pt idx="4">
                  <c:v>564426</c:v>
                </c:pt>
                <c:pt idx="5">
                  <c:v>641989</c:v>
                </c:pt>
                <c:pt idx="6">
                  <c:v>706556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1-4B85-9F58-D6DA01DE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09008"/>
        <c:axId val="43572992"/>
      </c:barChart>
      <c:lineChart>
        <c:grouping val="standard"/>
        <c:varyColors val="0"/>
        <c:ser>
          <c:idx val="1"/>
          <c:order val="1"/>
          <c:tx>
            <c:strRef>
              <c:f>'IVC (2)'!$X$6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'IVC (2)'!$V$7:$V$13</c:f>
              <c:strCache>
                <c:ptCount val="7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</c:strCache>
            </c:strRef>
          </c:cat>
          <c:val>
            <c:numRef>
              <c:f>'IVC (2)'!$X$7:$X$13</c:f>
              <c:numCache>
                <c:formatCode>0.0%</c:formatCode>
                <c:ptCount val="7"/>
                <c:pt idx="1">
                  <c:v>-7.1768172888015958E-3</c:v>
                </c:pt>
                <c:pt idx="2">
                  <c:v>8.4369749894626755E-2</c:v>
                </c:pt>
                <c:pt idx="3">
                  <c:v>2.1287156718365452E-2</c:v>
                </c:pt>
                <c:pt idx="4">
                  <c:v>8.5375092915547235E-3</c:v>
                </c:pt>
                <c:pt idx="5">
                  <c:v>0.13741925425122159</c:v>
                </c:pt>
                <c:pt idx="6">
                  <c:v>0.10057337431015179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1-4B85-9F58-D6DA01DE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012848"/>
        <c:axId val="43573488"/>
      </c:lineChart>
      <c:catAx>
        <c:axId val="16080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2992"/>
        <c:crosses val="autoZero"/>
        <c:auto val="1"/>
        <c:lblAlgn val="ctr"/>
        <c:lblOffset val="100"/>
        <c:noMultiLvlLbl val="0"/>
      </c:catAx>
      <c:valAx>
        <c:axId val="435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09008"/>
        <c:crosses val="autoZero"/>
        <c:crossBetween val="between"/>
      </c:valAx>
      <c:valAx>
        <c:axId val="4357348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12848"/>
        <c:crosses val="max"/>
        <c:crossBetween val="between"/>
      </c:valAx>
      <c:catAx>
        <c:axId val="1608012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'IVC (2)'!$Z$25</c:f>
          <c:strCache>
            <c:ptCount val="1"/>
            <c:pt idx="0">
              <c:v>IVC Grinds Q1 across Years</c:v>
            </c:pt>
          </c:strCache>
        </c:strRef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'IVC (2)'!$X$23</c:f>
              <c:strCache>
                <c:ptCount val="1"/>
              </c:strCache>
            </c:strRef>
          </c:tx>
          <c:spPr>
            <a:solidFill>
              <a:srgbClr val="0066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'IVC (2)'!$W$24:$W$31</c:f>
              <c:strCache>
                <c:ptCount val="8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</c:strCache>
            </c:strRef>
          </c:cat>
          <c:val>
            <c:numRef>
              <c:f>'IVC (2)'!$X$24:$X$31</c:f>
              <c:numCache>
                <c:formatCode>_-* #,##0_-;\-* #,##0_-;_-* "-"??_-;_-@_-</c:formatCode>
                <c:ptCount val="8"/>
                <c:pt idx="0">
                  <c:v>127000</c:v>
                </c:pt>
                <c:pt idx="1">
                  <c:v>124000</c:v>
                </c:pt>
                <c:pt idx="2">
                  <c:v>135510</c:v>
                </c:pt>
                <c:pt idx="3">
                  <c:v>144314</c:v>
                </c:pt>
                <c:pt idx="4">
                  <c:v>150241</c:v>
                </c:pt>
                <c:pt idx="5">
                  <c:v>158272</c:v>
                </c:pt>
                <c:pt idx="6">
                  <c:v>172605</c:v>
                </c:pt>
                <c:pt idx="7" formatCode="General">
                  <c:v>169953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F-464D-92AC-21DEDFF3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381232"/>
        <c:axId val="1237171504"/>
      </c:barChart>
      <c:catAx>
        <c:axId val="11073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1504"/>
        <c:crosses val="autoZero"/>
        <c:auto val="1"/>
        <c:lblAlgn val="ctr"/>
        <c:lblOffset val="100"/>
        <c:noMultiLvlLbl val="0"/>
      </c:catAx>
      <c:valAx>
        <c:axId val="1237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TOTAL!A1"/><Relationship Id="rId1" Type="http://schemas.openxmlformats.org/officeDocument/2006/relationships/hyperlink" Target="#'ECA,NCA,CAA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hyperlink" Target="#Menu!A1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hyperlink" Target="#German!A1"/><Relationship Id="rId2" Type="http://schemas.openxmlformats.org/officeDocument/2006/relationships/chart" Target="../charts/chart10.xml"/><Relationship Id="rId1" Type="http://schemas.openxmlformats.org/officeDocument/2006/relationships/hyperlink" Target="#Menu!A1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hyperlink" Target="#Menu!A1"/><Relationship Id="rId6" Type="http://schemas.openxmlformats.org/officeDocument/2006/relationships/hyperlink" Target="#German!A1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hyperlink" Target="#Menu!A1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hyperlink" Target="#Menu!A1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CAA Grinding Estimates'!A1"/><Relationship Id="rId3" Type="http://schemas.openxmlformats.org/officeDocument/2006/relationships/chart" Target="../charts/chart33.xml"/><Relationship Id="rId7" Type="http://schemas.openxmlformats.org/officeDocument/2006/relationships/hyperlink" Target="#MCB!A1"/><Relationship Id="rId2" Type="http://schemas.openxmlformats.org/officeDocument/2006/relationships/chart" Target="../charts/chart32.xml"/><Relationship Id="rId1" Type="http://schemas.openxmlformats.org/officeDocument/2006/relationships/hyperlink" Target="#Menu!A1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8.xml"/><Relationship Id="rId7" Type="http://schemas.openxmlformats.org/officeDocument/2006/relationships/hyperlink" Target="https://etgworld.sharepoint.com/sites/DirectionalCoffeeandCocoa/Shared%20Documents/Analysis/Fundamental/Master/The%20Softscan/Fundamental/30.%20GEPEX%20monthly%20Grind/Gepex%20Grind%20(ETG).xlsx" TargetMode="External"/><Relationship Id="rId2" Type="http://schemas.openxmlformats.org/officeDocument/2006/relationships/chart" Target="../charts/chart37.xml"/><Relationship Id="rId1" Type="http://schemas.openxmlformats.org/officeDocument/2006/relationships/hyperlink" Target="#Menu!A1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Relationship Id="rId9" Type="http://schemas.openxmlformats.org/officeDocument/2006/relationships/chart" Target="../charts/chart4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7" Type="http://schemas.openxmlformats.org/officeDocument/2006/relationships/hyperlink" Target="https://aipc.com.br/estatisticas/moagem/" TargetMode="External"/><Relationship Id="rId2" Type="http://schemas.openxmlformats.org/officeDocument/2006/relationships/chart" Target="../charts/chart43.xml"/><Relationship Id="rId1" Type="http://schemas.openxmlformats.org/officeDocument/2006/relationships/hyperlink" Target="#Menu!A1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hyperlink" Target="#Menu!A1"/><Relationship Id="rId6" Type="http://schemas.openxmlformats.org/officeDocument/2006/relationships/hyperlink" Target="#German!A1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hyperlink" Target="#CAA!A1"/><Relationship Id="rId1" Type="http://schemas.openxmlformats.org/officeDocument/2006/relationships/chart" Target="../charts/chart52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hyperlink" Target="#Menu!A1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hyperlink" Target="#Menu!A1"/><Relationship Id="rId5" Type="http://schemas.openxmlformats.org/officeDocument/2006/relationships/chart" Target="../charts/chart64.xml"/><Relationship Id="rId4" Type="http://schemas.openxmlformats.org/officeDocument/2006/relationships/chart" Target="../charts/chart6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hyperlink" Target="#Menu!A1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hyperlink" Target="#Menu!A1"/><Relationship Id="rId5" Type="http://schemas.openxmlformats.org/officeDocument/2006/relationships/chart" Target="../charts/chart74.xml"/><Relationship Id="rId4" Type="http://schemas.openxmlformats.org/officeDocument/2006/relationships/chart" Target="../charts/chart73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hyperlink" Target="#Menu!A1"/><Relationship Id="rId6" Type="http://schemas.openxmlformats.org/officeDocument/2006/relationships/chart" Target="../charts/chart79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hyperlink" Target="#Menu!A1"/><Relationship Id="rId6" Type="http://schemas.openxmlformats.org/officeDocument/2006/relationships/chart" Target="../charts/chart84.xml"/><Relationship Id="rId5" Type="http://schemas.openxmlformats.org/officeDocument/2006/relationships/chart" Target="../charts/chart83.xml"/><Relationship Id="rId4" Type="http://schemas.openxmlformats.org/officeDocument/2006/relationships/chart" Target="../charts/chart8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33618</xdr:colOff>
      <xdr:row>3</xdr:row>
      <xdr:rowOff>448235</xdr:rowOff>
    </xdr:from>
    <xdr:to>
      <xdr:col>5</xdr:col>
      <xdr:colOff>268942</xdr:colOff>
      <xdr:row>11</xdr:row>
      <xdr:rowOff>33617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9206" y="1411941"/>
          <a:ext cx="235324" cy="280147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526677</xdr:colOff>
      <xdr:row>3</xdr:row>
      <xdr:rowOff>414617</xdr:rowOff>
    </xdr:from>
    <xdr:to>
      <xdr:col>4</xdr:col>
      <xdr:colOff>156883</xdr:colOff>
      <xdr:row>16</xdr:row>
      <xdr:rowOff>369794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342030" y="1378323"/>
          <a:ext cx="235324" cy="507626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wordArtVert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8667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9</xdr:col>
      <xdr:colOff>249381</xdr:colOff>
      <xdr:row>23</xdr:row>
      <xdr:rowOff>0</xdr:rowOff>
    </xdr:from>
    <xdr:to>
      <xdr:col>19</xdr:col>
      <xdr:colOff>138544</xdr:colOff>
      <xdr:row>43</xdr:row>
      <xdr:rowOff>83127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619124</xdr:colOff>
      <xdr:row>22</xdr:row>
      <xdr:rowOff>30976</xdr:rowOff>
    </xdr:from>
    <xdr:to>
      <xdr:col>51</xdr:col>
      <xdr:colOff>208509</xdr:colOff>
      <xdr:row>43</xdr:row>
      <xdr:rowOff>16408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332509</xdr:colOff>
      <xdr:row>2</xdr:row>
      <xdr:rowOff>145474</xdr:rowOff>
    </xdr:from>
    <xdr:to>
      <xdr:col>39</xdr:col>
      <xdr:colOff>13854</xdr:colOff>
      <xdr:row>19</xdr:row>
      <xdr:rowOff>34636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90055</xdr:colOff>
      <xdr:row>20</xdr:row>
      <xdr:rowOff>117765</xdr:rowOff>
    </xdr:from>
    <xdr:to>
      <xdr:col>38</xdr:col>
      <xdr:colOff>541318</xdr:colOff>
      <xdr:row>43</xdr:row>
      <xdr:rowOff>108362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145472</xdr:colOff>
      <xdr:row>3</xdr:row>
      <xdr:rowOff>152399</xdr:rowOff>
    </xdr:from>
    <xdr:to>
      <xdr:col>20</xdr:col>
      <xdr:colOff>46656</xdr:colOff>
      <xdr:row>22</xdr:row>
      <xdr:rowOff>89645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64329</xdr:colOff>
      <xdr:row>52</xdr:row>
      <xdr:rowOff>119245</xdr:rowOff>
    </xdr:from>
    <xdr:to>
      <xdr:col>33</xdr:col>
      <xdr:colOff>143992</xdr:colOff>
      <xdr:row>77</xdr:row>
      <xdr:rowOff>16822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7BBF37-E772-738A-ADD5-45BA4F8FC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233795</xdr:colOff>
      <xdr:row>137</xdr:row>
      <xdr:rowOff>110836</xdr:rowOff>
    </xdr:from>
    <xdr:to>
      <xdr:col>24</xdr:col>
      <xdr:colOff>219939</xdr:colOff>
      <xdr:row>174</xdr:row>
      <xdr:rowOff>159326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8734A5-7CF6-54C4-EB2D-A5E9560C1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325579</xdr:colOff>
      <xdr:row>56</xdr:row>
      <xdr:rowOff>10390</xdr:rowOff>
    </xdr:from>
    <xdr:to>
      <xdr:col>19</xdr:col>
      <xdr:colOff>166251</xdr:colOff>
      <xdr:row>82</xdr:row>
      <xdr:rowOff>103909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7C2F7E-C48B-5B5D-870A-97686A409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1</xdr:row>
      <xdr:rowOff>154304</xdr:rowOff>
    </xdr:from>
    <xdr:to>
      <xdr:col>21</xdr:col>
      <xdr:colOff>300990</xdr:colOff>
      <xdr:row>39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B9966-6E1C-A727-68F3-7A48A7C4A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763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32497</xdr:rowOff>
    </xdr:from>
    <xdr:to>
      <xdr:col>14</xdr:col>
      <xdr:colOff>313765</xdr:colOff>
      <xdr:row>23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121022</xdr:rowOff>
    </xdr:from>
    <xdr:to>
      <xdr:col>14</xdr:col>
      <xdr:colOff>268941</xdr:colOff>
      <xdr:row>40</xdr:row>
      <xdr:rowOff>179854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483177</xdr:colOff>
      <xdr:row>51</xdr:row>
      <xdr:rowOff>102845</xdr:rowOff>
    </xdr:from>
    <xdr:to>
      <xdr:col>41</xdr:col>
      <xdr:colOff>72563</xdr:colOff>
      <xdr:row>72</xdr:row>
      <xdr:rowOff>110792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449518</xdr:colOff>
      <xdr:row>3</xdr:row>
      <xdr:rowOff>31960</xdr:rowOff>
    </xdr:from>
    <xdr:to>
      <xdr:col>34</xdr:col>
      <xdr:colOff>164061</xdr:colOff>
      <xdr:row>18</xdr:row>
      <xdr:rowOff>87989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18112</xdr:colOff>
      <xdr:row>20</xdr:row>
      <xdr:rowOff>158010</xdr:rowOff>
    </xdr:from>
    <xdr:to>
      <xdr:col>33</xdr:col>
      <xdr:colOff>507728</xdr:colOff>
      <xdr:row>43</xdr:row>
      <xdr:rowOff>51752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347383</xdr:colOff>
      <xdr:row>0</xdr:row>
      <xdr:rowOff>179294</xdr:rowOff>
    </xdr:from>
    <xdr:to>
      <xdr:col>33</xdr:col>
      <xdr:colOff>212912</xdr:colOff>
      <xdr:row>0</xdr:row>
      <xdr:rowOff>493059</xdr:rowOff>
    </xdr:to>
    <xdr:sp macro="" textlink="">
      <xdr:nvSpPr>
        <xdr:cNvPr id="4" name="Rectangle: Rounded Corners 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B1FFA7-9673-F73E-257D-755275B780BE}"/>
            </a:ext>
          </a:extLst>
        </xdr:cNvPr>
        <xdr:cNvSpPr/>
      </xdr:nvSpPr>
      <xdr:spPr>
        <a:xfrm>
          <a:off x="18075089" y="179294"/>
          <a:ext cx="1680882" cy="313765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latin typeface="Abadi" panose="020B0604020104020204" pitchFamily="34" charset="0"/>
            </a:rPr>
            <a:t>Germany Grindings</a:t>
          </a:r>
          <a:endParaRPr lang="en-NL" sz="1200">
            <a:latin typeface="Abadi" panose="020B0604020104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108C3D-85D7-49C0-8DFF-8513086921AF}"/>
            </a:ext>
          </a:extLst>
        </xdr:cNvPr>
        <xdr:cNvSpPr/>
      </xdr:nvSpPr>
      <xdr:spPr>
        <a:xfrm>
          <a:off x="619125" y="190500"/>
          <a:ext cx="106299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32497</xdr:rowOff>
    </xdr:from>
    <xdr:to>
      <xdr:col>14</xdr:col>
      <xdr:colOff>313765</xdr:colOff>
      <xdr:row>23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FAC7F8-703A-4E63-9BFF-AFAC4FF84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134469</xdr:rowOff>
    </xdr:from>
    <xdr:to>
      <xdr:col>14</xdr:col>
      <xdr:colOff>268941</xdr:colOff>
      <xdr:row>41</xdr:row>
      <xdr:rowOff>9524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2E195FF-8034-4188-9AA2-94D646B48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359463</xdr:colOff>
      <xdr:row>3</xdr:row>
      <xdr:rowOff>128942</xdr:rowOff>
    </xdr:from>
    <xdr:to>
      <xdr:col>34</xdr:col>
      <xdr:colOff>74006</xdr:colOff>
      <xdr:row>18</xdr:row>
      <xdr:rowOff>184971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BFBC7F0-4634-4E78-83F3-587C594CA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367736</xdr:colOff>
      <xdr:row>20</xdr:row>
      <xdr:rowOff>81809</xdr:rowOff>
    </xdr:from>
    <xdr:to>
      <xdr:col>34</xdr:col>
      <xdr:colOff>193963</xdr:colOff>
      <xdr:row>42</xdr:row>
      <xdr:rowOff>159328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8635FD-14F7-4BDB-A821-50603C76A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347383</xdr:colOff>
      <xdr:row>0</xdr:row>
      <xdr:rowOff>179294</xdr:rowOff>
    </xdr:from>
    <xdr:to>
      <xdr:col>33</xdr:col>
      <xdr:colOff>212912</xdr:colOff>
      <xdr:row>0</xdr:row>
      <xdr:rowOff>493059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4301F3-338C-4213-8232-D82A2C2F5EB9}"/>
            </a:ext>
          </a:extLst>
        </xdr:cNvPr>
        <xdr:cNvSpPr/>
      </xdr:nvSpPr>
      <xdr:spPr>
        <a:xfrm>
          <a:off x="20132713" y="179294"/>
          <a:ext cx="1854349" cy="313765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latin typeface="Abadi" panose="020B0604020104020204" pitchFamily="34" charset="0"/>
            </a:rPr>
            <a:t>Germany Grindings</a:t>
          </a:r>
          <a:endParaRPr lang="en-NL" sz="1200">
            <a:latin typeface="Abadi" panose="020B0604020104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546623</xdr:colOff>
      <xdr:row>54</xdr:row>
      <xdr:rowOff>156545</xdr:rowOff>
    </xdr:from>
    <xdr:to>
      <xdr:col>19</xdr:col>
      <xdr:colOff>158002</xdr:colOff>
      <xdr:row>73</xdr:row>
      <xdr:rowOff>100403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1071A-8B8C-4D5D-A02A-90817F78B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932BD-DF58-48AE-B1C3-458B6849A41E}"/>
            </a:ext>
          </a:extLst>
        </xdr:cNvPr>
        <xdr:cNvSpPr/>
      </xdr:nvSpPr>
      <xdr:spPr>
        <a:xfrm>
          <a:off x="257175" y="190500"/>
          <a:ext cx="83439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8</xdr:col>
      <xdr:colOff>352763</xdr:colOff>
      <xdr:row>22</xdr:row>
      <xdr:rowOff>148415</xdr:rowOff>
    </xdr:from>
    <xdr:to>
      <xdr:col>18</xdr:col>
      <xdr:colOff>457199</xdr:colOff>
      <xdr:row>42</xdr:row>
      <xdr:rowOff>117764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D04DC5-2C1A-47F7-ADD6-71B581AC5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619124</xdr:colOff>
      <xdr:row>22</xdr:row>
      <xdr:rowOff>30976</xdr:rowOff>
    </xdr:from>
    <xdr:to>
      <xdr:col>51</xdr:col>
      <xdr:colOff>208509</xdr:colOff>
      <xdr:row>43</xdr:row>
      <xdr:rowOff>16408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E75E6E-0BDF-460C-9E54-DCBE42217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332509</xdr:colOff>
      <xdr:row>2</xdr:row>
      <xdr:rowOff>124692</xdr:rowOff>
    </xdr:from>
    <xdr:to>
      <xdr:col>39</xdr:col>
      <xdr:colOff>13854</xdr:colOff>
      <xdr:row>19</xdr:row>
      <xdr:rowOff>13854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98C369-1B8A-4907-9C49-C72028D83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90055</xdr:colOff>
      <xdr:row>20</xdr:row>
      <xdr:rowOff>117765</xdr:rowOff>
    </xdr:from>
    <xdr:to>
      <xdr:col>38</xdr:col>
      <xdr:colOff>541318</xdr:colOff>
      <xdr:row>43</xdr:row>
      <xdr:rowOff>108362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DA96C8-4C63-45F9-BB99-5BB783525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347279</xdr:colOff>
      <xdr:row>3</xdr:row>
      <xdr:rowOff>131311</xdr:rowOff>
    </xdr:from>
    <xdr:to>
      <xdr:col>18</xdr:col>
      <xdr:colOff>476147</xdr:colOff>
      <xdr:row>22</xdr:row>
      <xdr:rowOff>96574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43FECD-0AA3-495F-A475-C10054F7E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667000</xdr:colOff>
      <xdr:row>46</xdr:row>
      <xdr:rowOff>70754</xdr:rowOff>
    </xdr:from>
    <xdr:to>
      <xdr:col>22</xdr:col>
      <xdr:colOff>157845</xdr:colOff>
      <xdr:row>70</xdr:row>
      <xdr:rowOff>148440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1804AA-BFF1-4C7D-8097-C561AD82C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233795</xdr:colOff>
      <xdr:row>137</xdr:row>
      <xdr:rowOff>110836</xdr:rowOff>
    </xdr:from>
    <xdr:to>
      <xdr:col>24</xdr:col>
      <xdr:colOff>219939</xdr:colOff>
      <xdr:row>174</xdr:row>
      <xdr:rowOff>159326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F0389E-46C1-4784-AA18-47C780463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763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11715</xdr:rowOff>
    </xdr:from>
    <xdr:to>
      <xdr:col>13</xdr:col>
      <xdr:colOff>473529</xdr:colOff>
      <xdr:row>23</xdr:row>
      <xdr:rowOff>109847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113687</xdr:rowOff>
    </xdr:from>
    <xdr:to>
      <xdr:col>13</xdr:col>
      <xdr:colOff>522514</xdr:colOff>
      <xdr:row>42</xdr:row>
      <xdr:rowOff>6432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573231</xdr:colOff>
      <xdr:row>20</xdr:row>
      <xdr:rowOff>19719</xdr:rowOff>
    </xdr:from>
    <xdr:to>
      <xdr:col>45</xdr:col>
      <xdr:colOff>162616</xdr:colOff>
      <xdr:row>41</xdr:row>
      <xdr:rowOff>6884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88148</xdr:colOff>
      <xdr:row>2</xdr:row>
      <xdr:rowOff>27506</xdr:rowOff>
    </xdr:from>
    <xdr:to>
      <xdr:col>34</xdr:col>
      <xdr:colOff>652152</xdr:colOff>
      <xdr:row>19</xdr:row>
      <xdr:rowOff>42552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539336</xdr:colOff>
      <xdr:row>20</xdr:row>
      <xdr:rowOff>173181</xdr:rowOff>
    </xdr:from>
    <xdr:to>
      <xdr:col>34</xdr:col>
      <xdr:colOff>457199</xdr:colOff>
      <xdr:row>44</xdr:row>
      <xdr:rowOff>41562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4763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32497</xdr:rowOff>
    </xdr:from>
    <xdr:to>
      <xdr:col>14</xdr:col>
      <xdr:colOff>313765</xdr:colOff>
      <xdr:row>23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134469</xdr:rowOff>
    </xdr:from>
    <xdr:to>
      <xdr:col>14</xdr:col>
      <xdr:colOff>268941</xdr:colOff>
      <xdr:row>41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513637</xdr:colOff>
      <xdr:row>50</xdr:row>
      <xdr:rowOff>131695</xdr:rowOff>
    </xdr:from>
    <xdr:to>
      <xdr:col>30</xdr:col>
      <xdr:colOff>41562</xdr:colOff>
      <xdr:row>87</xdr:row>
      <xdr:rowOff>110835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228516</xdr:colOff>
      <xdr:row>3</xdr:row>
      <xdr:rowOff>151153</xdr:rowOff>
    </xdr:from>
    <xdr:to>
      <xdr:col>35</xdr:col>
      <xdr:colOff>331749</xdr:colOff>
      <xdr:row>19</xdr:row>
      <xdr:rowOff>27073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546146</xdr:colOff>
      <xdr:row>21</xdr:row>
      <xdr:rowOff>22956</xdr:rowOff>
    </xdr:from>
    <xdr:to>
      <xdr:col>34</xdr:col>
      <xdr:colOff>597563</xdr:colOff>
      <xdr:row>39</xdr:row>
      <xdr:rowOff>123810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644237</xdr:colOff>
      <xdr:row>0</xdr:row>
      <xdr:rowOff>180109</xdr:rowOff>
    </xdr:from>
    <xdr:to>
      <xdr:col>35</xdr:col>
      <xdr:colOff>368252</xdr:colOff>
      <xdr:row>0</xdr:row>
      <xdr:rowOff>493874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B70A8C-FE59-4709-9A09-46EB84112809}"/>
            </a:ext>
          </a:extLst>
        </xdr:cNvPr>
        <xdr:cNvSpPr/>
      </xdr:nvSpPr>
      <xdr:spPr>
        <a:xfrm>
          <a:off x="22132637" y="180109"/>
          <a:ext cx="1857615" cy="313765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latin typeface="Abadi" panose="020B0604020104020204" pitchFamily="34" charset="0"/>
            </a:rPr>
            <a:t>Malaysia Grind</a:t>
          </a:r>
        </a:p>
        <a:p>
          <a:pPr algn="ctr"/>
          <a:endParaRPr lang="en-NL" sz="1200">
            <a:latin typeface="Abadi" panose="020B0604020104020204" pitchFamily="34" charset="0"/>
          </a:endParaRPr>
        </a:p>
      </xdr:txBody>
    </xdr:sp>
    <xdr:clientData/>
  </xdr:twoCellAnchor>
  <xdr:twoCellAnchor>
    <xdr:from>
      <xdr:col>29</xdr:col>
      <xdr:colOff>200891</xdr:colOff>
      <xdr:row>0</xdr:row>
      <xdr:rowOff>207818</xdr:rowOff>
    </xdr:from>
    <xdr:to>
      <xdr:col>31</xdr:col>
      <xdr:colOff>659197</xdr:colOff>
      <xdr:row>0</xdr:row>
      <xdr:rowOff>521583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3D08FCD-6A7D-468F-B239-5984F29E5C0B}"/>
            </a:ext>
          </a:extLst>
        </xdr:cNvPr>
        <xdr:cNvSpPr/>
      </xdr:nvSpPr>
      <xdr:spPr>
        <a:xfrm>
          <a:off x="19590327" y="207818"/>
          <a:ext cx="1857615" cy="313765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latin typeface="Abadi" panose="020B0604020104020204" pitchFamily="34" charset="0"/>
            </a:rPr>
            <a:t>Based</a:t>
          </a:r>
          <a:r>
            <a:rPr lang="en-GB" sz="1200" baseline="0">
              <a:latin typeface="Abadi" panose="020B0604020104020204" pitchFamily="34" charset="0"/>
            </a:rPr>
            <a:t> on Exports</a:t>
          </a:r>
          <a:endParaRPr lang="en-NL" sz="1200">
            <a:latin typeface="Abadi" panose="020B0604020104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667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649340</xdr:colOff>
      <xdr:row>4</xdr:row>
      <xdr:rowOff>26811</xdr:rowOff>
    </xdr:from>
    <xdr:to>
      <xdr:col>14</xdr:col>
      <xdr:colOff>442591</xdr:colOff>
      <xdr:row>23</xdr:row>
      <xdr:rowOff>106372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349909</xdr:colOff>
      <xdr:row>24</xdr:row>
      <xdr:rowOff>58785</xdr:rowOff>
    </xdr:from>
    <xdr:to>
      <xdr:col>14</xdr:col>
      <xdr:colOff>328463</xdr:colOff>
      <xdr:row>41</xdr:row>
      <xdr:rowOff>110836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143740</xdr:colOff>
      <xdr:row>29</xdr:row>
      <xdr:rowOff>158264</xdr:rowOff>
    </xdr:from>
    <xdr:to>
      <xdr:col>45</xdr:col>
      <xdr:colOff>398143</xdr:colOff>
      <xdr:row>46</xdr:row>
      <xdr:rowOff>1045973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477403</xdr:colOff>
      <xdr:row>3</xdr:row>
      <xdr:rowOff>163369</xdr:rowOff>
    </xdr:from>
    <xdr:to>
      <xdr:col>34</xdr:col>
      <xdr:colOff>256309</xdr:colOff>
      <xdr:row>19</xdr:row>
      <xdr:rowOff>89092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142064</xdr:colOff>
      <xdr:row>21</xdr:row>
      <xdr:rowOff>59353</xdr:rowOff>
    </xdr:from>
    <xdr:to>
      <xdr:col>33</xdr:col>
      <xdr:colOff>413164</xdr:colOff>
      <xdr:row>42</xdr:row>
      <xdr:rowOff>82635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390203</xdr:colOff>
      <xdr:row>0</xdr:row>
      <xdr:rowOff>118695</xdr:rowOff>
    </xdr:from>
    <xdr:to>
      <xdr:col>39</xdr:col>
      <xdr:colOff>262513</xdr:colOff>
      <xdr:row>0</xdr:row>
      <xdr:rowOff>607739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476344-3D76-037E-1C70-AC263140F3A0}"/>
            </a:ext>
          </a:extLst>
        </xdr:cNvPr>
        <xdr:cNvSpPr/>
      </xdr:nvSpPr>
      <xdr:spPr>
        <a:xfrm>
          <a:off x="22793003" y="118695"/>
          <a:ext cx="2532383" cy="48904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nl-NL" sz="1800" kern="1200"/>
            <a:t>Gepex Monthly Grind</a:t>
          </a:r>
        </a:p>
      </xdr:txBody>
    </xdr:sp>
    <xdr:clientData/>
  </xdr:twoCellAnchor>
  <xdr:twoCellAnchor editAs="oneCell">
    <xdr:from>
      <xdr:col>5</xdr:col>
      <xdr:colOff>500727</xdr:colOff>
      <xdr:row>92</xdr:row>
      <xdr:rowOff>122210</xdr:rowOff>
    </xdr:from>
    <xdr:to>
      <xdr:col>22</xdr:col>
      <xdr:colOff>489620</xdr:colOff>
      <xdr:row>100</xdr:row>
      <xdr:rowOff>147083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975931-EA78-4B42-B607-BDC5116ED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22800" y="19511646"/>
          <a:ext cx="11827602" cy="1465745"/>
        </a:xfrm>
        <a:prstGeom prst="rect">
          <a:avLst/>
        </a:prstGeom>
      </xdr:spPr>
    </xdr:pic>
    <xdr:clientData/>
  </xdr:twoCellAnchor>
  <xdr:twoCellAnchor>
    <xdr:from>
      <xdr:col>5</xdr:col>
      <xdr:colOff>252844</xdr:colOff>
      <xdr:row>53</xdr:row>
      <xdr:rowOff>24246</xdr:rowOff>
    </xdr:from>
    <xdr:to>
      <xdr:col>13</xdr:col>
      <xdr:colOff>574963</xdr:colOff>
      <xdr:row>72</xdr:row>
      <xdr:rowOff>159327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ED95F0A-220B-7D9F-4647-ECAFF09AD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667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32497</xdr:rowOff>
    </xdr:from>
    <xdr:to>
      <xdr:col>14</xdr:col>
      <xdr:colOff>313765</xdr:colOff>
      <xdr:row>23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134469</xdr:rowOff>
    </xdr:from>
    <xdr:to>
      <xdr:col>14</xdr:col>
      <xdr:colOff>268941</xdr:colOff>
      <xdr:row>41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476249</xdr:colOff>
      <xdr:row>17</xdr:row>
      <xdr:rowOff>192901</xdr:rowOff>
    </xdr:from>
    <xdr:to>
      <xdr:col>45</xdr:col>
      <xdr:colOff>65634</xdr:colOff>
      <xdr:row>38</xdr:row>
      <xdr:rowOff>159283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509155</xdr:colOff>
      <xdr:row>3</xdr:row>
      <xdr:rowOff>77481</xdr:rowOff>
    </xdr:from>
    <xdr:to>
      <xdr:col>34</xdr:col>
      <xdr:colOff>203208</xdr:colOff>
      <xdr:row>19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23751</xdr:colOff>
      <xdr:row>20</xdr:row>
      <xdr:rowOff>128155</xdr:rowOff>
    </xdr:from>
    <xdr:to>
      <xdr:col>34</xdr:col>
      <xdr:colOff>630382</xdr:colOff>
      <xdr:row>42</xdr:row>
      <xdr:rowOff>55418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108858</xdr:colOff>
      <xdr:row>0</xdr:row>
      <xdr:rowOff>195943</xdr:rowOff>
    </xdr:from>
    <xdr:to>
      <xdr:col>27</xdr:col>
      <xdr:colOff>38100</xdr:colOff>
      <xdr:row>0</xdr:row>
      <xdr:rowOff>511629</xdr:rowOff>
    </xdr:to>
    <xdr:sp macro="" textlink="">
      <xdr:nvSpPr>
        <xdr:cNvPr id="5" name="Rectangle: Rounded Corner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348776-1271-7A69-0330-B8CC16C9BFB4}"/>
            </a:ext>
          </a:extLst>
        </xdr:cNvPr>
        <xdr:cNvSpPr/>
      </xdr:nvSpPr>
      <xdr:spPr>
        <a:xfrm>
          <a:off x="14075229" y="195943"/>
          <a:ext cx="1752600" cy="31568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Source</a:t>
          </a:r>
        </a:p>
        <a:p>
          <a:pPr algn="ctr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14DB7-3A97-45DA-BD85-1AE8DBACBB23}"/>
            </a:ext>
          </a:extLst>
        </xdr:cNvPr>
        <xdr:cNvSpPr/>
      </xdr:nvSpPr>
      <xdr:spPr>
        <a:xfrm>
          <a:off x="619125" y="190500"/>
          <a:ext cx="106299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32497</xdr:rowOff>
    </xdr:from>
    <xdr:to>
      <xdr:col>14</xdr:col>
      <xdr:colOff>313765</xdr:colOff>
      <xdr:row>23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E332D-F6DD-412A-9399-281945229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134469</xdr:rowOff>
    </xdr:from>
    <xdr:to>
      <xdr:col>14</xdr:col>
      <xdr:colOff>268941</xdr:colOff>
      <xdr:row>41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7D4DB2-F284-4DD4-B95D-93FD8B8C0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449518</xdr:colOff>
      <xdr:row>3</xdr:row>
      <xdr:rowOff>31960</xdr:rowOff>
    </xdr:from>
    <xdr:to>
      <xdr:col>35</xdr:col>
      <xdr:colOff>164061</xdr:colOff>
      <xdr:row>18</xdr:row>
      <xdr:rowOff>87989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0AA1ED-6C5A-47F5-A56E-89AC9C41C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76791</xdr:colOff>
      <xdr:row>20</xdr:row>
      <xdr:rowOff>61023</xdr:rowOff>
    </xdr:from>
    <xdr:to>
      <xdr:col>33</xdr:col>
      <xdr:colOff>256308</xdr:colOff>
      <xdr:row>42</xdr:row>
      <xdr:rowOff>138542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3C05CD-03F7-42A7-8FAF-48218AF47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347383</xdr:colOff>
      <xdr:row>0</xdr:row>
      <xdr:rowOff>179294</xdr:rowOff>
    </xdr:from>
    <xdr:to>
      <xdr:col>34</xdr:col>
      <xdr:colOff>212912</xdr:colOff>
      <xdr:row>0</xdr:row>
      <xdr:rowOff>493059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636F805-7D49-4EC3-BD9A-B310F0B8C26B}"/>
            </a:ext>
          </a:extLst>
        </xdr:cNvPr>
        <xdr:cNvSpPr/>
      </xdr:nvSpPr>
      <xdr:spPr>
        <a:xfrm>
          <a:off x="18738253" y="179294"/>
          <a:ext cx="1854349" cy="313765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latin typeface="Abadi" panose="020B0604020104020204" pitchFamily="34" charset="0"/>
            </a:rPr>
            <a:t>Germany Grindings</a:t>
          </a:r>
          <a:endParaRPr lang="en-NL" sz="1200">
            <a:latin typeface="Abadi" panose="020B0604020104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297179</xdr:colOff>
      <xdr:row>22</xdr:row>
      <xdr:rowOff>107579</xdr:rowOff>
    </xdr:from>
    <xdr:to>
      <xdr:col>17</xdr:col>
      <xdr:colOff>261257</xdr:colOff>
      <xdr:row>42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D92EA-54D1-46A3-B73C-8077D16D9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198120</xdr:colOff>
      <xdr:row>1</xdr:row>
      <xdr:rowOff>11430</xdr:rowOff>
    </xdr:from>
    <xdr:to>
      <xdr:col>1</xdr:col>
      <xdr:colOff>262890</xdr:colOff>
      <xdr:row>3</xdr:row>
      <xdr:rowOff>68580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3260AB-55C6-9298-1F74-7A7B6F442A6D}"/>
            </a:ext>
          </a:extLst>
        </xdr:cNvPr>
        <xdr:cNvSpPr/>
      </xdr:nvSpPr>
      <xdr:spPr>
        <a:xfrm>
          <a:off x="198120" y="156210"/>
          <a:ext cx="727710" cy="346710"/>
        </a:xfrm>
        <a:prstGeom prst="lef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313766</xdr:colOff>
      <xdr:row>2</xdr:row>
      <xdr:rowOff>13446</xdr:rowOff>
    </xdr:from>
    <xdr:to>
      <xdr:col>27</xdr:col>
      <xdr:colOff>403412</xdr:colOff>
      <xdr:row>42</xdr:row>
      <xdr:rowOff>40341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1F1747-C126-796E-2016-A6936603F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501704</xdr:colOff>
      <xdr:row>53</xdr:row>
      <xdr:rowOff>4032</xdr:rowOff>
    </xdr:from>
    <xdr:to>
      <xdr:col>19</xdr:col>
      <xdr:colOff>578144</xdr:colOff>
      <xdr:row>80</xdr:row>
      <xdr:rowOff>34899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4424B0-CF9A-E5E9-FD34-0DE85153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4090" y="7177718"/>
          <a:ext cx="9226843" cy="3557838"/>
        </a:xfrm>
        <a:prstGeom prst="rect">
          <a:avLst/>
        </a:prstGeom>
      </xdr:spPr>
    </xdr:pic>
    <xdr:clientData/>
  </xdr:twoCellAnchor>
  <xdr:twoCellAnchor>
    <xdr:from>
      <xdr:col>10</xdr:col>
      <xdr:colOff>405653</xdr:colOff>
      <xdr:row>2</xdr:row>
      <xdr:rowOff>11206</xdr:rowOff>
    </xdr:from>
    <xdr:to>
      <xdr:col>17</xdr:col>
      <xdr:colOff>51547</xdr:colOff>
      <xdr:row>22</xdr:row>
      <xdr:rowOff>20171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A622F4-C8C1-38A6-4A0A-2BE0C6DDD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82922</xdr:colOff>
      <xdr:row>53</xdr:row>
      <xdr:rowOff>51548</xdr:rowOff>
    </xdr:from>
    <xdr:to>
      <xdr:col>34</xdr:col>
      <xdr:colOff>394447</xdr:colOff>
      <xdr:row>91</xdr:row>
      <xdr:rowOff>76201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7567E4-58A0-B284-C890-DB4123663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483870</xdr:colOff>
      <xdr:row>53</xdr:row>
      <xdr:rowOff>40004</xdr:rowOff>
    </xdr:from>
    <xdr:to>
      <xdr:col>18</xdr:col>
      <xdr:colOff>95250</xdr:colOff>
      <xdr:row>71</xdr:row>
      <xdr:rowOff>167639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3AC4D-4919-45D8-9D52-45CA2D377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19FCF2-1629-486D-8189-27E2C41FEA29}"/>
            </a:ext>
          </a:extLst>
        </xdr:cNvPr>
        <xdr:cNvSpPr/>
      </xdr:nvSpPr>
      <xdr:spPr>
        <a:xfrm>
          <a:off x="920115" y="190500"/>
          <a:ext cx="88773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4</xdr:col>
      <xdr:colOff>58810</xdr:colOff>
      <xdr:row>4</xdr:row>
      <xdr:rowOff>32497</xdr:rowOff>
    </xdr:from>
    <xdr:to>
      <xdr:col>14</xdr:col>
      <xdr:colOff>200891</xdr:colOff>
      <xdr:row>23</xdr:row>
      <xdr:rowOff>103909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9D54E-6245-40B4-BCFA-E5DA6C895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110835</xdr:colOff>
      <xdr:row>24</xdr:row>
      <xdr:rowOff>76200</xdr:rowOff>
    </xdr:from>
    <xdr:to>
      <xdr:col>14</xdr:col>
      <xdr:colOff>297872</xdr:colOff>
      <xdr:row>42</xdr:row>
      <xdr:rowOff>117764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17D8E5-BA49-4285-B813-72D443845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266700</xdr:colOff>
      <xdr:row>3</xdr:row>
      <xdr:rowOff>77481</xdr:rowOff>
    </xdr:from>
    <xdr:to>
      <xdr:col>34</xdr:col>
      <xdr:colOff>180109</xdr:colOff>
      <xdr:row>19</xdr:row>
      <xdr:rowOff>92529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9EF011-63FC-433B-99DB-2A540E914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292925</xdr:colOff>
      <xdr:row>21</xdr:row>
      <xdr:rowOff>39583</xdr:rowOff>
    </xdr:from>
    <xdr:to>
      <xdr:col>35</xdr:col>
      <xdr:colOff>221673</xdr:colOff>
      <xdr:row>41</xdr:row>
      <xdr:rowOff>124690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8979AF-070C-420D-AA5A-70BCBE0A6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88C577-383D-4944-9BB5-7967D1BEDD46}"/>
            </a:ext>
          </a:extLst>
        </xdr:cNvPr>
        <xdr:cNvSpPr/>
      </xdr:nvSpPr>
      <xdr:spPr>
        <a:xfrm>
          <a:off x="920115" y="190500"/>
          <a:ext cx="88773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4</xdr:col>
      <xdr:colOff>58810</xdr:colOff>
      <xdr:row>4</xdr:row>
      <xdr:rowOff>32497</xdr:rowOff>
    </xdr:from>
    <xdr:to>
      <xdr:col>14</xdr:col>
      <xdr:colOff>200891</xdr:colOff>
      <xdr:row>23</xdr:row>
      <xdr:rowOff>103909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00A848-29EC-4CD5-B54D-765283C3E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110835</xdr:colOff>
      <xdr:row>24</xdr:row>
      <xdr:rowOff>76200</xdr:rowOff>
    </xdr:from>
    <xdr:to>
      <xdr:col>14</xdr:col>
      <xdr:colOff>297872</xdr:colOff>
      <xdr:row>42</xdr:row>
      <xdr:rowOff>117764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AD2BD-6546-4424-8AE2-3131FB7C0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266700</xdr:colOff>
      <xdr:row>3</xdr:row>
      <xdr:rowOff>77481</xdr:rowOff>
    </xdr:from>
    <xdr:to>
      <xdr:col>34</xdr:col>
      <xdr:colOff>180109</xdr:colOff>
      <xdr:row>19</xdr:row>
      <xdr:rowOff>92529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50CA57-9EF3-4CA4-B738-CB6FCDB8A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576941</xdr:colOff>
      <xdr:row>21</xdr:row>
      <xdr:rowOff>95000</xdr:rowOff>
    </xdr:from>
    <xdr:to>
      <xdr:col>34</xdr:col>
      <xdr:colOff>616528</xdr:colOff>
      <xdr:row>43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9C3695-FD76-4655-AC4B-43F56FE48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546623</xdr:colOff>
      <xdr:row>54</xdr:row>
      <xdr:rowOff>156545</xdr:rowOff>
    </xdr:from>
    <xdr:to>
      <xdr:col>19</xdr:col>
      <xdr:colOff>158002</xdr:colOff>
      <xdr:row>73</xdr:row>
      <xdr:rowOff>100403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F5EB3-E048-426D-BD56-F612533D5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4763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6</xdr:col>
      <xdr:colOff>531719</xdr:colOff>
      <xdr:row>3</xdr:row>
      <xdr:rowOff>189380</xdr:rowOff>
    </xdr:from>
    <xdr:to>
      <xdr:col>17</xdr:col>
      <xdr:colOff>324970</xdr:colOff>
      <xdr:row>23</xdr:row>
      <xdr:rowOff>78441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457761</xdr:colOff>
      <xdr:row>24</xdr:row>
      <xdr:rowOff>134469</xdr:rowOff>
    </xdr:from>
    <xdr:to>
      <xdr:col>17</xdr:col>
      <xdr:colOff>268941</xdr:colOff>
      <xdr:row>41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607868</xdr:colOff>
      <xdr:row>49</xdr:row>
      <xdr:rowOff>130555</xdr:rowOff>
    </xdr:from>
    <xdr:to>
      <xdr:col>38</xdr:col>
      <xdr:colOff>24071</xdr:colOff>
      <xdr:row>70</xdr:row>
      <xdr:rowOff>138500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332509</xdr:colOff>
      <xdr:row>3</xdr:row>
      <xdr:rowOff>10190</xdr:rowOff>
    </xdr:from>
    <xdr:to>
      <xdr:col>38</xdr:col>
      <xdr:colOff>77031</xdr:colOff>
      <xdr:row>18</xdr:row>
      <xdr:rowOff>59291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644625</xdr:colOff>
      <xdr:row>21</xdr:row>
      <xdr:rowOff>84746</xdr:rowOff>
    </xdr:from>
    <xdr:to>
      <xdr:col>36</xdr:col>
      <xdr:colOff>546675</xdr:colOff>
      <xdr:row>41</xdr:row>
      <xdr:rowOff>146481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9AF49-D450-488E-A4AB-F1147CB35EC6}"/>
            </a:ext>
          </a:extLst>
        </xdr:cNvPr>
        <xdr:cNvSpPr/>
      </xdr:nvSpPr>
      <xdr:spPr>
        <a:xfrm>
          <a:off x="920115" y="190500"/>
          <a:ext cx="88773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4</xdr:col>
      <xdr:colOff>58810</xdr:colOff>
      <xdr:row>4</xdr:row>
      <xdr:rowOff>32497</xdr:rowOff>
    </xdr:from>
    <xdr:to>
      <xdr:col>14</xdr:col>
      <xdr:colOff>200891</xdr:colOff>
      <xdr:row>23</xdr:row>
      <xdr:rowOff>103909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2FA60-78B9-492A-90E0-0387AC9E7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110835</xdr:colOff>
      <xdr:row>24</xdr:row>
      <xdr:rowOff>76200</xdr:rowOff>
    </xdr:from>
    <xdr:to>
      <xdr:col>14</xdr:col>
      <xdr:colOff>297872</xdr:colOff>
      <xdr:row>42</xdr:row>
      <xdr:rowOff>117764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0EF5C8-C1D4-46EA-B365-7B9D69B28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266700</xdr:colOff>
      <xdr:row>3</xdr:row>
      <xdr:rowOff>77481</xdr:rowOff>
    </xdr:from>
    <xdr:to>
      <xdr:col>33</xdr:col>
      <xdr:colOff>180109</xdr:colOff>
      <xdr:row>19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DA82B1-8264-41B4-8889-E2EEC61FC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777834</xdr:colOff>
      <xdr:row>21</xdr:row>
      <xdr:rowOff>39584</xdr:rowOff>
    </xdr:from>
    <xdr:to>
      <xdr:col>33</xdr:col>
      <xdr:colOff>609600</xdr:colOff>
      <xdr:row>42</xdr:row>
      <xdr:rowOff>124691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05B654-9616-44EC-BE77-F196585C6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866775" y="190500"/>
          <a:ext cx="742950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32497</xdr:rowOff>
    </xdr:from>
    <xdr:to>
      <xdr:col>14</xdr:col>
      <xdr:colOff>313765</xdr:colOff>
      <xdr:row>23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134469</xdr:rowOff>
    </xdr:from>
    <xdr:to>
      <xdr:col>14</xdr:col>
      <xdr:colOff>268941</xdr:colOff>
      <xdr:row>41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476249</xdr:colOff>
      <xdr:row>17</xdr:row>
      <xdr:rowOff>192901</xdr:rowOff>
    </xdr:from>
    <xdr:to>
      <xdr:col>42</xdr:col>
      <xdr:colOff>65634</xdr:colOff>
      <xdr:row>38</xdr:row>
      <xdr:rowOff>159283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11207</xdr:colOff>
      <xdr:row>3</xdr:row>
      <xdr:rowOff>44824</xdr:rowOff>
    </xdr:from>
    <xdr:to>
      <xdr:col>32</xdr:col>
      <xdr:colOff>375399</xdr:colOff>
      <xdr:row>18</xdr:row>
      <xdr:rowOff>100853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448235</xdr:colOff>
      <xdr:row>21</xdr:row>
      <xdr:rowOff>56029</xdr:rowOff>
    </xdr:from>
    <xdr:to>
      <xdr:col>33</xdr:col>
      <xdr:colOff>11206</xdr:colOff>
      <xdr:row>39</xdr:row>
      <xdr:rowOff>156883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190500</xdr:rowOff>
    </xdr:from>
    <xdr:to>
      <xdr:col>2</xdr:col>
      <xdr:colOff>390525</xdr:colOff>
      <xdr:row>0</xdr:row>
      <xdr:rowOff>542925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BEDA6-E1BE-430B-911B-98136E75B4EF}"/>
            </a:ext>
          </a:extLst>
        </xdr:cNvPr>
        <xdr:cNvSpPr/>
      </xdr:nvSpPr>
      <xdr:spPr>
        <a:xfrm>
          <a:off x="866775" y="190500"/>
          <a:ext cx="828675" cy="35242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3</xdr:col>
      <xdr:colOff>520514</xdr:colOff>
      <xdr:row>4</xdr:row>
      <xdr:rowOff>32497</xdr:rowOff>
    </xdr:from>
    <xdr:to>
      <xdr:col>14</xdr:col>
      <xdr:colOff>313765</xdr:colOff>
      <xdr:row>23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867C7-61C5-4172-AB16-BF3D04267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457761</xdr:colOff>
      <xdr:row>24</xdr:row>
      <xdr:rowOff>134469</xdr:rowOff>
    </xdr:from>
    <xdr:to>
      <xdr:col>14</xdr:col>
      <xdr:colOff>268941</xdr:colOff>
      <xdr:row>41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6D7E4-C692-463F-84A8-B8D831F46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476249</xdr:colOff>
      <xdr:row>17</xdr:row>
      <xdr:rowOff>192901</xdr:rowOff>
    </xdr:from>
    <xdr:to>
      <xdr:col>42</xdr:col>
      <xdr:colOff>65634</xdr:colOff>
      <xdr:row>38</xdr:row>
      <xdr:rowOff>159283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CFC6DE-84D1-443E-BA6D-A5553F63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11207</xdr:colOff>
      <xdr:row>3</xdr:row>
      <xdr:rowOff>44824</xdr:rowOff>
    </xdr:from>
    <xdr:to>
      <xdr:col>32</xdr:col>
      <xdr:colOff>375399</xdr:colOff>
      <xdr:row>18</xdr:row>
      <xdr:rowOff>100853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3D0869-F24A-4EB4-B11A-7F385497C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179294</xdr:colOff>
      <xdr:row>21</xdr:row>
      <xdr:rowOff>22413</xdr:rowOff>
    </xdr:from>
    <xdr:to>
      <xdr:col>32</xdr:col>
      <xdr:colOff>347382</xdr:colOff>
      <xdr:row>39</xdr:row>
      <xdr:rowOff>123267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675A77-EF6D-41F9-8D2D-F8C04DF03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1.%20Netherlands/3.%20Daily%20basis%20Cecafe%20update/mannual%20Collector/Brasil%20Coffee%20Exports%20Cecafe.xlsx" TargetMode="External"/><Relationship Id="rId1" Type="http://schemas.openxmlformats.org/officeDocument/2006/relationships/externalLinkPath" Target="/11.%20Netherlands/3.%20Daily%20basis%20Cecafe%20update/mannual%20Collector/Brasil%20Coffee%20Exports%20Cecaf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asil Volumes Cecafe Calendar"/>
      <sheetName val="Brasil Exports Cecafe Crop"/>
      <sheetName val="Charts Brasil Crop Year"/>
      <sheetName val="Cumulative Brazil exports"/>
      <sheetName val="Charts Brasil Volumes Calendar"/>
      <sheetName val="RECEITA CAMBIAL (US$ MIL)"/>
      <sheetName val="PREÇO MÉDIO (US$ - SACA)"/>
      <sheetName val="Despacho x Embarque-AGO 2021"/>
    </sheetNames>
    <sheetDataSet>
      <sheetData sheetId="0">
        <row r="5">
          <cell r="I5">
            <v>265744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Virat Arya" refreshedDate="46037.47707685185" createdVersion="8" refreshedVersion="8" minRefreshableVersion="3" recordCount="64" xr:uid="{61E92C47-3228-4238-93DE-8C71338D679C}">
  <cacheSource type="worksheet">
    <worksheetSource ref="F3:K67" sheet="History Maker" r:id="rId1"/>
  </cacheSource>
  <cacheFields count="6">
    <cacheField name="Quarter" numFmtId="0">
      <sharedItems/>
    </cacheField>
    <cacheField name="Crop Year" numFmtId="0">
      <sharedItems/>
    </cacheField>
    <cacheField name="Name" numFmtId="0">
      <sharedItems/>
    </cacheField>
    <cacheField name="Grind" numFmtId="0">
      <sharedItems containsSemiMixedTypes="0" containsString="0" containsNumber="1" containsInteger="1" minValue="257570" maxValue="378042"/>
    </cacheField>
    <cacheField name="Rows" numFmtId="0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Column" numFmtId="0">
      <sharedItems containsSemiMixedTypes="0" containsString="0" containsNumber="1" containsInteger="1" minValue="1" maxValue="4" count="4">
        <n v="1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3F461-C47A-453A-A8D1-088311BD59CB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P4:T21" firstHeaderRow="1" firstDataRow="2" firstDataCol="1"/>
  <pivotFields count="6">
    <pivotField showAll="0"/>
    <pivotField showAll="0"/>
    <pivotField showAll="0"/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Sum of Grind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07F1-3AFD-4E3D-8227-BA5CE630F176}">
  <sheetPr codeName="Sheet3"/>
  <dimension ref="C1:T28"/>
  <sheetViews>
    <sheetView zoomScale="70" zoomScaleNormal="70" workbookViewId="0">
      <selection activeCell="G8" sqref="G8:I8"/>
    </sheetView>
  </sheetViews>
  <sheetFormatPr defaultColWidth="9.15625" defaultRowHeight="15.3" x14ac:dyDescent="0.6"/>
  <cols>
    <col min="1" max="7" width="9.15625" style="4"/>
    <col min="8" max="8" width="12.15625" style="4" customWidth="1"/>
    <col min="9" max="9" width="11.7890625" style="4" customWidth="1"/>
    <col min="10" max="10" width="13.3671875" style="4" customWidth="1"/>
    <col min="11" max="11" width="21.41796875" style="4" customWidth="1"/>
    <col min="12" max="16384" width="9.15625" style="4"/>
  </cols>
  <sheetData>
    <row r="1" spans="3:20" s="1" customFormat="1" ht="76.5" customHeight="1" x14ac:dyDescent="0.55000000000000004">
      <c r="C1" s="154" t="s">
        <v>0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3:20" s="2" customFormat="1" ht="5.25" customHeight="1" x14ac:dyDescent="0.6"/>
    <row r="4" spans="3:20" s="3" customFormat="1" ht="43.5" customHeight="1" x14ac:dyDescent="0.55000000000000004"/>
    <row r="5" spans="3:20" s="3" customFormat="1" ht="30" customHeight="1" x14ac:dyDescent="0.55000000000000004">
      <c r="G5" s="155" t="s">
        <v>1</v>
      </c>
      <c r="H5" s="155"/>
      <c r="I5" s="155"/>
      <c r="L5" s="152" t="s">
        <v>183</v>
      </c>
      <c r="M5" s="152"/>
      <c r="N5" s="152"/>
      <c r="O5" s="152"/>
      <c r="Q5" s="152" t="s">
        <v>184</v>
      </c>
      <c r="R5" s="152"/>
      <c r="S5" s="152"/>
      <c r="T5" s="152"/>
    </row>
    <row r="6" spans="3:20" s="3" customFormat="1" ht="30" customHeight="1" x14ac:dyDescent="0.55000000000000004"/>
    <row r="7" spans="3:20" s="3" customFormat="1" ht="30" customHeight="1" x14ac:dyDescent="0.55000000000000004"/>
    <row r="8" spans="3:20" s="3" customFormat="1" ht="30" customHeight="1" x14ac:dyDescent="0.55000000000000004">
      <c r="G8" s="155" t="s">
        <v>2</v>
      </c>
      <c r="H8" s="155"/>
      <c r="I8" s="155"/>
    </row>
    <row r="9" spans="3:20" s="3" customFormat="1" ht="30" customHeight="1" x14ac:dyDescent="0.55000000000000004"/>
    <row r="10" spans="3:20" s="3" customFormat="1" ht="30" customHeight="1" x14ac:dyDescent="0.55000000000000004"/>
    <row r="11" spans="3:20" s="3" customFormat="1" ht="30" customHeight="1" x14ac:dyDescent="0.55000000000000004">
      <c r="G11" s="155" t="s">
        <v>3</v>
      </c>
      <c r="H11" s="155"/>
      <c r="I11" s="155"/>
      <c r="L11" s="152" t="s">
        <v>182</v>
      </c>
      <c r="M11" s="152"/>
      <c r="N11" s="152"/>
      <c r="O11" s="152"/>
      <c r="Q11" s="152" t="s">
        <v>185</v>
      </c>
      <c r="R11" s="152"/>
      <c r="S11" s="152"/>
      <c r="T11" s="152"/>
    </row>
    <row r="12" spans="3:20" s="3" customFormat="1" ht="30" customHeight="1" x14ac:dyDescent="0.55000000000000004"/>
    <row r="13" spans="3:20" s="3" customFormat="1" ht="30" customHeight="1" x14ac:dyDescent="0.55000000000000004"/>
    <row r="14" spans="3:20" s="3" customFormat="1" ht="30" customHeight="1" x14ac:dyDescent="0.55000000000000004">
      <c r="G14" s="153" t="s">
        <v>4</v>
      </c>
      <c r="H14" s="153"/>
      <c r="I14" s="153"/>
    </row>
    <row r="15" spans="3:20" s="3" customFormat="1" ht="30" customHeight="1" x14ac:dyDescent="0.55000000000000004"/>
    <row r="16" spans="3:20" s="3" customFormat="1" ht="30" customHeight="1" x14ac:dyDescent="0.55000000000000004"/>
    <row r="17" spans="7:11" s="3" customFormat="1" ht="30" customHeight="1" x14ac:dyDescent="0.55000000000000004">
      <c r="G17" s="153" t="s">
        <v>5</v>
      </c>
      <c r="H17" s="153"/>
      <c r="I17" s="153"/>
    </row>
    <row r="18" spans="7:11" s="3" customFormat="1" ht="30" customHeight="1" x14ac:dyDescent="0.55000000000000004"/>
    <row r="19" spans="7:11" s="3" customFormat="1" ht="30" customHeight="1" x14ac:dyDescent="0.55000000000000004"/>
    <row r="20" spans="7:11" s="3" customFormat="1" ht="30" customHeight="1" x14ac:dyDescent="0.55000000000000004">
      <c r="G20" s="151" t="s">
        <v>315</v>
      </c>
      <c r="H20" s="151"/>
      <c r="I20" s="151"/>
      <c r="J20" s="151"/>
      <c r="K20" s="151"/>
    </row>
    <row r="21" spans="7:11" s="3" customFormat="1" ht="30" customHeight="1" x14ac:dyDescent="0.55000000000000004">
      <c r="G21" s="126"/>
      <c r="H21" s="126" t="s">
        <v>302</v>
      </c>
      <c r="I21" s="126" t="s">
        <v>304</v>
      </c>
      <c r="J21" s="126" t="s">
        <v>303</v>
      </c>
      <c r="K21" s="123" t="s">
        <v>210</v>
      </c>
    </row>
    <row r="22" spans="7:11" s="3" customFormat="1" ht="30" customHeight="1" x14ac:dyDescent="0.55000000000000004">
      <c r="G22" s="127" t="s">
        <v>1</v>
      </c>
      <c r="H22" s="139">
        <f>ECA!S30</f>
        <v>-4.6406761473586466E-2</v>
      </c>
      <c r="I22" s="124">
        <f>ECA!S44</f>
        <v>-2.9239478973288935E-2</v>
      </c>
      <c r="J22" s="124">
        <f ca="1">ECA!Z16</f>
        <v>-4.3960457441546308E-2</v>
      </c>
      <c r="K22" s="125">
        <f>ECA!C45</f>
        <v>316366</v>
      </c>
    </row>
    <row r="23" spans="7:11" s="3" customFormat="1" ht="30" customHeight="1" x14ac:dyDescent="0.55000000000000004">
      <c r="G23" s="127" t="s">
        <v>2</v>
      </c>
      <c r="H23" s="139">
        <f>NCA!S29</f>
        <v>7.6513031954056787E-2</v>
      </c>
      <c r="I23" s="124">
        <f>NCA!S43</f>
        <v>3.3670478003902549E-2</v>
      </c>
      <c r="J23" s="124">
        <f ca="1">NCA!AA16</f>
        <v>1.2572085460965887E-2</v>
      </c>
      <c r="K23" s="125">
        <f>NCA!C45</f>
        <v>109659</v>
      </c>
    </row>
    <row r="24" spans="7:11" s="3" customFormat="1" ht="30" customHeight="1" x14ac:dyDescent="0.55000000000000004">
      <c r="G24" s="127" t="s">
        <v>3</v>
      </c>
      <c r="H24" s="139">
        <f>CAA!S29</f>
        <v>0.25068757028805577</v>
      </c>
      <c r="I24" s="124">
        <f>CAA!S43</f>
        <v>5.1140253150965265E-3</v>
      </c>
      <c r="J24" s="124">
        <f ca="1">CAA!AA16</f>
        <v>0.12685225783788079</v>
      </c>
      <c r="K24" s="125">
        <f>CAA!C45</f>
        <v>224646</v>
      </c>
    </row>
    <row r="25" spans="7:11" s="3" customFormat="1" ht="30" customHeight="1" x14ac:dyDescent="0.55000000000000004">
      <c r="G25" s="127" t="s">
        <v>65</v>
      </c>
      <c r="H25" s="139">
        <f>IVC!S29</f>
        <v>0.23530500414396882</v>
      </c>
      <c r="I25" s="124">
        <f>IVC!S43</f>
        <v>-9.2741101452016084E-2</v>
      </c>
      <c r="J25" s="124">
        <f ca="1">IVC!AA16</f>
        <v>9.796023165891854E-2</v>
      </c>
      <c r="K25" s="125">
        <f>IVC!C45</f>
        <v>153520</v>
      </c>
    </row>
    <row r="26" spans="7:11" s="3" customFormat="1" ht="30" customHeight="1" x14ac:dyDescent="0.55000000000000004">
      <c r="G26" s="127" t="s">
        <v>66</v>
      </c>
      <c r="H26" s="139">
        <f>BR!S29</f>
        <v>8.6147699606716976E-2</v>
      </c>
      <c r="I26" s="124">
        <f>BR!S43</f>
        <v>-3.8746984401760609E-2</v>
      </c>
      <c r="J26" s="124">
        <f ca="1">BR!AA16</f>
        <v>-2.6982408824009596E-2</v>
      </c>
      <c r="K26" s="125">
        <f>BR!C45</f>
        <v>52197</v>
      </c>
    </row>
    <row r="27" spans="7:11" s="3" customFormat="1" ht="30" customHeight="1" x14ac:dyDescent="0.55000000000000004">
      <c r="G27" s="128" t="s">
        <v>62</v>
      </c>
      <c r="H27" s="129">
        <f>TOTAL!X29</f>
        <v>8.6677858438050093E-2</v>
      </c>
      <c r="I27" s="129">
        <f>TOTAL!X43</f>
        <v>-2.5723578752649301E-2</v>
      </c>
      <c r="J27" s="129">
        <f ca="1">TOTAL!AF16</f>
        <v>-1.0549404677930863E-2</v>
      </c>
      <c r="K27" s="130">
        <f>TOTAL!C45</f>
        <v>856388</v>
      </c>
    </row>
    <row r="28" spans="7:11" x14ac:dyDescent="0.6">
      <c r="G28" s="122"/>
      <c r="H28" s="122"/>
      <c r="I28" s="122"/>
      <c r="J28" s="122"/>
    </row>
  </sheetData>
  <mergeCells count="11">
    <mergeCell ref="G20:K20"/>
    <mergeCell ref="Q5:T5"/>
    <mergeCell ref="Q11:T11"/>
    <mergeCell ref="G17:I17"/>
    <mergeCell ref="C1:M1"/>
    <mergeCell ref="G5:I5"/>
    <mergeCell ref="G8:I8"/>
    <mergeCell ref="G11:I11"/>
    <mergeCell ref="G14:I14"/>
    <mergeCell ref="L5:O5"/>
    <mergeCell ref="L11:O11"/>
  </mergeCells>
  <hyperlinks>
    <hyperlink ref="G5:I5" location="ECA!A1" display="ECA" xr:uid="{C3F8D19B-94C6-4782-92F4-F7A3497348E4}"/>
    <hyperlink ref="G8:I8" location="NCA!A1" display="NCA" xr:uid="{D108986B-A837-4568-A092-DA4D193DFB98}"/>
    <hyperlink ref="G11:I11" location="CAA!A1" display="CAA" xr:uid="{93B0A8A7-E7AE-4F7A-908C-87B3C9153699}"/>
    <hyperlink ref="G14:I14" location="IVC!A1" display="Ivory Coast" xr:uid="{767A19C9-5603-4738-B60A-F4E85F72C9A1}"/>
    <hyperlink ref="G17:I17" location="BR!A1" display="Brazil" xr:uid="{C366C33E-9C95-4C29-8915-52613AC8BAB6}"/>
    <hyperlink ref="L5:O5" location="'ECA non german'!A1" display="Non German European" xr:uid="{1E0F8637-337B-4F28-AEDE-E45F3ADEE97C}"/>
    <hyperlink ref="L11:O11" location="'CAA Non Malaysian Grind'!A1" display="Non Malaysian Asian" xr:uid="{84090632-6199-4AD3-8E1A-7B7BC857D1E8}"/>
    <hyperlink ref="Q5:T5" location="German!A1" display="Germany Grind" xr:uid="{F84784BE-D51A-470F-8632-B5257728C57C}"/>
    <hyperlink ref="Q11:T11" location="Malaysia!A1" display="Malaysian Grind" xr:uid="{DBC03B1F-A59A-4D76-98A9-B38203787FF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8899-2FB5-4780-A4A5-CB61EBBD04C3}">
  <sheetPr codeName="Sheet11"/>
  <dimension ref="A1:AM145"/>
  <sheetViews>
    <sheetView showGridLines="0" topLeftCell="B1" zoomScale="55" zoomScaleNormal="55" workbookViewId="0">
      <selection sqref="A1:AL1"/>
    </sheetView>
  </sheetViews>
  <sheetFormatPr defaultColWidth="9.15625" defaultRowHeight="14.4" x14ac:dyDescent="0.55000000000000004"/>
  <cols>
    <col min="1" max="1" width="9.15625" style="29" hidden="1" customWidth="1"/>
    <col min="2" max="2" width="9.68359375" style="29" bestFit="1" customWidth="1"/>
    <col min="3" max="3" width="13.578125" style="29" bestFit="1" customWidth="1"/>
    <col min="4" max="4" width="9.5234375" style="29" customWidth="1"/>
    <col min="5" max="5" width="10.1015625" style="29" customWidth="1"/>
    <col min="6" max="6" width="11.15625" style="29" bestFit="1" customWidth="1"/>
    <col min="7" max="7" width="13" style="29" bestFit="1" customWidth="1"/>
    <col min="8" max="8" width="11.3125" style="29" customWidth="1"/>
    <col min="9" max="9" width="15.3671875" style="29" customWidth="1"/>
    <col min="10" max="11" width="9.15625" style="29" customWidth="1"/>
    <col min="12" max="12" width="5.578125" style="29" customWidth="1"/>
    <col min="13" max="19" width="9.15625" style="29"/>
    <col min="20" max="20" width="3.578125" style="29" customWidth="1"/>
    <col min="21" max="21" width="9.15625" style="29"/>
    <col min="22" max="23" width="11.41796875" style="29" bestFit="1" customWidth="1"/>
    <col min="24" max="24" width="12.26171875" style="29" customWidth="1"/>
    <col min="25" max="25" width="11.41796875" style="29" bestFit="1" customWidth="1"/>
    <col min="26" max="26" width="11.41796875" style="29" customWidth="1"/>
    <col min="27" max="27" width="8.26171875" style="29" customWidth="1"/>
    <col min="28" max="28" width="2.15625" style="29" customWidth="1"/>
    <col min="29" max="29" width="3.578125" style="29" customWidth="1"/>
    <col min="30" max="30" width="9.578125" style="29" customWidth="1"/>
    <col min="31" max="31" width="12.68359375" style="29" bestFit="1" customWidth="1"/>
    <col min="32" max="32" width="10.83984375" style="29" bestFit="1" customWidth="1"/>
    <col min="33" max="16384" width="9.15625" style="29"/>
  </cols>
  <sheetData>
    <row r="1" spans="1:39" s="1" customFormat="1" ht="55.5" customHeight="1" x14ac:dyDescent="0.55000000000000004">
      <c r="A1" s="148" t="s">
        <v>150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39" s="32" customFormat="1" ht="5.25" customHeight="1" x14ac:dyDescent="0.6"/>
    <row r="3" spans="1:39" x14ac:dyDescent="0.55000000000000004">
      <c r="AD3" s="20">
        <f>COUNT(V16:Y16)</f>
        <v>3</v>
      </c>
      <c r="AE3" s="33" t="str">
        <f ca="1">OFFSET(U6,0,$AD$3,1,1)</f>
        <v>Q3</v>
      </c>
    </row>
    <row r="4" spans="1:39" x14ac:dyDescent="0.55000000000000004">
      <c r="AD4" s="20"/>
      <c r="AE4" s="33"/>
    </row>
    <row r="5" spans="1:39" ht="14.7" thickBot="1" x14ac:dyDescent="0.6">
      <c r="V5" s="29">
        <v>1</v>
      </c>
      <c r="W5" s="29">
        <v>2</v>
      </c>
      <c r="X5" s="29">
        <v>3</v>
      </c>
      <c r="Y5" s="29">
        <v>4</v>
      </c>
    </row>
    <row r="6" spans="1:39" ht="15.6" x14ac:dyDescent="0.6">
      <c r="B6" s="34" t="s">
        <v>7</v>
      </c>
      <c r="C6" s="34" t="s">
        <v>62</v>
      </c>
      <c r="D6" s="34" t="s">
        <v>1</v>
      </c>
      <c r="E6" s="34" t="s">
        <v>3</v>
      </c>
      <c r="F6" s="34" t="s">
        <v>2</v>
      </c>
      <c r="G6" s="34" t="s">
        <v>65</v>
      </c>
      <c r="H6" s="34" t="s">
        <v>66</v>
      </c>
      <c r="I6" s="29" t="s">
        <v>313</v>
      </c>
      <c r="V6" s="24" t="s">
        <v>9</v>
      </c>
      <c r="W6" s="24" t="s">
        <v>10</v>
      </c>
      <c r="X6" s="24" t="s">
        <v>11</v>
      </c>
      <c r="Y6" s="24" t="s">
        <v>12</v>
      </c>
      <c r="Z6" s="93" t="s">
        <v>208</v>
      </c>
      <c r="AA6" s="94" t="s">
        <v>14</v>
      </c>
      <c r="AB6" s="24"/>
      <c r="AD6" s="35" t="s">
        <v>13</v>
      </c>
      <c r="AE6" s="35" t="str">
        <f ca="1">_xlfn.CONCAT("YTD (Q1 to ",AE3,")")</f>
        <v>YTD (Q1 to Q3)</v>
      </c>
      <c r="AF6" s="35" t="s">
        <v>14</v>
      </c>
      <c r="AJ6" s="15" t="s">
        <v>9</v>
      </c>
      <c r="AK6" s="15" t="s">
        <v>10</v>
      </c>
      <c r="AL6" s="15" t="s">
        <v>11</v>
      </c>
      <c r="AM6" s="15" t="s">
        <v>12</v>
      </c>
    </row>
    <row r="7" spans="1:39" x14ac:dyDescent="0.55000000000000004">
      <c r="B7" s="36" t="s">
        <v>15</v>
      </c>
      <c r="C7" s="67">
        <f>SUM(D7:H7)</f>
        <v>822589</v>
      </c>
      <c r="D7" s="40">
        <f>IF(ECA!C7=0,NA(),ECA!C7)</f>
        <v>339741</v>
      </c>
      <c r="E7" s="40">
        <f>IF(CAA!C7=0,NA(),CAA!C7)</f>
        <v>177450</v>
      </c>
      <c r="F7" s="40">
        <f>IF(NCA!C7=0,NA(),NCA!C7)</f>
        <v>120152</v>
      </c>
      <c r="G7" s="40">
        <f>IF(IVC!C7=0,NA(),IVC!C7)</f>
        <v>127000</v>
      </c>
      <c r="H7" s="40">
        <f>IF(BR!C7=0,NA(),BR!C7)</f>
        <v>58246</v>
      </c>
      <c r="I7" s="17">
        <f>E7/D7</f>
        <v>0.52230964175651451</v>
      </c>
      <c r="U7" s="28" t="s">
        <v>16</v>
      </c>
      <c r="V7" s="39">
        <f>C7</f>
        <v>822589</v>
      </c>
      <c r="W7" s="39">
        <f>C8</f>
        <v>822589</v>
      </c>
      <c r="X7" s="39">
        <f>C9</f>
        <v>798014</v>
      </c>
      <c r="Y7" s="39">
        <f>C10</f>
        <v>850839</v>
      </c>
      <c r="Z7" s="95">
        <f>SUM(V7:Y7)</f>
        <v>3294031</v>
      </c>
      <c r="AA7" s="96"/>
      <c r="AB7" s="39"/>
      <c r="AD7" s="28" t="s">
        <v>16</v>
      </c>
      <c r="AE7" s="39">
        <f ca="1">SUM(OFFSET(V7,0,0,1,$AD$3))</f>
        <v>2443192</v>
      </c>
      <c r="AI7" s="28">
        <v>2017</v>
      </c>
      <c r="AJ7" s="38">
        <f>V7</f>
        <v>822589</v>
      </c>
      <c r="AK7" s="38">
        <f>AJ7+W7</f>
        <v>1645178</v>
      </c>
      <c r="AL7" s="38">
        <f>AK7+X7</f>
        <v>2443192</v>
      </c>
      <c r="AM7" s="38">
        <f>AL7+Y7</f>
        <v>3294031</v>
      </c>
    </row>
    <row r="8" spans="1:39" x14ac:dyDescent="0.55000000000000004">
      <c r="B8" s="36" t="s">
        <v>17</v>
      </c>
      <c r="C8" s="67">
        <f t="shared" ref="C8:C39" si="0">SUM(D8:H8)</f>
        <v>822589</v>
      </c>
      <c r="D8" s="40">
        <f>IF(ECA!C8=0,NA(),ECA!C8)</f>
        <v>339741</v>
      </c>
      <c r="E8" s="40">
        <f>IF(CAA!C8=0,NA(),CAA!C8)</f>
        <v>177450</v>
      </c>
      <c r="F8" s="40">
        <f>IF(NCA!C8=0,NA(),NCA!C8)</f>
        <v>120152</v>
      </c>
      <c r="G8" s="40">
        <f>IF(IVC!C8=0,NA(),IVC!C8)</f>
        <v>127000</v>
      </c>
      <c r="H8" s="40">
        <f>IF(BR!C8=0,NA(),BR!C8)</f>
        <v>58246</v>
      </c>
      <c r="I8" s="17">
        <f t="shared" ref="I8:I44" si="1">E8/D8</f>
        <v>0.52230964175651451</v>
      </c>
      <c r="U8" s="28" t="s">
        <v>18</v>
      </c>
      <c r="V8" s="39">
        <f>C11</f>
        <v>850107</v>
      </c>
      <c r="W8" s="39">
        <f>C12</f>
        <v>855759</v>
      </c>
      <c r="X8" s="39">
        <f>C13</f>
        <v>837530</v>
      </c>
      <c r="Y8" s="39">
        <f>C14</f>
        <v>874536</v>
      </c>
      <c r="Z8" s="95">
        <f t="shared" ref="Z8:Z15" si="2">SUM(V8:Y8)</f>
        <v>3417932</v>
      </c>
      <c r="AA8" s="97">
        <f>Z8/Z7-1</f>
        <v>3.7613792948518077E-2</v>
      </c>
      <c r="AB8" s="39"/>
      <c r="AD8" s="28" t="s">
        <v>18</v>
      </c>
      <c r="AE8" s="39">
        <f t="shared" ref="AE8:AE16" ca="1" si="3">SUM(OFFSET(V8,0,0,1,$AD$3))</f>
        <v>2543396</v>
      </c>
      <c r="AF8" s="41">
        <f ca="1">AE8/AE7-1</f>
        <v>4.10135593109342E-2</v>
      </c>
      <c r="AI8" s="28">
        <v>2018</v>
      </c>
      <c r="AJ8" s="38">
        <f t="shared" ref="AJ8:AJ14" si="4">V8</f>
        <v>850107</v>
      </c>
      <c r="AK8" s="38">
        <f t="shared" ref="AK8:AK13" si="5">AJ8+W8</f>
        <v>1705866</v>
      </c>
      <c r="AL8" s="38">
        <f t="shared" ref="AL8:AM13" si="6">AK8+X8</f>
        <v>2543396</v>
      </c>
      <c r="AM8" s="38">
        <f t="shared" si="6"/>
        <v>3417932</v>
      </c>
    </row>
    <row r="9" spans="1:39" x14ac:dyDescent="0.55000000000000004">
      <c r="B9" s="36" t="s">
        <v>19</v>
      </c>
      <c r="C9" s="67">
        <f t="shared" si="0"/>
        <v>798014</v>
      </c>
      <c r="D9" s="40">
        <f>IF(ECA!C9=0,NA(),ECA!C9)</f>
        <v>331970</v>
      </c>
      <c r="E9" s="40">
        <f>IF(CAA!C9=0,NA(),CAA!C9)</f>
        <v>160878</v>
      </c>
      <c r="F9" s="40">
        <f>IF(NCA!C9=0,NA(),NCA!C9)</f>
        <v>123125</v>
      </c>
      <c r="G9" s="40">
        <f>IF(IVC!C9=0,NA(),IVC!C9)</f>
        <v>127000</v>
      </c>
      <c r="H9" s="40">
        <f>IF(BR!C9=0,NA(),BR!C9)</f>
        <v>55041</v>
      </c>
      <c r="I9" s="17">
        <f t="shared" si="1"/>
        <v>0.48461607976624393</v>
      </c>
      <c r="U9" s="28" t="s">
        <v>20</v>
      </c>
      <c r="V9" s="39">
        <f>C15</f>
        <v>881322</v>
      </c>
      <c r="W9" s="39">
        <f>C16</f>
        <v>890013</v>
      </c>
      <c r="X9" s="39">
        <f>C17</f>
        <v>882822</v>
      </c>
      <c r="Y9" s="39">
        <f>C18</f>
        <v>910769</v>
      </c>
      <c r="Z9" s="95">
        <f t="shared" si="2"/>
        <v>3564926</v>
      </c>
      <c r="AA9" s="97">
        <f t="shared" ref="AA9:AA15" si="7">Z9/Z8-1</f>
        <v>4.300670697954212E-2</v>
      </c>
      <c r="AB9" s="39"/>
      <c r="AD9" s="28" t="s">
        <v>20</v>
      </c>
      <c r="AE9" s="39">
        <f t="shared" ca="1" si="3"/>
        <v>2654157</v>
      </c>
      <c r="AF9" s="41">
        <f t="shared" ref="AF9:AF16" ca="1" si="8">AE9/AE8-1</f>
        <v>4.3548468268409746E-2</v>
      </c>
      <c r="AI9" s="28">
        <v>2019</v>
      </c>
      <c r="AJ9" s="38">
        <f t="shared" si="4"/>
        <v>881322</v>
      </c>
      <c r="AK9" s="38">
        <f t="shared" si="5"/>
        <v>1771335</v>
      </c>
      <c r="AL9" s="38">
        <f t="shared" si="6"/>
        <v>2654157</v>
      </c>
      <c r="AM9" s="38">
        <f t="shared" si="6"/>
        <v>3564926</v>
      </c>
    </row>
    <row r="10" spans="1:39" x14ac:dyDescent="0.55000000000000004">
      <c r="B10" s="42" t="s">
        <v>21</v>
      </c>
      <c r="C10" s="67">
        <f t="shared" si="0"/>
        <v>850839</v>
      </c>
      <c r="D10" s="40">
        <f>IF(ECA!C10=0,NA(),ECA!C10)</f>
        <v>353544</v>
      </c>
      <c r="E10" s="40">
        <f>IF(CAA!C10=0,NA(),CAA!C10)</f>
        <v>189407</v>
      </c>
      <c r="F10" s="40">
        <f>IF(NCA!C10=0,NA(),NCA!C10)</f>
        <v>125323</v>
      </c>
      <c r="G10" s="40">
        <f>IF(IVC!C10=0,NA(),IVC!C10)</f>
        <v>128000</v>
      </c>
      <c r="H10" s="40">
        <f>IF(BR!C10=0,NA(),BR!C10)</f>
        <v>54565</v>
      </c>
      <c r="I10" s="17">
        <f t="shared" si="1"/>
        <v>0.53573812594754822</v>
      </c>
      <c r="U10" s="28" t="s">
        <v>22</v>
      </c>
      <c r="V10" s="39">
        <f>C19</f>
        <v>894393</v>
      </c>
      <c r="W10" s="39">
        <f>C20</f>
        <v>891865</v>
      </c>
      <c r="X10" s="39">
        <f>C21</f>
        <v>812601</v>
      </c>
      <c r="Y10" s="39">
        <f>C22</f>
        <v>860903</v>
      </c>
      <c r="Z10" s="95">
        <f t="shared" si="2"/>
        <v>3459762</v>
      </c>
      <c r="AA10" s="97">
        <f t="shared" si="7"/>
        <v>-2.9499630567366597E-2</v>
      </c>
      <c r="AB10" s="39"/>
      <c r="AD10" s="28" t="s">
        <v>22</v>
      </c>
      <c r="AE10" s="39">
        <f t="shared" ca="1" si="3"/>
        <v>2598859</v>
      </c>
      <c r="AF10" s="41">
        <f t="shared" ca="1" si="8"/>
        <v>-2.0834487183689632E-2</v>
      </c>
      <c r="AI10" s="28">
        <v>2020</v>
      </c>
      <c r="AJ10" s="38">
        <f t="shared" si="4"/>
        <v>894393</v>
      </c>
      <c r="AK10" s="38">
        <f t="shared" si="5"/>
        <v>1786258</v>
      </c>
      <c r="AL10" s="38">
        <f t="shared" si="6"/>
        <v>2598859</v>
      </c>
      <c r="AM10" s="38">
        <f t="shared" si="6"/>
        <v>3459762</v>
      </c>
    </row>
    <row r="11" spans="1:39" x14ac:dyDescent="0.55000000000000004">
      <c r="B11" s="36" t="s">
        <v>23</v>
      </c>
      <c r="C11" s="67">
        <f t="shared" si="0"/>
        <v>850107</v>
      </c>
      <c r="D11" s="40">
        <f>IF(ECA!C11=0,NA(),ECA!C11)</f>
        <v>353286</v>
      </c>
      <c r="E11" s="40">
        <f>IF(CAA!C11=0,NA(),CAA!C11)</f>
        <v>196476</v>
      </c>
      <c r="F11" s="40">
        <f>IF(NCA!C11=0,NA(),NCA!C11)</f>
        <v>116080</v>
      </c>
      <c r="G11" s="40">
        <f>IF(IVC!C11=0,NA(),IVC!C11)</f>
        <v>124000</v>
      </c>
      <c r="H11" s="40">
        <f>IF(BR!C11=0,NA(),BR!C11)</f>
        <v>60265</v>
      </c>
      <c r="I11" s="17">
        <f t="shared" si="1"/>
        <v>0.55613865253647188</v>
      </c>
      <c r="U11" s="28" t="s">
        <v>24</v>
      </c>
      <c r="V11" s="39">
        <f>C23</f>
        <v>890571</v>
      </c>
      <c r="W11" s="39">
        <f>C24</f>
        <v>900134</v>
      </c>
      <c r="X11" s="39">
        <f>C25</f>
        <v>865508</v>
      </c>
      <c r="Y11" s="39">
        <f>C26</f>
        <v>920397</v>
      </c>
      <c r="Z11" s="95">
        <f t="shared" si="2"/>
        <v>3576610</v>
      </c>
      <c r="AA11" s="97">
        <f t="shared" si="7"/>
        <v>3.3773421408755944E-2</v>
      </c>
      <c r="AB11" s="39"/>
      <c r="AD11" s="28" t="s">
        <v>24</v>
      </c>
      <c r="AE11" s="39">
        <f t="shared" ca="1" si="3"/>
        <v>2656213</v>
      </c>
      <c r="AF11" s="41">
        <f t="shared" ca="1" si="8"/>
        <v>2.206891562797364E-2</v>
      </c>
      <c r="AI11" s="28">
        <v>2021</v>
      </c>
      <c r="AJ11" s="38">
        <f t="shared" si="4"/>
        <v>890571</v>
      </c>
      <c r="AK11" s="38">
        <f t="shared" si="5"/>
        <v>1790705</v>
      </c>
      <c r="AL11" s="38">
        <f t="shared" si="6"/>
        <v>2656213</v>
      </c>
      <c r="AM11" s="38">
        <f t="shared" si="6"/>
        <v>3576610</v>
      </c>
    </row>
    <row r="12" spans="1:39" x14ac:dyDescent="0.55000000000000004">
      <c r="B12" s="36" t="s">
        <v>25</v>
      </c>
      <c r="C12" s="67">
        <f t="shared" si="0"/>
        <v>855759</v>
      </c>
      <c r="D12" s="40">
        <f>IF(ECA!C12=0,NA(),ECA!C12)</f>
        <v>358432</v>
      </c>
      <c r="E12" s="40">
        <f>IF(CAA!C12=0,NA(),CAA!C12)</f>
        <v>190244</v>
      </c>
      <c r="F12" s="40">
        <f>IF(NCA!C12=0,NA(),NCA!C12)</f>
        <v>118778</v>
      </c>
      <c r="G12" s="40">
        <f>IF(IVC!C12=0,NA(),IVC!C12)</f>
        <v>130000</v>
      </c>
      <c r="H12" s="40">
        <f>IF(BR!C12=0,NA(),BR!C12)</f>
        <v>58305</v>
      </c>
      <c r="I12" s="17">
        <f t="shared" si="1"/>
        <v>0.53076734220158917</v>
      </c>
      <c r="U12" s="28" t="s">
        <v>26</v>
      </c>
      <c r="V12" s="39">
        <f>C27</f>
        <v>929248</v>
      </c>
      <c r="W12" s="39">
        <f>C28</f>
        <v>912398</v>
      </c>
      <c r="X12" s="39">
        <f>C29</f>
        <v>916242</v>
      </c>
      <c r="Y12" s="39">
        <f>C30</f>
        <v>950094</v>
      </c>
      <c r="Z12" s="95">
        <f t="shared" si="2"/>
        <v>3707982</v>
      </c>
      <c r="AA12" s="97">
        <f t="shared" si="7"/>
        <v>3.6730870852567099E-2</v>
      </c>
      <c r="AB12" s="39"/>
      <c r="AD12" s="28" t="s">
        <v>26</v>
      </c>
      <c r="AE12" s="39">
        <f t="shared" ca="1" si="3"/>
        <v>2757888</v>
      </c>
      <c r="AF12" s="41">
        <f t="shared" ca="1" si="8"/>
        <v>3.8278180251357874E-2</v>
      </c>
      <c r="AI12" s="28">
        <v>2022</v>
      </c>
      <c r="AJ12" s="38">
        <f t="shared" si="4"/>
        <v>929248</v>
      </c>
      <c r="AK12" s="38">
        <f t="shared" si="5"/>
        <v>1841646</v>
      </c>
      <c r="AL12" s="38">
        <f t="shared" si="6"/>
        <v>2757888</v>
      </c>
      <c r="AM12" s="38">
        <f t="shared" si="6"/>
        <v>3707982</v>
      </c>
    </row>
    <row r="13" spans="1:39" x14ac:dyDescent="0.55000000000000004">
      <c r="B13" s="36" t="s">
        <v>27</v>
      </c>
      <c r="C13" s="67">
        <f t="shared" si="0"/>
        <v>837530</v>
      </c>
      <c r="D13" s="40">
        <f>IF(ECA!C13=0,NA(),ECA!C13)</f>
        <v>356109</v>
      </c>
      <c r="E13" s="40">
        <f>IF(CAA!C13=0,NA(),CAA!C13)</f>
        <v>185394</v>
      </c>
      <c r="F13" s="40">
        <f>IF(NCA!C13=0,NA(),NCA!C13)</f>
        <v>119301</v>
      </c>
      <c r="G13" s="40">
        <f>IF(IVC!C13=0,NA(),IVC!C13)</f>
        <v>125000</v>
      </c>
      <c r="H13" s="40">
        <f>IF(BR!C13=0,NA(),BR!C13)</f>
        <v>51726</v>
      </c>
      <c r="I13" s="17">
        <f t="shared" si="1"/>
        <v>0.52061026258814014</v>
      </c>
      <c r="U13" s="28" t="s">
        <v>28</v>
      </c>
      <c r="V13" s="39">
        <f>IF(C31=0,"",C31)</f>
        <v>930529</v>
      </c>
      <c r="W13" s="39">
        <f>IF(C32=0,"",C32)</f>
        <v>960085</v>
      </c>
      <c r="X13" s="39">
        <f>IF(C33=0,"",C33)</f>
        <v>884179</v>
      </c>
      <c r="Y13" s="39">
        <f>IF(C34=0,NA(),C34)</f>
        <v>922671</v>
      </c>
      <c r="Z13" s="95">
        <f t="shared" si="2"/>
        <v>3697464</v>
      </c>
      <c r="AA13" s="97">
        <f t="shared" si="7"/>
        <v>-2.8365833491100778E-3</v>
      </c>
      <c r="AB13" s="39"/>
      <c r="AD13" s="28" t="s">
        <v>28</v>
      </c>
      <c r="AE13" s="39">
        <f t="shared" ca="1" si="3"/>
        <v>2774793</v>
      </c>
      <c r="AF13" s="41">
        <f t="shared" ca="1" si="8"/>
        <v>6.1296905458090301E-3</v>
      </c>
      <c r="AI13" s="28">
        <v>2023</v>
      </c>
      <c r="AJ13" s="38">
        <f t="shared" si="4"/>
        <v>930529</v>
      </c>
      <c r="AK13" s="38">
        <f t="shared" si="5"/>
        <v>1890614</v>
      </c>
      <c r="AL13" s="38">
        <f t="shared" si="6"/>
        <v>2774793</v>
      </c>
      <c r="AM13" s="38">
        <f t="shared" si="6"/>
        <v>3697464</v>
      </c>
    </row>
    <row r="14" spans="1:39" x14ac:dyDescent="0.55000000000000004">
      <c r="B14" s="42" t="s">
        <v>29</v>
      </c>
      <c r="C14" s="67">
        <f t="shared" si="0"/>
        <v>874536</v>
      </c>
      <c r="D14" s="40">
        <f>IF(ECA!C14=0,NA(),ECA!C14)</f>
        <v>363122</v>
      </c>
      <c r="E14" s="40">
        <f>IF(CAA!C14=0,NA(),CAA!C14)</f>
        <v>196418</v>
      </c>
      <c r="F14" s="40">
        <f>IF(NCA!C14=0,NA(),NCA!C14)</f>
        <v>128494</v>
      </c>
      <c r="G14" s="40">
        <f>IF(IVC!C14=0,NA(),IVC!C14)</f>
        <v>126347</v>
      </c>
      <c r="H14" s="40">
        <f>IF(BR!C14=0,NA(),BR!C14)</f>
        <v>60155</v>
      </c>
      <c r="I14" s="17">
        <f t="shared" si="1"/>
        <v>0.54091462373527355</v>
      </c>
      <c r="U14" s="28" t="s">
        <v>30</v>
      </c>
      <c r="V14" s="39">
        <f>IF(C35=0,"",C35)</f>
        <v>898937</v>
      </c>
      <c r="W14" s="39">
        <f>C36</f>
        <v>935533</v>
      </c>
      <c r="X14" s="39">
        <f>IF(C37=0,"",C37)</f>
        <v>862065</v>
      </c>
      <c r="Y14" s="39">
        <f>C38</f>
        <v>913855</v>
      </c>
      <c r="Z14" s="95">
        <f t="shared" si="2"/>
        <v>3610390</v>
      </c>
      <c r="AA14" s="97">
        <f t="shared" si="7"/>
        <v>-2.3549654574054002E-2</v>
      </c>
      <c r="AB14" s="39"/>
      <c r="AD14" s="28" t="s">
        <v>30</v>
      </c>
      <c r="AE14" s="39">
        <f t="shared" ca="1" si="3"/>
        <v>2696535</v>
      </c>
      <c r="AF14" s="41">
        <f t="shared" ca="1" si="8"/>
        <v>-2.8203184886223975E-2</v>
      </c>
      <c r="AI14" s="28">
        <v>2024</v>
      </c>
      <c r="AJ14" s="38">
        <f t="shared" si="4"/>
        <v>898937</v>
      </c>
      <c r="AK14" s="38"/>
      <c r="AL14" s="38"/>
      <c r="AM14" s="38"/>
    </row>
    <row r="15" spans="1:39" x14ac:dyDescent="0.55000000000000004">
      <c r="B15" s="36" t="s">
        <v>31</v>
      </c>
      <c r="C15" s="67">
        <f t="shared" si="0"/>
        <v>881322</v>
      </c>
      <c r="D15" s="40">
        <f>IF(ECA!C15=0,NA(),ECA!C15)</f>
        <v>359103</v>
      </c>
      <c r="E15" s="40">
        <f>IF(CAA!C15=0,NA(),CAA!C15)</f>
        <v>208900</v>
      </c>
      <c r="F15" s="40">
        <f>IF(NCA!C15=0,NA(),NCA!C15)</f>
        <v>117222</v>
      </c>
      <c r="G15" s="40">
        <f>IF(IVC!C15=0,NA(),IVC!C15)</f>
        <v>135510</v>
      </c>
      <c r="H15" s="40">
        <f>IF(BR!C15=0,NA(),BR!C15)</f>
        <v>60587</v>
      </c>
      <c r="I15" s="17">
        <f t="shared" si="1"/>
        <v>0.58172724817113752</v>
      </c>
      <c r="U15" s="28" t="s">
        <v>74</v>
      </c>
      <c r="V15" s="39">
        <f>C39</f>
        <v>894012</v>
      </c>
      <c r="W15" s="39">
        <f>C40</f>
        <v>905164</v>
      </c>
      <c r="X15" s="39">
        <f>C41</f>
        <v>788079</v>
      </c>
      <c r="Y15" s="39">
        <f>C42</f>
        <v>794361</v>
      </c>
      <c r="Z15" s="95">
        <f t="shared" si="2"/>
        <v>3381616</v>
      </c>
      <c r="AA15" s="97">
        <f t="shared" si="7"/>
        <v>-6.3365453593656085E-2</v>
      </c>
      <c r="AB15" s="38"/>
      <c r="AD15" s="29" t="s">
        <v>74</v>
      </c>
      <c r="AE15" s="39">
        <f t="shared" ca="1" si="3"/>
        <v>2587255</v>
      </c>
      <c r="AF15" s="41">
        <f t="shared" ca="1" si="8"/>
        <v>-4.0526082546675668E-2</v>
      </c>
    </row>
    <row r="16" spans="1:39" ht="14.7" thickBot="1" x14ac:dyDescent="0.6">
      <c r="B16" s="36" t="s">
        <v>32</v>
      </c>
      <c r="C16" s="67">
        <f t="shared" si="0"/>
        <v>890013</v>
      </c>
      <c r="D16" s="40">
        <f>IF(ECA!C16=0,NA(),ECA!C16)</f>
        <v>370359</v>
      </c>
      <c r="E16" s="40">
        <f>IF(CAA!C16=0,NA(),CAA!C16)</f>
        <v>208388</v>
      </c>
      <c r="F16" s="40">
        <f>IF(NCA!C16=0,NA(),NCA!C16)</f>
        <v>121801</v>
      </c>
      <c r="G16" s="40">
        <f>IF(IVC!C16=0,NA(),IVC!C16)</f>
        <v>133000</v>
      </c>
      <c r="H16" s="40">
        <f>IF(BR!C16=0,NA(),BR!C16)</f>
        <v>56465</v>
      </c>
      <c r="I16" s="17">
        <f t="shared" si="1"/>
        <v>0.562664873811626</v>
      </c>
      <c r="U16" s="28" t="s">
        <v>165</v>
      </c>
      <c r="V16" s="39">
        <f>C43</f>
        <v>824574</v>
      </c>
      <c r="W16" s="39">
        <f>C44</f>
        <v>878999</v>
      </c>
      <c r="X16" s="39">
        <f>C45</f>
        <v>856388</v>
      </c>
      <c r="Y16" s="39"/>
      <c r="Z16" s="98"/>
      <c r="AA16" s="99"/>
      <c r="AD16" s="28" t="s">
        <v>165</v>
      </c>
      <c r="AE16" s="39">
        <f t="shared" ca="1" si="3"/>
        <v>2559961</v>
      </c>
      <c r="AF16" s="41">
        <f t="shared" ca="1" si="8"/>
        <v>-1.0549404677930863E-2</v>
      </c>
    </row>
    <row r="17" spans="2:34" x14ac:dyDescent="0.55000000000000004">
      <c r="B17" s="36" t="s">
        <v>33</v>
      </c>
      <c r="C17" s="67">
        <f t="shared" si="0"/>
        <v>882822</v>
      </c>
      <c r="D17" s="40">
        <f>IF(ECA!C17=0,NA(),ECA!C17)</f>
        <v>344890</v>
      </c>
      <c r="E17" s="40">
        <f>IF(CAA!C17=0,NA(),CAA!C17)</f>
        <v>215574</v>
      </c>
      <c r="F17" s="40">
        <f>IF(NCA!C17=0,NA(),NCA!C17)</f>
        <v>124050</v>
      </c>
      <c r="G17" s="40">
        <f>IF(IVC!C17=0,NA(),IVC!C17)</f>
        <v>139000</v>
      </c>
      <c r="H17" s="40">
        <f>IF(BR!C17=0,NA(),BR!C17)</f>
        <v>59308</v>
      </c>
      <c r="I17" s="17">
        <f t="shared" si="1"/>
        <v>0.62505146568471104</v>
      </c>
    </row>
    <row r="18" spans="2:34" ht="15.6" x14ac:dyDescent="0.6">
      <c r="B18" s="42" t="s">
        <v>34</v>
      </c>
      <c r="C18" s="67">
        <f t="shared" si="0"/>
        <v>910769</v>
      </c>
      <c r="D18" s="40">
        <f>IF(ECA!C18=0,NA(),ECA!C18)</f>
        <v>362940</v>
      </c>
      <c r="E18" s="40">
        <f>IF(CAA!C18=0,NA(),CAA!C18)</f>
        <v>225356</v>
      </c>
      <c r="F18" s="40">
        <f>IF(NCA!C18=0,NA(),NCA!C18)</f>
        <v>123208</v>
      </c>
      <c r="G18" s="40">
        <f>IF(IVC!C18=0,NA(),IVC!C18)</f>
        <v>140473</v>
      </c>
      <c r="H18" s="40">
        <f>IF(BR!C18=0,NA(),BR!C18)</f>
        <v>58792</v>
      </c>
      <c r="I18" s="17">
        <f t="shared" si="1"/>
        <v>0.62091805808122558</v>
      </c>
      <c r="U18" s="149" t="s">
        <v>35</v>
      </c>
      <c r="V18" s="149"/>
      <c r="W18" s="149"/>
      <c r="X18" s="149"/>
      <c r="Y18" s="149"/>
      <c r="Z18" s="92"/>
      <c r="AA18" s="92"/>
      <c r="AB18" s="92"/>
      <c r="AD18" s="150" t="s">
        <v>36</v>
      </c>
      <c r="AE18" s="150"/>
      <c r="AF18" s="25" t="s">
        <v>11</v>
      </c>
    </row>
    <row r="19" spans="2:34" x14ac:dyDescent="0.55000000000000004">
      <c r="B19" s="36" t="s">
        <v>37</v>
      </c>
      <c r="C19" s="67">
        <f t="shared" si="0"/>
        <v>894393</v>
      </c>
      <c r="D19" s="40">
        <f>IF(ECA!C19=0,NA(),ECA!C19)</f>
        <v>355201</v>
      </c>
      <c r="E19" s="40">
        <f>IF(CAA!C19=0,NA(),CAA!C19)</f>
        <v>227013</v>
      </c>
      <c r="F19" s="40">
        <f>IF(NCA!C19=0,NA(),NCA!C19)</f>
        <v>110371</v>
      </c>
      <c r="G19" s="40">
        <f>IF(IVC!C19=0,NA(),IVC!C19)</f>
        <v>144314</v>
      </c>
      <c r="H19" s="40">
        <f>IF(BR!C19=0,NA(),BR!C19)</f>
        <v>57494</v>
      </c>
      <c r="I19" s="17">
        <f t="shared" si="1"/>
        <v>0.63911137637562954</v>
      </c>
      <c r="V19" s="18" t="s">
        <v>9</v>
      </c>
      <c r="W19" s="18" t="s">
        <v>10</v>
      </c>
      <c r="X19" s="18" t="s">
        <v>11</v>
      </c>
      <c r="Y19" s="18" t="s">
        <v>12</v>
      </c>
      <c r="Z19" s="18"/>
      <c r="AA19" s="18"/>
      <c r="AB19" s="18"/>
    </row>
    <row r="20" spans="2:34" x14ac:dyDescent="0.55000000000000004">
      <c r="B20" s="36" t="s">
        <v>38</v>
      </c>
      <c r="C20" s="67">
        <f t="shared" si="0"/>
        <v>891865</v>
      </c>
      <c r="D20" s="40">
        <f>IF(ECA!C20=0,NA(),ECA!C20)</f>
        <v>368934</v>
      </c>
      <c r="E20" s="40">
        <f>IF(CAA!C20=0,NA(),CAA!C20)</f>
        <v>207356</v>
      </c>
      <c r="F20" s="40">
        <f>IF(NCA!C20=0,NA(),NCA!C20)</f>
        <v>115591</v>
      </c>
      <c r="G20" s="40">
        <f>IF(IVC!C20=0,NA(),IVC!C20)</f>
        <v>139821</v>
      </c>
      <c r="H20" s="40">
        <f>IF(BR!C20=0,NA(),BR!C20)</f>
        <v>60163</v>
      </c>
      <c r="I20" s="17">
        <f t="shared" si="1"/>
        <v>0.56204090704570464</v>
      </c>
      <c r="U20" s="28" t="s">
        <v>16</v>
      </c>
      <c r="V20" s="38"/>
      <c r="W20" s="38"/>
      <c r="X20" s="38"/>
      <c r="Y20" s="38"/>
      <c r="Z20" s="38"/>
      <c r="AA20" s="38"/>
      <c r="AB20" s="38"/>
    </row>
    <row r="21" spans="2:34" x14ac:dyDescent="0.55000000000000004">
      <c r="B21" s="36" t="s">
        <v>39</v>
      </c>
      <c r="C21" s="67">
        <f t="shared" si="0"/>
        <v>812601</v>
      </c>
      <c r="D21" s="40">
        <f>IF(ECA!C21=0,NA(),ECA!C21)</f>
        <v>314108</v>
      </c>
      <c r="E21" s="40">
        <f>IF(CAA!C21=0,NA(),CAA!C21)</f>
        <v>202674</v>
      </c>
      <c r="F21" s="40">
        <f>IF(NCA!C21=0,NA(),NCA!C21)</f>
        <v>110776</v>
      </c>
      <c r="G21" s="40">
        <f>IF(IVC!C21=0,NA(),IVC!C21)</f>
        <v>139559</v>
      </c>
      <c r="H21" s="40">
        <f>IF(BR!C21=0,NA(),BR!C21)</f>
        <v>45484</v>
      </c>
      <c r="I21" s="17">
        <f t="shared" si="1"/>
        <v>0.64523667018987096</v>
      </c>
      <c r="U21" s="28" t="s">
        <v>18</v>
      </c>
      <c r="V21" s="41">
        <f t="shared" ref="V21:Y29" si="9">IFERROR(V8/V7-1,"")</f>
        <v>3.3452915125293359E-2</v>
      </c>
      <c r="W21" s="41">
        <f t="shared" si="9"/>
        <v>4.0323904161130297E-2</v>
      </c>
      <c r="X21" s="41">
        <f t="shared" si="9"/>
        <v>4.9517928256897825E-2</v>
      </c>
      <c r="Y21" s="41">
        <f t="shared" si="9"/>
        <v>2.785133262579631E-2</v>
      </c>
      <c r="Z21" s="41"/>
      <c r="AA21" s="41"/>
      <c r="AB21" s="41"/>
    </row>
    <row r="22" spans="2:34" x14ac:dyDescent="0.55000000000000004">
      <c r="B22" s="42" t="s">
        <v>40</v>
      </c>
      <c r="C22" s="67">
        <f t="shared" si="0"/>
        <v>860903</v>
      </c>
      <c r="D22" s="40">
        <f>IF(ECA!C22=0,NA(),ECA!C22)</f>
        <v>345730</v>
      </c>
      <c r="E22" s="40">
        <f>IF(CAA!C22=0,NA(),CAA!C22)</f>
        <v>202665</v>
      </c>
      <c r="F22" s="40">
        <f>IF(NCA!C22=0,NA(),NCA!C22)</f>
        <v>118260</v>
      </c>
      <c r="G22" s="40">
        <f>IF(IVC!C22=0,NA(),IVC!C22)</f>
        <v>135954</v>
      </c>
      <c r="H22" s="40">
        <f>IF(BR!C22=0,NA(),BR!C22)</f>
        <v>58294</v>
      </c>
      <c r="I22" s="17">
        <f t="shared" si="1"/>
        <v>0.58619442917883902</v>
      </c>
      <c r="U22" s="28" t="s">
        <v>20</v>
      </c>
      <c r="V22" s="41">
        <f t="shared" si="9"/>
        <v>3.6718907149335234E-2</v>
      </c>
      <c r="W22" s="41">
        <f t="shared" si="9"/>
        <v>4.0027624599916489E-2</v>
      </c>
      <c r="X22" s="41">
        <f t="shared" si="9"/>
        <v>5.4078062875359656E-2</v>
      </c>
      <c r="Y22" s="41">
        <f t="shared" si="9"/>
        <v>4.1431113184591695E-2</v>
      </c>
      <c r="Z22" s="41"/>
      <c r="AA22" s="41"/>
      <c r="AB22" s="41"/>
      <c r="AE22" s="29">
        <f>_xlfn.XLOOKUP(AF18,V6:Y6,V5:Y5)</f>
        <v>3</v>
      </c>
    </row>
    <row r="23" spans="2:34" x14ac:dyDescent="0.55000000000000004">
      <c r="B23" s="36" t="s">
        <v>41</v>
      </c>
      <c r="C23" s="67">
        <f t="shared" si="0"/>
        <v>890571</v>
      </c>
      <c r="D23" s="40">
        <f>IF(ECA!C23=0,NA(),ECA!C23)</f>
        <v>344151</v>
      </c>
      <c r="E23" s="40">
        <f>IF(CAA!C23=0,NA(),CAA!C23)</f>
        <v>217546</v>
      </c>
      <c r="F23" s="40">
        <f>IF(NCA!C23=0,NA(),NCA!C23)</f>
        <v>118043</v>
      </c>
      <c r="G23" s="40">
        <f>IF(IVC!C23=0,NA(),IVC!C23)</f>
        <v>150241</v>
      </c>
      <c r="H23" s="40">
        <f>IF(BR!C23=0,NA(),BR!C23)</f>
        <v>60590</v>
      </c>
      <c r="I23" s="17">
        <f t="shared" si="1"/>
        <v>0.63212368989193701</v>
      </c>
      <c r="U23" s="28" t="s">
        <v>22</v>
      </c>
      <c r="V23" s="41">
        <f t="shared" si="9"/>
        <v>1.4831128690762307E-2</v>
      </c>
      <c r="W23" s="41">
        <f t="shared" si="9"/>
        <v>2.0808684816964185E-3</v>
      </c>
      <c r="X23" s="41">
        <f t="shared" si="9"/>
        <v>-7.9541515730237822E-2</v>
      </c>
      <c r="Y23" s="41">
        <f t="shared" si="9"/>
        <v>-5.4751534143125169E-2</v>
      </c>
      <c r="Z23" s="41"/>
      <c r="AA23" s="41"/>
      <c r="AB23" s="41"/>
      <c r="AE23" s="29" t="s">
        <v>42</v>
      </c>
    </row>
    <row r="24" spans="2:34" x14ac:dyDescent="0.55000000000000004">
      <c r="B24" s="36" t="s">
        <v>43</v>
      </c>
      <c r="C24" s="67">
        <f t="shared" si="0"/>
        <v>900134</v>
      </c>
      <c r="D24" s="40">
        <f>IF(ECA!C24=0,NA(),ECA!C24)</f>
        <v>357815</v>
      </c>
      <c r="E24" s="40">
        <f>IF(CAA!C24=0,NA(),CAA!C24)</f>
        <v>213858</v>
      </c>
      <c r="F24" s="40">
        <f>IF(NCA!C24=0,NA(),NCA!C24)</f>
        <v>117956</v>
      </c>
      <c r="G24" s="40">
        <f>IF(IVC!C24=0,NA(),IVC!C24)</f>
        <v>150593</v>
      </c>
      <c r="H24" s="40">
        <f>IF(BR!C24=0,NA(),BR!C24)</f>
        <v>59912</v>
      </c>
      <c r="I24" s="17">
        <f t="shared" si="1"/>
        <v>0.59767757081173234</v>
      </c>
      <c r="U24" s="28" t="s">
        <v>24</v>
      </c>
      <c r="V24" s="41">
        <f t="shared" si="9"/>
        <v>-4.2732892587487026E-3</v>
      </c>
      <c r="W24" s="41">
        <f t="shared" si="9"/>
        <v>9.2715825825657738E-3</v>
      </c>
      <c r="X24" s="41">
        <f t="shared" si="9"/>
        <v>6.5108214240445106E-2</v>
      </c>
      <c r="Y24" s="41">
        <f t="shared" si="9"/>
        <v>6.9106507934111105E-2</v>
      </c>
      <c r="Z24" s="41"/>
      <c r="AA24" s="41"/>
      <c r="AB24" s="41"/>
      <c r="AE24" s="28" t="s">
        <v>16</v>
      </c>
      <c r="AF24" s="39" cm="1">
        <f t="array" aca="1" ref="AF24:AF33" ca="1">OFFSET(U7,0,$AE$22,COUNT($V$7:$V$16),1)</f>
        <v>798014</v>
      </c>
    </row>
    <row r="25" spans="2:34" x14ac:dyDescent="0.55000000000000004">
      <c r="B25" s="36" t="s">
        <v>44</v>
      </c>
      <c r="C25" s="67">
        <f t="shared" si="0"/>
        <v>865508</v>
      </c>
      <c r="D25" s="40">
        <f>IF(ECA!C25=0,NA(),ECA!C25)</f>
        <v>356854</v>
      </c>
      <c r="E25" s="40">
        <f>IF(CAA!C25=0,NA(),CAA!C25)</f>
        <v>220865</v>
      </c>
      <c r="F25" s="40">
        <f>IF(NCA!C25=0,NA(),NCA!C25)</f>
        <v>123719</v>
      </c>
      <c r="G25" s="40">
        <f>IF(IVC!C25=0,NA(),IVC!C25)</f>
        <v>109471</v>
      </c>
      <c r="H25" s="40">
        <f>IF(BR!C25=0,NA(),BR!C25)</f>
        <v>54599</v>
      </c>
      <c r="I25" s="17">
        <f t="shared" si="1"/>
        <v>0.61892258458641347</v>
      </c>
      <c r="U25" s="28" t="s">
        <v>26</v>
      </c>
      <c r="V25" s="41">
        <f t="shared" si="9"/>
        <v>4.342944021307682E-2</v>
      </c>
      <c r="W25" s="41">
        <f t="shared" si="9"/>
        <v>1.3624638109437148E-2</v>
      </c>
      <c r="X25" s="41">
        <f t="shared" si="9"/>
        <v>5.8617597988695591E-2</v>
      </c>
      <c r="Y25" s="41">
        <f t="shared" si="9"/>
        <v>3.226542459395243E-2</v>
      </c>
      <c r="Z25" s="41"/>
      <c r="AA25" s="41"/>
      <c r="AB25" s="41"/>
      <c r="AE25" s="28" t="s">
        <v>18</v>
      </c>
      <c r="AF25" s="39">
        <f ca="1"/>
        <v>837530</v>
      </c>
      <c r="AH25" s="29" t="str">
        <f>_xlfn.CONCAT(A1," ",AF18," across Years")</f>
        <v>All Reported Grind : ECA + CAA + NCA + IVC (Gepex)  + BR  Q3 across Years</v>
      </c>
    </row>
    <row r="26" spans="2:34" x14ac:dyDescent="0.55000000000000004">
      <c r="B26" s="42" t="s">
        <v>45</v>
      </c>
      <c r="C26" s="67">
        <f t="shared" si="0"/>
        <v>920397</v>
      </c>
      <c r="D26" s="40">
        <f>IF(ECA!C26=0,NA(),ECA!C26)</f>
        <v>375811</v>
      </c>
      <c r="E26" s="40">
        <f>IF(CAA!C26=0,NA(),CAA!C26)</f>
        <v>210970</v>
      </c>
      <c r="F26" s="40">
        <f>IF(NCA!C26=0,NA(),NCA!C26)</f>
        <v>123399</v>
      </c>
      <c r="G26" s="40">
        <f>IF(IVC!C26=0,NA(),IVC!C26)</f>
        <v>154121</v>
      </c>
      <c r="H26" s="40">
        <f>IF(BR!C26=0,NA(),BR!C26)</f>
        <v>56096</v>
      </c>
      <c r="I26" s="17">
        <f t="shared" si="1"/>
        <v>0.56137260484658513</v>
      </c>
      <c r="U26" s="28" t="s">
        <v>28</v>
      </c>
      <c r="V26" s="41">
        <f t="shared" si="9"/>
        <v>1.3785340404284252E-3</v>
      </c>
      <c r="W26" s="41">
        <f t="shared" si="9"/>
        <v>5.226556831558149E-2</v>
      </c>
      <c r="X26" s="41">
        <f>IFERROR(X13/X12-1,"")</f>
        <v>-3.4994029961516682E-2</v>
      </c>
      <c r="Y26" s="41">
        <f t="shared" si="9"/>
        <v>-2.8863459826080407E-2</v>
      </c>
      <c r="Z26" s="41"/>
      <c r="AA26" s="41"/>
      <c r="AB26" s="41"/>
      <c r="AE26" s="28" t="s">
        <v>20</v>
      </c>
      <c r="AF26" s="39">
        <f ca="1"/>
        <v>882822</v>
      </c>
    </row>
    <row r="27" spans="2:34" x14ac:dyDescent="0.55000000000000004">
      <c r="B27" s="36" t="s">
        <v>46</v>
      </c>
      <c r="C27" s="67">
        <f t="shared" si="0"/>
        <v>929248</v>
      </c>
      <c r="D27" s="40">
        <f>IF(ECA!C27=0,NA(),ECA!C27)</f>
        <v>365826</v>
      </c>
      <c r="E27" s="40">
        <f>IF(CAA!C27=0,NA(),CAA!C27)</f>
        <v>231309</v>
      </c>
      <c r="F27" s="40">
        <f>IF(NCA!C27=0,NA(),NCA!C27)</f>
        <v>116641</v>
      </c>
      <c r="G27" s="40">
        <f>IF(IVC!C27=0,NA(),IVC!C27)</f>
        <v>158272</v>
      </c>
      <c r="H27" s="40">
        <f>IF(BR!C27=0,NA(),BR!C27)</f>
        <v>57200</v>
      </c>
      <c r="I27" s="17">
        <f t="shared" si="1"/>
        <v>0.63229240130553865</v>
      </c>
      <c r="U27" s="28" t="s">
        <v>30</v>
      </c>
      <c r="V27" s="41">
        <f t="shared" si="9"/>
        <v>-3.3950580798663976E-2</v>
      </c>
      <c r="W27" s="41">
        <f t="shared" si="9"/>
        <v>-2.5572735747355746E-2</v>
      </c>
      <c r="X27" s="41">
        <f t="shared" si="9"/>
        <v>-2.5010772705526874E-2</v>
      </c>
      <c r="Y27" s="41">
        <f t="shared" si="9"/>
        <v>-9.5548684200543743E-3</v>
      </c>
      <c r="Z27" s="41"/>
      <c r="AA27" s="41"/>
      <c r="AB27" s="41"/>
      <c r="AE27" s="28" t="s">
        <v>22</v>
      </c>
      <c r="AF27" s="39">
        <f ca="1"/>
        <v>812601</v>
      </c>
    </row>
    <row r="28" spans="2:34" x14ac:dyDescent="0.55000000000000004">
      <c r="B28" s="36" t="s">
        <v>47</v>
      </c>
      <c r="C28" s="67">
        <f t="shared" si="0"/>
        <v>912398</v>
      </c>
      <c r="D28" s="40">
        <f>IF(ECA!C28=0,NA(),ECA!C28)</f>
        <v>373498</v>
      </c>
      <c r="E28" s="40">
        <f>IF(CAA!C28=0,NA(),CAA!C28)</f>
        <v>213313</v>
      </c>
      <c r="F28" s="40">
        <f>IF(NCA!C28=0,NA(),NCA!C28)</f>
        <v>114694</v>
      </c>
      <c r="G28" s="40">
        <f>IF(IVC!C28=0,NA(),IVC!C28)</f>
        <v>155454</v>
      </c>
      <c r="H28" s="40">
        <f>IF(BR!C28=0,NA(),BR!C28)</f>
        <v>55439</v>
      </c>
      <c r="I28" s="17">
        <f t="shared" si="1"/>
        <v>0.57112220145757142</v>
      </c>
      <c r="U28" s="28" t="s">
        <v>74</v>
      </c>
      <c r="V28" s="41">
        <f t="shared" si="9"/>
        <v>-5.4786931675968598E-3</v>
      </c>
      <c r="W28" s="41">
        <f t="shared" si="9"/>
        <v>-3.2461708993696603E-2</v>
      </c>
      <c r="X28" s="41">
        <f t="shared" si="9"/>
        <v>-8.5824154791112051E-2</v>
      </c>
      <c r="Y28" s="41">
        <f t="shared" si="9"/>
        <v>-0.13075816185281031</v>
      </c>
      <c r="Z28" s="41"/>
      <c r="AA28" s="41"/>
      <c r="AB28" s="41"/>
      <c r="AE28" s="28" t="s">
        <v>24</v>
      </c>
      <c r="AF28" s="39">
        <f ca="1"/>
        <v>865508</v>
      </c>
    </row>
    <row r="29" spans="2:34" x14ac:dyDescent="0.55000000000000004">
      <c r="B29" s="36" t="s">
        <v>48</v>
      </c>
      <c r="C29" s="67">
        <f t="shared" si="0"/>
        <v>916242</v>
      </c>
      <c r="D29" s="40">
        <f>IF(ECA!C29=0,NA(),ECA!C29)</f>
        <v>364081</v>
      </c>
      <c r="E29" s="40">
        <f>IF(CAA!C29=0,NA(),CAA!C29)</f>
        <v>228895</v>
      </c>
      <c r="F29" s="40">
        <f>IF(NCA!C29=0,NA(),NCA!C29)</f>
        <v>115899</v>
      </c>
      <c r="G29" s="40">
        <f>IF(IVC!C29=0,NA(),IVC!C29)</f>
        <v>156723</v>
      </c>
      <c r="H29" s="40">
        <f>IF(BR!C29=0,NA(),BR!C29)</f>
        <v>50644</v>
      </c>
      <c r="I29" s="17">
        <f t="shared" si="1"/>
        <v>0.62869251622578493</v>
      </c>
      <c r="U29" s="28" t="s">
        <v>165</v>
      </c>
      <c r="V29" s="41">
        <f t="shared" si="9"/>
        <v>-7.7670098387941144E-2</v>
      </c>
      <c r="W29" s="41">
        <f t="shared" si="9"/>
        <v>-2.8906363929630419E-2</v>
      </c>
      <c r="X29" s="41">
        <f t="shared" si="9"/>
        <v>8.6677858438050093E-2</v>
      </c>
      <c r="AE29" s="28" t="s">
        <v>26</v>
      </c>
      <c r="AF29" s="39">
        <f ca="1"/>
        <v>916242</v>
      </c>
    </row>
    <row r="30" spans="2:34" x14ac:dyDescent="0.55000000000000004">
      <c r="B30" s="42" t="s">
        <v>49</v>
      </c>
      <c r="C30" s="67">
        <f t="shared" si="0"/>
        <v>950094</v>
      </c>
      <c r="D30" s="40">
        <f>IF(ECA!C30=0,NA(),ECA!C30)</f>
        <v>369679</v>
      </c>
      <c r="E30" s="40">
        <f>IF(CAA!C30=0,NA(),CAA!C30)</f>
        <v>231080</v>
      </c>
      <c r="F30" s="40">
        <f>IF(NCA!C30=0,NA(),NCA!C30)</f>
        <v>119244</v>
      </c>
      <c r="G30" s="40">
        <f>IF(IVC!C30=0,NA(),IVC!C30)</f>
        <v>171000</v>
      </c>
      <c r="H30" s="40">
        <f>IF(BR!C30=0,NA(),BR!C30)</f>
        <v>59091</v>
      </c>
      <c r="I30" s="17">
        <f t="shared" si="1"/>
        <v>0.6250828421414254</v>
      </c>
      <c r="AE30" s="28" t="s">
        <v>28</v>
      </c>
      <c r="AF30" s="39">
        <f ca="1"/>
        <v>884179</v>
      </c>
    </row>
    <row r="31" spans="2:34" x14ac:dyDescent="0.55000000000000004">
      <c r="B31" s="36" t="s">
        <v>50</v>
      </c>
      <c r="C31" s="67">
        <f t="shared" si="0"/>
        <v>930529</v>
      </c>
      <c r="D31" s="40">
        <f>IF(ECA!C31=0,NA(),ECA!C31)</f>
        <v>359577</v>
      </c>
      <c r="E31" s="40">
        <f>IF(CAA!C31=0,NA(),CAA!C31)</f>
        <v>230806</v>
      </c>
      <c r="F31" s="40">
        <f>IF(NCA!C31=0,NA(),NCA!C31)</f>
        <v>107130</v>
      </c>
      <c r="G31" s="40">
        <f>IF(IVC!C31=0,NA(),IVC!C31)</f>
        <v>172357</v>
      </c>
      <c r="H31" s="40">
        <f>IF(BR!C31=0,NA(),BR!C31)</f>
        <v>60659</v>
      </c>
      <c r="I31" s="17">
        <f t="shared" si="1"/>
        <v>0.64188198911498784</v>
      </c>
      <c r="AE31" s="28" t="s">
        <v>30</v>
      </c>
      <c r="AF31" s="39">
        <f ca="1"/>
        <v>862065</v>
      </c>
    </row>
    <row r="32" spans="2:34" ht="15.6" x14ac:dyDescent="0.6">
      <c r="B32" s="36" t="s">
        <v>51</v>
      </c>
      <c r="C32" s="67">
        <f t="shared" si="0"/>
        <v>960085</v>
      </c>
      <c r="D32" s="40">
        <f>IF(ECA!C32=0,NA(),ECA!C32)</f>
        <v>375375</v>
      </c>
      <c r="E32" s="40">
        <f>IF(CAA!C32=0,NA(),CAA!C32)</f>
        <v>222028</v>
      </c>
      <c r="F32" s="40">
        <f>IF(NCA!C32=0,NA(),NCA!C32)</f>
        <v>109666</v>
      </c>
      <c r="G32" s="40">
        <f>IF(IVC!C32=0,NA(),IVC!C32)</f>
        <v>189000</v>
      </c>
      <c r="H32" s="40">
        <f>IF(BR!C32=0,NA(),BR!C32)</f>
        <v>64016</v>
      </c>
      <c r="I32" s="17">
        <f t="shared" si="1"/>
        <v>0.59148318348318352</v>
      </c>
      <c r="U32" s="149" t="s">
        <v>52</v>
      </c>
      <c r="V32" s="149"/>
      <c r="W32" s="149"/>
      <c r="X32" s="149"/>
      <c r="Y32" s="149"/>
      <c r="Z32" s="92"/>
      <c r="AA32" s="92"/>
      <c r="AB32" s="92"/>
      <c r="AE32" s="29" t="s">
        <v>74</v>
      </c>
      <c r="AF32" s="39">
        <f ca="1"/>
        <v>788079</v>
      </c>
    </row>
    <row r="33" spans="2:32" x14ac:dyDescent="0.55000000000000004">
      <c r="B33" s="36" t="s">
        <v>53</v>
      </c>
      <c r="C33" s="67">
        <f t="shared" si="0"/>
        <v>884179</v>
      </c>
      <c r="D33" s="40">
        <f>IF(ECA!C33=0,NA(),ECA!C33)</f>
        <v>343283</v>
      </c>
      <c r="E33" s="40">
        <f>IF(CAA!C33=0,NA(),CAA!C33)</f>
        <v>213977</v>
      </c>
      <c r="F33" s="40">
        <f>IF(NCA!C33=0,NA(),NCA!C33)</f>
        <v>102493</v>
      </c>
      <c r="G33" s="40">
        <f>IF(IVC!C33=0,NA(),IVC!C33)</f>
        <v>162000</v>
      </c>
      <c r="H33" s="40">
        <f>IF(BR!C33=0,NA(),BR!C33)</f>
        <v>62426</v>
      </c>
      <c r="I33" s="17">
        <f t="shared" si="1"/>
        <v>0.62332536129083005</v>
      </c>
      <c r="V33" s="18" t="s">
        <v>9</v>
      </c>
      <c r="W33" s="18" t="s">
        <v>10</v>
      </c>
      <c r="X33" s="18" t="s">
        <v>11</v>
      </c>
      <c r="Y33" s="18" t="s">
        <v>12</v>
      </c>
      <c r="Z33" s="18"/>
      <c r="AA33" s="18"/>
      <c r="AB33" s="18"/>
      <c r="AE33" s="29" t="s">
        <v>165</v>
      </c>
      <c r="AF33" s="39">
        <f ca="1"/>
        <v>856388</v>
      </c>
    </row>
    <row r="34" spans="2:32" x14ac:dyDescent="0.55000000000000004">
      <c r="B34" s="42" t="s">
        <v>54</v>
      </c>
      <c r="C34" s="67">
        <f t="shared" si="0"/>
        <v>922671</v>
      </c>
      <c r="D34" s="40">
        <f>IF(ECA!C34=0,NA(),ECA!C34)</f>
        <v>366298</v>
      </c>
      <c r="E34" s="40">
        <f>IF(CAA!C34=0,NA(),CAA!C34)</f>
        <v>211468</v>
      </c>
      <c r="F34" s="40">
        <f>IF(NCA!C34=0,NA(),NCA!C34)</f>
        <v>97881</v>
      </c>
      <c r="G34" s="40">
        <f>IF(IVC!C34=0,NA(),IVC!C34)</f>
        <v>183000</v>
      </c>
      <c r="H34" s="40">
        <f>IF(BR!C34=0,NA(),BR!C34)</f>
        <v>64024</v>
      </c>
      <c r="I34" s="17">
        <f t="shared" si="1"/>
        <v>0.57731136943144656</v>
      </c>
      <c r="U34" s="28" t="s">
        <v>16</v>
      </c>
      <c r="V34" s="41"/>
      <c r="W34" s="41">
        <f t="shared" ref="W34:Y44" si="10">IFERROR(W7/V7-1,"")</f>
        <v>0</v>
      </c>
      <c r="X34" s="41">
        <f t="shared" si="10"/>
        <v>-2.9875186757907013E-2</v>
      </c>
      <c r="Y34" s="41">
        <f t="shared" si="10"/>
        <v>6.6195580528662479E-2</v>
      </c>
      <c r="Z34" s="41"/>
      <c r="AA34" s="41"/>
      <c r="AB34" s="41"/>
    </row>
    <row r="35" spans="2:32" x14ac:dyDescent="0.55000000000000004">
      <c r="B35" s="36" t="s">
        <v>55</v>
      </c>
      <c r="C35" s="67">
        <f t="shared" si="0"/>
        <v>898937</v>
      </c>
      <c r="D35" s="40">
        <f>IF(ECA!C35=0,NA(),ECA!C35)</f>
        <v>350739</v>
      </c>
      <c r="E35" s="40">
        <f>IF(CAA!C35=0,NA(),CAA!C35)</f>
        <v>211202</v>
      </c>
      <c r="F35" s="40">
        <f>IF(NCA!C35=0,NA(),NCA!C35)</f>
        <v>103971</v>
      </c>
      <c r="G35" s="40">
        <f>IF(IVC!C35=0,NA(),IVC!C35)</f>
        <v>170000</v>
      </c>
      <c r="H35" s="40">
        <f>IF(BR!C35=0,NA(),BR!C35)</f>
        <v>63025</v>
      </c>
      <c r="I35" s="17">
        <f t="shared" si="1"/>
        <v>0.60216286184313694</v>
      </c>
      <c r="U35" s="28" t="s">
        <v>18</v>
      </c>
      <c r="V35" s="41">
        <f t="shared" ref="V35:V43" si="11">IFERROR(V8/Y7-1,"")</f>
        <v>-8.6032727695839473E-4</v>
      </c>
      <c r="W35" s="41">
        <f t="shared" si="10"/>
        <v>6.6485748264630828E-3</v>
      </c>
      <c r="X35" s="41">
        <f t="shared" si="10"/>
        <v>-2.1301558032109535E-2</v>
      </c>
      <c r="Y35" s="41">
        <f t="shared" si="10"/>
        <v>4.418468592169833E-2</v>
      </c>
      <c r="Z35" s="41"/>
      <c r="AA35" s="41"/>
      <c r="AB35" s="41"/>
    </row>
    <row r="36" spans="2:32" x14ac:dyDescent="0.55000000000000004">
      <c r="B36" s="36" t="s">
        <v>56</v>
      </c>
      <c r="C36" s="67">
        <f t="shared" si="0"/>
        <v>935533</v>
      </c>
      <c r="D36" s="40">
        <f>IF(ECA!C36=0,NA(),ECA!C36)</f>
        <v>367287</v>
      </c>
      <c r="E36" s="40">
        <f>IF(CAA!C36=0,NA(),CAA!C36)</f>
        <v>225562</v>
      </c>
      <c r="F36" s="40">
        <f>IF(NCA!C36=0,NA(),NCA!C36)</f>
        <v>113683</v>
      </c>
      <c r="G36" s="40">
        <f>IF(IVC!C36=0,NA(),IVC!C36)</f>
        <v>169059</v>
      </c>
      <c r="H36" s="40">
        <f>IF(BR!C36=0,NA(),BR!C36)</f>
        <v>59942</v>
      </c>
      <c r="I36" s="17">
        <f t="shared" si="1"/>
        <v>0.61413009444929989</v>
      </c>
      <c r="U36" s="28" t="s">
        <v>20</v>
      </c>
      <c r="V36" s="41">
        <f t="shared" si="11"/>
        <v>7.7595433464145991E-3</v>
      </c>
      <c r="W36" s="41">
        <f t="shared" si="10"/>
        <v>9.8613219685881326E-3</v>
      </c>
      <c r="X36" s="41">
        <f t="shared" si="10"/>
        <v>-8.079657263433182E-3</v>
      </c>
      <c r="Y36" s="41">
        <f t="shared" si="10"/>
        <v>3.1656438104170403E-2</v>
      </c>
      <c r="Z36" s="41"/>
      <c r="AA36" s="41"/>
      <c r="AB36" s="41"/>
    </row>
    <row r="37" spans="2:32" x14ac:dyDescent="0.55000000000000004">
      <c r="B37" s="36" t="s">
        <v>57</v>
      </c>
      <c r="C37" s="67">
        <f t="shared" si="0"/>
        <v>862065</v>
      </c>
      <c r="D37" s="40">
        <f>IF(ECA!C37=0,NA(),ECA!C37)</f>
        <v>357502</v>
      </c>
      <c r="E37" s="40">
        <f>IF(CAA!C37=0,NA(),CAA!C37)</f>
        <v>215528</v>
      </c>
      <c r="F37" s="40">
        <f>IF(NCA!C37=0,NA(),NCA!C37)</f>
        <v>104781</v>
      </c>
      <c r="G37" s="40">
        <f>IF(IVC!C37=0,NA(),IVC!C37)</f>
        <v>129819</v>
      </c>
      <c r="H37" s="40">
        <f>IF(BR!C37=0,NA(),BR!C37)</f>
        <v>54435</v>
      </c>
      <c r="I37" s="17">
        <f t="shared" si="1"/>
        <v>0.60287215176418596</v>
      </c>
      <c r="U37" s="28" t="s">
        <v>22</v>
      </c>
      <c r="V37" s="41">
        <f t="shared" si="11"/>
        <v>-1.7980409961252497E-2</v>
      </c>
      <c r="W37" s="41">
        <f t="shared" si="10"/>
        <v>-2.8264979712497862E-3</v>
      </c>
      <c r="X37" s="41">
        <f t="shared" si="10"/>
        <v>-8.887443727469968E-2</v>
      </c>
      <c r="Y37" s="41">
        <f t="shared" si="10"/>
        <v>5.9441226382935808E-2</v>
      </c>
      <c r="Z37" s="41"/>
      <c r="AA37" s="41"/>
      <c r="AB37" s="41"/>
    </row>
    <row r="38" spans="2:32" x14ac:dyDescent="0.55000000000000004">
      <c r="B38" s="42" t="s">
        <v>58</v>
      </c>
      <c r="C38" s="67">
        <f t="shared" si="0"/>
        <v>913855</v>
      </c>
      <c r="D38" s="40">
        <f>IF(ECA!C38=0,NA(),ECA!C38)</f>
        <v>354334</v>
      </c>
      <c r="E38" s="40">
        <f>IF(CAA!C38=0,NA(),CAA!C38)</f>
        <v>221205</v>
      </c>
      <c r="F38" s="40">
        <f>IF(NCA!C38=0,NA(),NCA!C38)</f>
        <v>109264</v>
      </c>
      <c r="G38" s="40">
        <f>IF(IVC!C38=0,NA(),IVC!C38)</f>
        <v>173684</v>
      </c>
      <c r="H38" s="40">
        <f>IF(BR!C38=0,NA(),BR!C38)</f>
        <v>55368</v>
      </c>
      <c r="I38" s="17">
        <f t="shared" si="1"/>
        <v>0.6242838677631839</v>
      </c>
      <c r="U38" s="28" t="s">
        <v>24</v>
      </c>
      <c r="V38" s="41">
        <f t="shared" si="11"/>
        <v>3.4461489854257676E-2</v>
      </c>
      <c r="W38" s="41">
        <f t="shared" si="10"/>
        <v>1.0738054573975475E-2</v>
      </c>
      <c r="X38" s="41">
        <f t="shared" si="10"/>
        <v>-3.84676059342276E-2</v>
      </c>
      <c r="Y38" s="41">
        <f t="shared" si="10"/>
        <v>6.3418246856181471E-2</v>
      </c>
      <c r="Z38" s="41"/>
      <c r="AA38" s="41"/>
      <c r="AB38" s="41"/>
    </row>
    <row r="39" spans="2:32" x14ac:dyDescent="0.55000000000000004">
      <c r="B39" s="36" t="s">
        <v>73</v>
      </c>
      <c r="C39" s="67">
        <f t="shared" si="0"/>
        <v>894012</v>
      </c>
      <c r="D39" s="40">
        <f>IF(ECA!C39=0,NA(),ECA!C39)</f>
        <v>331853</v>
      </c>
      <c r="E39" s="40">
        <f>IF(CAA!C39=0,NA(),CAA!C39)</f>
        <v>214505</v>
      </c>
      <c r="F39" s="40">
        <f>IF(NCA!C39=0,NA(),NCA!C39)</f>
        <v>102761</v>
      </c>
      <c r="G39" s="40">
        <f>IF(IVC!C39=0,NA(),IVC!C39)</f>
        <v>182325</v>
      </c>
      <c r="H39" s="40">
        <f>IF(BR!C39=0,NA(),BR!C39)</f>
        <v>62568</v>
      </c>
      <c r="I39" s="17">
        <f t="shared" si="1"/>
        <v>0.64638559844268395</v>
      </c>
      <c r="U39" s="28" t="s">
        <v>26</v>
      </c>
      <c r="V39" s="41">
        <f t="shared" si="11"/>
        <v>9.616502444053987E-3</v>
      </c>
      <c r="W39" s="41">
        <f t="shared" si="10"/>
        <v>-1.8132941905713018E-2</v>
      </c>
      <c r="X39" s="41">
        <f t="shared" si="10"/>
        <v>4.2130736805647828E-3</v>
      </c>
      <c r="Y39" s="41">
        <f t="shared" si="10"/>
        <v>3.6946570884111463E-2</v>
      </c>
      <c r="Z39" s="41"/>
      <c r="AA39" s="41"/>
      <c r="AB39" s="41"/>
    </row>
    <row r="40" spans="2:32" x14ac:dyDescent="0.55000000000000004">
      <c r="B40" s="36" t="s">
        <v>151</v>
      </c>
      <c r="C40" s="67">
        <f t="shared" ref="C40" si="12">SUM(D40:H40)</f>
        <v>905164</v>
      </c>
      <c r="D40" s="40">
        <f>IF(ECA!C40=0,NA(),ECA!C40)</f>
        <v>353522</v>
      </c>
      <c r="E40" s="40">
        <f>IF(CAA!C40=0,NA(),CAA!C40)</f>
        <v>217459</v>
      </c>
      <c r="F40" s="40">
        <f>IF(NCA!C40=0,NA(),NCA!C40)</f>
        <v>110278</v>
      </c>
      <c r="G40" s="40">
        <f>IF(IVC!C40=0,NA(),IVC!C40)</f>
        <v>169163</v>
      </c>
      <c r="H40" s="40">
        <f>IF(BR!C40=0,NA(),BR!C40)</f>
        <v>54742</v>
      </c>
      <c r="I40" s="17">
        <f t="shared" si="1"/>
        <v>0.61512154830533883</v>
      </c>
      <c r="U40" s="28" t="s">
        <v>28</v>
      </c>
      <c r="V40" s="41">
        <f t="shared" si="11"/>
        <v>-2.0592699248705881E-2</v>
      </c>
      <c r="W40" s="41">
        <f t="shared" si="10"/>
        <v>3.1762578060436697E-2</v>
      </c>
      <c r="X40" s="41">
        <f t="shared" si="10"/>
        <v>-7.9061749740908405E-2</v>
      </c>
      <c r="Y40" s="41">
        <f t="shared" si="10"/>
        <v>4.3534171248129638E-2</v>
      </c>
      <c r="Z40" s="41"/>
      <c r="AA40" s="41"/>
      <c r="AB40" s="41"/>
    </row>
    <row r="41" spans="2:32" x14ac:dyDescent="0.55000000000000004">
      <c r="B41" s="36" t="s">
        <v>160</v>
      </c>
      <c r="C41" s="67">
        <f t="shared" ref="C41" si="13">SUM(D41:H41)</f>
        <v>788079</v>
      </c>
      <c r="D41" s="40">
        <f>IF(ECA!C41=0,NA(),ECA!C41)</f>
        <v>331762</v>
      </c>
      <c r="E41" s="40">
        <f>IF(CAA!C41=0,NA(),CAA!C41)</f>
        <v>182118</v>
      </c>
      <c r="F41" s="40">
        <f>IF(NCA!C41=0,NA(),NCA!C41)</f>
        <v>101865</v>
      </c>
      <c r="G41" s="40">
        <f>IF(IVC!C41=0,NA(),IVC!C41)</f>
        <v>124277</v>
      </c>
      <c r="H41" s="40">
        <f>IF(BR!C41=0,NA(),BR!C41)</f>
        <v>48057</v>
      </c>
      <c r="I41" s="17">
        <f t="shared" si="1"/>
        <v>0.54894171122672275</v>
      </c>
      <c r="U41" s="28" t="s">
        <v>30</v>
      </c>
      <c r="V41" s="41">
        <f t="shared" si="11"/>
        <v>-2.5723145086385069E-2</v>
      </c>
      <c r="W41" s="41">
        <f t="shared" si="10"/>
        <v>4.0710305616522557E-2</v>
      </c>
      <c r="X41" s="41">
        <f t="shared" si="10"/>
        <v>-7.8530634408406796E-2</v>
      </c>
      <c r="Y41" s="41">
        <f t="shared" si="10"/>
        <v>6.0076676352711189E-2</v>
      </c>
      <c r="Z41" s="41"/>
      <c r="AA41" s="41"/>
      <c r="AB41" s="41"/>
    </row>
    <row r="42" spans="2:32" x14ac:dyDescent="0.55000000000000004">
      <c r="B42" s="36" t="s">
        <v>162</v>
      </c>
      <c r="C42" s="67">
        <f t="shared" ref="C42" si="14">SUM(D42:H42)</f>
        <v>794361</v>
      </c>
      <c r="D42" s="40">
        <f>IF(ECA!C42=0,NA(),ECA!C42)</f>
        <v>337353</v>
      </c>
      <c r="E42" s="40">
        <f>IF(CAA!C42=0,NA(),CAA!C42)</f>
        <v>183413</v>
      </c>
      <c r="F42" s="40">
        <f>IF(NCA!C42=0,NA(),NCA!C42)</f>
        <v>112784</v>
      </c>
      <c r="G42" s="40">
        <f>IF(IVC!C42=0,NA(),IVC!C42)</f>
        <v>112341</v>
      </c>
      <c r="H42" s="40">
        <f>IF(BR!C42=0,NA(),BR!C42)</f>
        <v>48470</v>
      </c>
      <c r="I42" s="17">
        <f t="shared" si="1"/>
        <v>0.54368272995941935</v>
      </c>
      <c r="U42" s="28" t="s">
        <v>74</v>
      </c>
      <c r="V42" s="41">
        <f t="shared" si="11"/>
        <v>-2.171351034901603E-2</v>
      </c>
      <c r="W42" s="41">
        <f t="shared" si="10"/>
        <v>1.2474105492991105E-2</v>
      </c>
      <c r="X42" s="41">
        <f t="shared" si="10"/>
        <v>-0.12935224997900929</v>
      </c>
      <c r="Y42" s="41">
        <f t="shared" si="10"/>
        <v>7.9712820668993434E-3</v>
      </c>
      <c r="Z42" s="41"/>
      <c r="AA42" s="41"/>
      <c r="AB42" s="41"/>
    </row>
    <row r="43" spans="2:32" x14ac:dyDescent="0.55000000000000004">
      <c r="B43" s="36" t="s">
        <v>187</v>
      </c>
      <c r="C43" s="67">
        <f t="shared" ref="C43:C44" si="15">SUM(D43:H43)</f>
        <v>824574</v>
      </c>
      <c r="D43" s="40">
        <f>IF(ECA!C43=0,NA(),ECA!C43)</f>
        <v>304470</v>
      </c>
      <c r="E43" s="40">
        <f>IF(CAA!C43=0,NA(),CAA!C43)</f>
        <v>197022</v>
      </c>
      <c r="F43" s="40">
        <f>IF(NCA!C43=0,NA(),NCA!C43)</f>
        <v>103117</v>
      </c>
      <c r="G43" s="40">
        <f>IF(IVC!C43=0,NA(),IVC!C43)</f>
        <v>165558</v>
      </c>
      <c r="H43" s="40">
        <f>IF(BR!C43=0,NA(),BR!C43)</f>
        <v>54407</v>
      </c>
      <c r="I43" s="17">
        <f t="shared" si="1"/>
        <v>0.64709823627943641</v>
      </c>
      <c r="U43" s="28" t="s">
        <v>165</v>
      </c>
      <c r="V43" s="41">
        <f t="shared" si="11"/>
        <v>3.8034344586403313E-2</v>
      </c>
      <c r="W43" s="41">
        <f t="shared" si="10"/>
        <v>6.6003778920994405E-2</v>
      </c>
      <c r="X43" s="41">
        <f t="shared" si="10"/>
        <v>-2.5723578752649301E-2</v>
      </c>
    </row>
    <row r="44" spans="2:32" x14ac:dyDescent="0.55000000000000004">
      <c r="B44" s="36" t="s">
        <v>209</v>
      </c>
      <c r="C44" s="67">
        <f t="shared" si="15"/>
        <v>878999</v>
      </c>
      <c r="D44" s="40">
        <f>IF(ECA!C44=0,NA(),ECA!C44)</f>
        <v>325895</v>
      </c>
      <c r="E44" s="40">
        <f>IF(CAA!C44=0,NA(),CAA!C44)</f>
        <v>223503</v>
      </c>
      <c r="F44" s="40">
        <f>IF(NCA!C44=0,NA(),NCA!C44)</f>
        <v>106087</v>
      </c>
      <c r="G44" s="40">
        <f>IF(IVC!C44=0,NA(),IVC!C44)</f>
        <v>169213</v>
      </c>
      <c r="H44" s="40">
        <f>IF(BR!C44=0,NA(),BR!C44)</f>
        <v>54301</v>
      </c>
      <c r="I44" s="17">
        <f t="shared" si="1"/>
        <v>0.68581291520274934</v>
      </c>
      <c r="X44" s="41" t="str">
        <f t="shared" si="10"/>
        <v/>
      </c>
    </row>
    <row r="45" spans="2:32" x14ac:dyDescent="0.55000000000000004">
      <c r="B45" s="36" t="s">
        <v>210</v>
      </c>
      <c r="C45" s="67">
        <f t="shared" ref="C45" si="16">SUM(D45:H45)</f>
        <v>856388</v>
      </c>
      <c r="D45" s="40">
        <f>IF(ECA!C45=0,NA(),ECA!C45)</f>
        <v>316366</v>
      </c>
      <c r="E45" s="40">
        <f>IF(CAA!C45=0,NA(),CAA!C45)</f>
        <v>224646</v>
      </c>
      <c r="F45" s="40">
        <f>IF(NCA!C45=0,NA(),NCA!C45)</f>
        <v>109659</v>
      </c>
      <c r="G45" s="40">
        <f>IF(IVC!C45=0,NA(),IVC!C45)</f>
        <v>153520</v>
      </c>
      <c r="H45" s="40">
        <f>IF(BR!C45=0,NA(),BR!C45)</f>
        <v>52197</v>
      </c>
      <c r="I45" s="17">
        <f t="shared" ref="I45" si="17">E45/D45</f>
        <v>0.71008262581946224</v>
      </c>
      <c r="AD45" s="38"/>
    </row>
    <row r="46" spans="2:32" x14ac:dyDescent="0.55000000000000004">
      <c r="AD46" s="38"/>
    </row>
    <row r="49" spans="3:28" x14ac:dyDescent="0.55000000000000004">
      <c r="M49" s="131" t="s">
        <v>62</v>
      </c>
      <c r="N49" s="34" t="s">
        <v>1</v>
      </c>
      <c r="O49" s="34" t="s">
        <v>3</v>
      </c>
      <c r="P49" s="34" t="s">
        <v>2</v>
      </c>
      <c r="Q49" s="34" t="s">
        <v>65</v>
      </c>
      <c r="R49" s="34" t="s">
        <v>66</v>
      </c>
    </row>
    <row r="50" spans="3:28" x14ac:dyDescent="0.55000000000000004">
      <c r="L50" s="29" t="s">
        <v>161</v>
      </c>
      <c r="M50" s="132">
        <f>AVERAGE(C7:C42)</f>
        <v>880853.13888888888</v>
      </c>
      <c r="N50" s="38">
        <f>AVERAGE(D7:D43)</f>
        <v>352926.48648648651</v>
      </c>
      <c r="O50" s="38">
        <f t="shared" ref="O50:R50" si="18">AVERAGE(E7:E43)</f>
        <v>207723.56756756757</v>
      </c>
      <c r="P50" s="38">
        <f t="shared" si="18"/>
        <v>114647.37837837837</v>
      </c>
      <c r="Q50" s="38">
        <f t="shared" si="18"/>
        <v>146768.54054054053</v>
      </c>
      <c r="R50" s="38">
        <f t="shared" si="18"/>
        <v>57266.108108108107</v>
      </c>
      <c r="U50" s="65"/>
      <c r="W50" s="65"/>
      <c r="X50" s="69"/>
      <c r="Y50" s="68"/>
      <c r="Z50" s="68"/>
      <c r="AA50" s="68"/>
      <c r="AB50" s="68"/>
    </row>
    <row r="51" spans="3:28" x14ac:dyDescent="0.55000000000000004">
      <c r="M51" s="80"/>
      <c r="N51" s="81"/>
      <c r="O51" s="81"/>
      <c r="P51" s="81"/>
    </row>
    <row r="52" spans="3:28" x14ac:dyDescent="0.55000000000000004">
      <c r="M52" s="80"/>
      <c r="N52" s="34" t="s">
        <v>1</v>
      </c>
      <c r="O52" s="34" t="s">
        <v>3</v>
      </c>
      <c r="P52" s="34" t="s">
        <v>2</v>
      </c>
      <c r="Q52" s="34" t="s">
        <v>65</v>
      </c>
      <c r="R52" s="34" t="s">
        <v>66</v>
      </c>
    </row>
    <row r="53" spans="3:28" x14ac:dyDescent="0.55000000000000004">
      <c r="M53" s="80"/>
      <c r="N53" s="68">
        <f>N50/$M$50</f>
        <v>0.40066439103761287</v>
      </c>
      <c r="O53" s="68">
        <f>O50/$M$50</f>
        <v>0.23582088590794009</v>
      </c>
      <c r="P53" s="68">
        <f>P50/$M$50</f>
        <v>0.13015492971165996</v>
      </c>
      <c r="Q53" s="68">
        <f>Q50/$M$50</f>
        <v>0.16662089746955419</v>
      </c>
      <c r="R53" s="68">
        <f>R50/$M$50</f>
        <v>6.501209518347606E-2</v>
      </c>
    </row>
    <row r="54" spans="3:28" x14ac:dyDescent="0.55000000000000004">
      <c r="M54" s="80"/>
      <c r="N54" s="81"/>
      <c r="O54" s="81"/>
      <c r="P54" s="81"/>
    </row>
    <row r="55" spans="3:28" x14ac:dyDescent="0.55000000000000004">
      <c r="C55" s="80"/>
      <c r="D55" s="82"/>
      <c r="E55" s="82"/>
      <c r="F55" s="82"/>
      <c r="M55" s="80"/>
      <c r="N55" s="81"/>
      <c r="O55" s="81"/>
      <c r="P55" s="81"/>
      <c r="X55" s="45"/>
    </row>
    <row r="57" spans="3:28" x14ac:dyDescent="0.55000000000000004">
      <c r="E57" s="70"/>
    </row>
    <row r="137" spans="6:15" x14ac:dyDescent="0.55000000000000004">
      <c r="G137" s="29" t="s">
        <v>171</v>
      </c>
      <c r="H137" s="29" t="s">
        <v>172</v>
      </c>
      <c r="I137" s="29" t="s">
        <v>173</v>
      </c>
      <c r="O137" s="29">
        <v>60780</v>
      </c>
    </row>
    <row r="138" spans="6:15" x14ac:dyDescent="0.55000000000000004">
      <c r="F138" s="29" t="s">
        <v>55</v>
      </c>
      <c r="G138" s="81">
        <v>898937</v>
      </c>
      <c r="H138" s="81">
        <v>1133619</v>
      </c>
      <c r="I138" s="81">
        <f>H138-G138</f>
        <v>234682</v>
      </c>
      <c r="O138" s="29">
        <v>81866</v>
      </c>
    </row>
    <row r="139" spans="6:15" x14ac:dyDescent="0.55000000000000004">
      <c r="F139" s="29" t="s">
        <v>56</v>
      </c>
      <c r="G139" s="81">
        <v>931501</v>
      </c>
      <c r="H139" s="81">
        <v>1188932</v>
      </c>
      <c r="I139" s="81">
        <f t="shared" ref="I139:I145" si="19">H139-G139</f>
        <v>257431</v>
      </c>
      <c r="O139" s="29">
        <v>24582</v>
      </c>
    </row>
    <row r="140" spans="6:15" x14ac:dyDescent="0.55000000000000004">
      <c r="F140" s="29" t="s">
        <v>57</v>
      </c>
      <c r="G140" s="81">
        <v>857505</v>
      </c>
      <c r="H140" s="81">
        <v>1147784</v>
      </c>
      <c r="I140" s="81">
        <f t="shared" si="19"/>
        <v>290279</v>
      </c>
    </row>
    <row r="141" spans="6:15" x14ac:dyDescent="0.55000000000000004">
      <c r="F141" s="29" t="s">
        <v>58</v>
      </c>
      <c r="G141" s="81">
        <v>909648</v>
      </c>
      <c r="H141" s="81">
        <v>1139289</v>
      </c>
      <c r="I141" s="81">
        <f t="shared" si="19"/>
        <v>229641</v>
      </c>
    </row>
    <row r="142" spans="6:15" x14ac:dyDescent="0.55000000000000004">
      <c r="F142" s="29" t="s">
        <v>73</v>
      </c>
      <c r="G142" s="81">
        <v>886639</v>
      </c>
      <c r="H142" s="81">
        <v>1127894</v>
      </c>
      <c r="I142" s="81">
        <f t="shared" si="19"/>
        <v>241255</v>
      </c>
      <c r="O142" s="29">
        <f>SUM(O137:O139)</f>
        <v>167228</v>
      </c>
    </row>
    <row r="143" spans="6:15" x14ac:dyDescent="0.55000000000000004">
      <c r="F143" s="29" t="s">
        <v>151</v>
      </c>
      <c r="G143" s="81">
        <v>898996</v>
      </c>
      <c r="H143" s="81">
        <v>1198656</v>
      </c>
      <c r="I143" s="81">
        <f t="shared" si="19"/>
        <v>299660</v>
      </c>
    </row>
    <row r="144" spans="6:15" x14ac:dyDescent="0.55000000000000004">
      <c r="F144" s="29" t="s">
        <v>160</v>
      </c>
      <c r="G144" s="81">
        <v>775695</v>
      </c>
      <c r="H144" s="81">
        <v>1104060</v>
      </c>
      <c r="I144" s="81">
        <f t="shared" si="19"/>
        <v>328365</v>
      </c>
    </row>
    <row r="145" spans="6:9" x14ac:dyDescent="0.55000000000000004">
      <c r="F145" s="29" t="s">
        <v>162</v>
      </c>
      <c r="G145" s="81">
        <v>796661</v>
      </c>
      <c r="H145" s="81">
        <v>1019749</v>
      </c>
      <c r="I145" s="81">
        <f t="shared" si="19"/>
        <v>223088</v>
      </c>
    </row>
  </sheetData>
  <mergeCells count="4">
    <mergeCell ref="A1:AL1"/>
    <mergeCell ref="U18:Y18"/>
    <mergeCell ref="AD18:AE18"/>
    <mergeCell ref="U32:Y32"/>
  </mergeCells>
  <conditionalFormatting sqref="I7:I45">
    <cfRule type="colorScale" priority="1">
      <colorScale>
        <cfvo type="min"/>
        <cfvo type="max"/>
        <color rgb="FFFCFCFF"/>
        <color rgb="FF63BE7B"/>
      </colorScale>
    </cfRule>
  </conditionalFormatting>
  <conditionalFormatting sqref="N53:R53">
    <cfRule type="colorScale" priority="5">
      <colorScale>
        <cfvo type="min"/>
        <cfvo type="max"/>
        <color rgb="FFFCFCFF"/>
        <color rgb="FF63BE7B"/>
      </colorScale>
    </cfRule>
  </conditionalFormatting>
  <conditionalFormatting sqref="P54:P55 P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{432D64CF-E3E3-4EA3-AA1B-9027B7DD794A}</x14:id>
        </ext>
      </extLst>
    </cfRule>
  </conditionalFormatting>
  <conditionalFormatting sqref="V21:AB28 V29:X2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{005F9FCA-9452-43F3-A277-8396A3B85149}</x14:id>
        </ext>
      </extLst>
    </cfRule>
  </conditionalFormatting>
  <conditionalFormatting sqref="V34:AB42 V43:W43 X43:X4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{40239BA8-FF4C-4571-9DFB-FE55B64AC4A9}</x14:id>
        </ext>
      </extLst>
    </cfRule>
  </conditionalFormatting>
  <conditionalFormatting sqref="Z7:Z1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6:AA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{F88163D8-9863-40E7-8A5B-DA44FD3A7863}</x14:id>
        </ext>
      </extLst>
    </cfRule>
  </conditionalFormatting>
  <conditionalFormatting sqref="AB7:AB15 V7:Y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:AE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:AF1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{876150CD-07A1-41DE-9370-75C77456E746}</x14:id>
        </ext>
      </extLst>
    </cfRule>
  </conditionalFormatting>
  <dataValidations disablePrompts="1" count="1">
    <dataValidation type="list" allowBlank="1" showInputMessage="1" showErrorMessage="1" sqref="AF18" xr:uid="{600C3E77-BE9C-4315-908B-C473B3D5DCFA}">
      <formula1>$V$6:$Y$6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2D64CF-E3E3-4EA3-AA1B-9027B7DD79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P54:P55 P51</xm:sqref>
        </x14:conditionalFormatting>
        <x14:conditionalFormatting xmlns:xm="http://schemas.microsoft.com/office/excel/2006/main">
          <x14:cfRule type="dataBar" id="{005F9FCA-9452-43F3-A277-8396A3B851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V21:AB28 V29:X29</xm:sqref>
        </x14:conditionalFormatting>
        <x14:conditionalFormatting xmlns:xm="http://schemas.microsoft.com/office/excel/2006/main">
          <x14:cfRule type="dataBar" id="{40239BA8-FF4C-4571-9DFB-FE55B64AC4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V34:AB42 V43:W43 X43:X44</xm:sqref>
        </x14:conditionalFormatting>
        <x14:conditionalFormatting xmlns:xm="http://schemas.microsoft.com/office/excel/2006/main">
          <x14:cfRule type="dataBar" id="{F88163D8-9863-40E7-8A5B-DA44FD3A78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AA8:AA15</xm:sqref>
        </x14:conditionalFormatting>
        <x14:conditionalFormatting xmlns:xm="http://schemas.microsoft.com/office/excel/2006/main">
          <x14:cfRule type="dataBar" id="{876150CD-07A1-41DE-9370-75C77456E7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AF8:AF16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A5E8-1249-4975-810B-6AAD60716BB6}">
  <dimension ref="A1:F40"/>
  <sheetViews>
    <sheetView showGridLines="0" workbookViewId="0">
      <selection activeCell="D34" sqref="D34"/>
    </sheetView>
  </sheetViews>
  <sheetFormatPr defaultRowHeight="14.4" x14ac:dyDescent="0.55000000000000004"/>
  <cols>
    <col min="1" max="1" width="9.62890625" bestFit="1" customWidth="1"/>
  </cols>
  <sheetData>
    <row r="1" spans="1:6" x14ac:dyDescent="0.55000000000000004">
      <c r="A1" s="34" t="s">
        <v>7</v>
      </c>
      <c r="B1" s="34" t="s">
        <v>1</v>
      </c>
      <c r="C1" s="34" t="s">
        <v>3</v>
      </c>
      <c r="D1" s="34" t="s">
        <v>2</v>
      </c>
      <c r="E1" s="34" t="s">
        <v>65</v>
      </c>
      <c r="F1" s="34" t="s">
        <v>66</v>
      </c>
    </row>
    <row r="2" spans="1:6" x14ac:dyDescent="0.55000000000000004">
      <c r="A2" s="36" t="s">
        <v>15</v>
      </c>
      <c r="B2" s="146">
        <f>TOTAL!D7/TOTAL!$C7</f>
        <v>0.41301427565892568</v>
      </c>
      <c r="C2" s="146">
        <f>TOTAL!E7/TOTAL!$C7</f>
        <v>0.21572133835973981</v>
      </c>
      <c r="D2" s="146">
        <f>TOTAL!F7/TOTAL!$C7</f>
        <v>0.14606565368610569</v>
      </c>
      <c r="E2" s="146">
        <f>TOTAL!G7/TOTAL!$C7</f>
        <v>0.15439058873872613</v>
      </c>
      <c r="F2" s="146">
        <f>TOTAL!H7/TOTAL!$C7</f>
        <v>7.0808143556502695E-2</v>
      </c>
    </row>
    <row r="3" spans="1:6" x14ac:dyDescent="0.55000000000000004">
      <c r="A3" s="36" t="s">
        <v>17</v>
      </c>
      <c r="B3" s="146">
        <f>TOTAL!D8/TOTAL!$C8</f>
        <v>0.41301427565892568</v>
      </c>
      <c r="C3" s="146">
        <f>TOTAL!E8/TOTAL!$C8</f>
        <v>0.21572133835973981</v>
      </c>
      <c r="D3" s="146">
        <f>TOTAL!F8/TOTAL!$C8</f>
        <v>0.14606565368610569</v>
      </c>
      <c r="E3" s="146">
        <f>TOTAL!G8/TOTAL!$C8</f>
        <v>0.15439058873872613</v>
      </c>
      <c r="F3" s="146">
        <f>TOTAL!H8/TOTAL!$C8</f>
        <v>7.0808143556502695E-2</v>
      </c>
    </row>
    <row r="4" spans="1:6" x14ac:dyDescent="0.55000000000000004">
      <c r="A4" s="36" t="s">
        <v>19</v>
      </c>
      <c r="B4" s="146">
        <f>TOTAL!D9/TOTAL!$C9</f>
        <v>0.4159952081041185</v>
      </c>
      <c r="C4" s="146">
        <f>TOTAL!E9/TOTAL!$C9</f>
        <v>0.20159796695296073</v>
      </c>
      <c r="D4" s="146">
        <f>TOTAL!F9/TOTAL!$C9</f>
        <v>0.15428927312052171</v>
      </c>
      <c r="E4" s="146">
        <f>TOTAL!G9/TOTAL!$C9</f>
        <v>0.15914507765527924</v>
      </c>
      <c r="F4" s="146">
        <f>TOTAL!H9/TOTAL!$C9</f>
        <v>6.8972474167119879E-2</v>
      </c>
    </row>
    <row r="5" spans="1:6" x14ac:dyDescent="0.55000000000000004">
      <c r="A5" s="42" t="s">
        <v>21</v>
      </c>
      <c r="B5" s="146">
        <f>TOTAL!D10/TOTAL!$C10</f>
        <v>0.41552397104505084</v>
      </c>
      <c r="C5" s="146">
        <f>TOTAL!E10/TOTAL!$C10</f>
        <v>0.22261203353395884</v>
      </c>
      <c r="D5" s="146">
        <f>TOTAL!F10/TOTAL!$C10</f>
        <v>0.14729343624351962</v>
      </c>
      <c r="E5" s="146">
        <f>TOTAL!G10/TOTAL!$C10</f>
        <v>0.15043974241895353</v>
      </c>
      <c r="F5" s="146">
        <f>TOTAL!H10/TOTAL!$C10</f>
        <v>6.4130816758517187E-2</v>
      </c>
    </row>
    <row r="6" spans="1:6" x14ac:dyDescent="0.55000000000000004">
      <c r="A6" s="36" t="s">
        <v>23</v>
      </c>
      <c r="B6" s="146">
        <f>TOTAL!D11/TOTAL!$C11</f>
        <v>0.4155782742642985</v>
      </c>
      <c r="C6" s="146">
        <f>TOTAL!E11/TOTAL!$C11</f>
        <v>0.23111914147277932</v>
      </c>
      <c r="D6" s="146">
        <f>TOTAL!F11/TOTAL!$C11</f>
        <v>0.1365475169596298</v>
      </c>
      <c r="E6" s="146">
        <f>TOTAL!G11/TOTAL!$C11</f>
        <v>0.14586399123874993</v>
      </c>
      <c r="F6" s="146">
        <f>TOTAL!H11/TOTAL!$C11</f>
        <v>7.0891076064542466E-2</v>
      </c>
    </row>
    <row r="7" spans="1:6" x14ac:dyDescent="0.55000000000000004">
      <c r="A7" s="36" t="s">
        <v>25</v>
      </c>
      <c r="B7" s="146">
        <f>TOTAL!D12/TOTAL!$C12</f>
        <v>0.41884689497860961</v>
      </c>
      <c r="C7" s="146">
        <f>TOTAL!E12/TOTAL!$C12</f>
        <v>0.22231025323718476</v>
      </c>
      <c r="D7" s="146">
        <f>TOTAL!F12/TOTAL!$C12</f>
        <v>0.13879842338789308</v>
      </c>
      <c r="E7" s="146">
        <f>TOTAL!G12/TOTAL!$C12</f>
        <v>0.15191192847518986</v>
      </c>
      <c r="F7" s="146">
        <f>TOTAL!H12/TOTAL!$C12</f>
        <v>6.813249992112265E-2</v>
      </c>
    </row>
    <row r="8" spans="1:6" x14ac:dyDescent="0.55000000000000004">
      <c r="A8" s="36" t="s">
        <v>27</v>
      </c>
      <c r="B8" s="146">
        <f>TOTAL!D13/TOTAL!$C13</f>
        <v>0.42518954544911824</v>
      </c>
      <c r="C8" s="146">
        <f>TOTAL!E13/TOTAL!$C13</f>
        <v>0.22135804090599739</v>
      </c>
      <c r="D8" s="146">
        <f>TOTAL!F13/TOTAL!$C13</f>
        <v>0.14244385275751317</v>
      </c>
      <c r="E8" s="146">
        <f>TOTAL!G13/TOTAL!$C13</f>
        <v>0.14924838513247288</v>
      </c>
      <c r="F8" s="146">
        <f>TOTAL!H13/TOTAL!$C13</f>
        <v>6.1760175754898332E-2</v>
      </c>
    </row>
    <row r="9" spans="1:6" x14ac:dyDescent="0.55000000000000004">
      <c r="A9" s="42" t="s">
        <v>29</v>
      </c>
      <c r="B9" s="146">
        <f>TOTAL!D14/TOTAL!$C14</f>
        <v>0.41521675494204929</v>
      </c>
      <c r="C9" s="146">
        <f>TOTAL!E14/TOTAL!$C14</f>
        <v>0.22459681476805987</v>
      </c>
      <c r="D9" s="146">
        <f>TOTAL!F14/TOTAL!$C14</f>
        <v>0.14692819963958031</v>
      </c>
      <c r="E9" s="146">
        <f>TOTAL!G14/TOTAL!$C14</f>
        <v>0.14447318349387561</v>
      </c>
      <c r="F9" s="146">
        <f>TOTAL!H14/TOTAL!$C14</f>
        <v>6.878504715643495E-2</v>
      </c>
    </row>
    <row r="10" spans="1:6" x14ac:dyDescent="0.55000000000000004">
      <c r="A10" s="36" t="s">
        <v>31</v>
      </c>
      <c r="B10" s="146">
        <f>TOTAL!D15/TOTAL!$C15</f>
        <v>0.40745947565135104</v>
      </c>
      <c r="C10" s="146">
        <f>TOTAL!E15/TOTAL!$C15</f>
        <v>0.23703027951191505</v>
      </c>
      <c r="D10" s="146">
        <f>TOTAL!F15/TOTAL!$C15</f>
        <v>0.13300700538509194</v>
      </c>
      <c r="E10" s="146">
        <f>TOTAL!G15/TOTAL!$C15</f>
        <v>0.15375765043877265</v>
      </c>
      <c r="F10" s="146">
        <f>TOTAL!H15/TOTAL!$C15</f>
        <v>6.8745589012869299E-2</v>
      </c>
    </row>
    <row r="11" spans="1:6" x14ac:dyDescent="0.55000000000000004">
      <c r="A11" s="36" t="s">
        <v>32</v>
      </c>
      <c r="B11" s="146">
        <f>TOTAL!D16/TOTAL!$C16</f>
        <v>0.41612762959642163</v>
      </c>
      <c r="C11" s="146">
        <f>TOTAL!E16/TOTAL!$C16</f>
        <v>0.23414040019640162</v>
      </c>
      <c r="D11" s="146">
        <f>TOTAL!F16/TOTAL!$C16</f>
        <v>0.13685305720253524</v>
      </c>
      <c r="E11" s="146">
        <f>TOTAL!G16/TOTAL!$C16</f>
        <v>0.14943601947387286</v>
      </c>
      <c r="F11" s="146">
        <f>TOTAL!H16/TOTAL!$C16</f>
        <v>6.3442893530768651E-2</v>
      </c>
    </row>
    <row r="12" spans="1:6" x14ac:dyDescent="0.55000000000000004">
      <c r="A12" s="36" t="s">
        <v>33</v>
      </c>
      <c r="B12" s="146">
        <f>TOTAL!D17/TOTAL!$C17</f>
        <v>0.39066765440824991</v>
      </c>
      <c r="C12" s="146">
        <f>TOTAL!E17/TOTAL!$C17</f>
        <v>0.24418738998348477</v>
      </c>
      <c r="D12" s="146">
        <f>TOTAL!F17/TOTAL!$C17</f>
        <v>0.14051530206542201</v>
      </c>
      <c r="E12" s="146">
        <f>TOTAL!G17/TOTAL!$C17</f>
        <v>0.15744963310837293</v>
      </c>
      <c r="F12" s="146">
        <f>TOTAL!H17/TOTAL!$C17</f>
        <v>6.7180020434470369E-2</v>
      </c>
    </row>
    <row r="13" spans="1:6" x14ac:dyDescent="0.55000000000000004">
      <c r="A13" s="42" t="s">
        <v>34</v>
      </c>
      <c r="B13" s="146">
        <f>TOTAL!D18/TOTAL!$C18</f>
        <v>0.39849841178169215</v>
      </c>
      <c r="C13" s="146">
        <f>TOTAL!E18/TOTAL!$C18</f>
        <v>0.24743485999194087</v>
      </c>
      <c r="D13" s="146">
        <f>TOTAL!F18/TOTAL!$C18</f>
        <v>0.13527908833085009</v>
      </c>
      <c r="E13" s="146">
        <f>TOTAL!G18/TOTAL!$C18</f>
        <v>0.15423559651239777</v>
      </c>
      <c r="F13" s="146">
        <f>TOTAL!H18/TOTAL!$C18</f>
        <v>6.4552043383119095E-2</v>
      </c>
    </row>
    <row r="14" spans="1:6" x14ac:dyDescent="0.55000000000000004">
      <c r="A14" s="36" t="s">
        <v>37</v>
      </c>
      <c r="B14" s="146">
        <f>TOTAL!D19/TOTAL!$C19</f>
        <v>0.39714197226498865</v>
      </c>
      <c r="C14" s="146">
        <f>TOTAL!E19/TOTAL!$C19</f>
        <v>0.25381795251080902</v>
      </c>
      <c r="D14" s="146">
        <f>TOTAL!F19/TOTAL!$C19</f>
        <v>0.12340324667120606</v>
      </c>
      <c r="E14" s="146">
        <f>TOTAL!G19/TOTAL!$C19</f>
        <v>0.1613541250881883</v>
      </c>
      <c r="F14" s="146">
        <f>TOTAL!H19/TOTAL!$C19</f>
        <v>6.428270346480798E-2</v>
      </c>
    </row>
    <row r="15" spans="1:6" x14ac:dyDescent="0.55000000000000004">
      <c r="A15" s="36" t="s">
        <v>38</v>
      </c>
      <c r="B15" s="146">
        <f>TOTAL!D20/TOTAL!$C20</f>
        <v>0.41366574537626211</v>
      </c>
      <c r="C15" s="146">
        <f>TOTAL!E20/TOTAL!$C20</f>
        <v>0.23249707074501186</v>
      </c>
      <c r="D15" s="146">
        <f>TOTAL!F20/TOTAL!$C20</f>
        <v>0.12960593811843721</v>
      </c>
      <c r="E15" s="146">
        <f>TOTAL!G20/TOTAL!$C20</f>
        <v>0.15677372696540395</v>
      </c>
      <c r="F15" s="146">
        <f>TOTAL!H20/TOTAL!$C20</f>
        <v>6.7457518794884874E-2</v>
      </c>
    </row>
    <row r="16" spans="1:6" x14ac:dyDescent="0.55000000000000004">
      <c r="A16" s="36" t="s">
        <v>39</v>
      </c>
      <c r="B16" s="146">
        <f>TOTAL!D21/TOTAL!$C21</f>
        <v>0.38654641084615943</v>
      </c>
      <c r="C16" s="146">
        <f>TOTAL!E21/TOTAL!$C21</f>
        <v>0.24941391900822174</v>
      </c>
      <c r="D16" s="146">
        <f>TOTAL!F21/TOTAL!$C21</f>
        <v>0.13632274634168554</v>
      </c>
      <c r="E16" s="146">
        <f>TOTAL!G21/TOTAL!$C21</f>
        <v>0.17174357402956678</v>
      </c>
      <c r="F16" s="146">
        <f>TOTAL!H21/TOTAL!$C21</f>
        <v>5.5973349774366507E-2</v>
      </c>
    </row>
    <row r="17" spans="1:6" x14ac:dyDescent="0.55000000000000004">
      <c r="A17" s="42" t="s">
        <v>40</v>
      </c>
      <c r="B17" s="146">
        <f>TOTAL!D22/TOTAL!$C22</f>
        <v>0.40158995845060363</v>
      </c>
      <c r="C17" s="146">
        <f>TOTAL!E22/TOTAL!$C22</f>
        <v>0.23540979645790525</v>
      </c>
      <c r="D17" s="146">
        <f>TOTAL!F22/TOTAL!$C22</f>
        <v>0.13736739214522425</v>
      </c>
      <c r="E17" s="146">
        <f>TOTAL!G22/TOTAL!$C22</f>
        <v>0.15792023026984456</v>
      </c>
      <c r="F17" s="146">
        <f>TOTAL!H22/TOTAL!$C22</f>
        <v>6.7712622676422321E-2</v>
      </c>
    </row>
    <row r="18" spans="1:6" x14ac:dyDescent="0.55000000000000004">
      <c r="A18" s="36" t="s">
        <v>41</v>
      </c>
      <c r="B18" s="146">
        <f>TOTAL!D23/TOTAL!$C23</f>
        <v>0.38643858827651023</v>
      </c>
      <c r="C18" s="146">
        <f>TOTAL!E23/TOTAL!$C23</f>
        <v>0.24427698633797867</v>
      </c>
      <c r="D18" s="146">
        <f>TOTAL!F23/TOTAL!$C23</f>
        <v>0.13254754533888932</v>
      </c>
      <c r="E18" s="146">
        <f>TOTAL!G23/TOTAL!$C23</f>
        <v>0.16870187778402845</v>
      </c>
      <c r="F18" s="146">
        <f>TOTAL!H23/TOTAL!$C23</f>
        <v>6.8035002262593319E-2</v>
      </c>
    </row>
    <row r="19" spans="1:6" x14ac:dyDescent="0.55000000000000004">
      <c r="A19" s="36" t="s">
        <v>43</v>
      </c>
      <c r="B19" s="146">
        <f>TOTAL!D24/TOTAL!$C24</f>
        <v>0.39751303694783219</v>
      </c>
      <c r="C19" s="146">
        <f>TOTAL!E24/TOTAL!$C24</f>
        <v>0.23758462628897475</v>
      </c>
      <c r="D19" s="146">
        <f>TOTAL!F24/TOTAL!$C24</f>
        <v>0.13104271141852214</v>
      </c>
      <c r="E19" s="146">
        <f>TOTAL!G24/TOTAL!$C24</f>
        <v>0.16730064634821037</v>
      </c>
      <c r="F19" s="146">
        <f>TOTAL!H24/TOTAL!$C24</f>
        <v>6.655897899646053E-2</v>
      </c>
    </row>
    <row r="20" spans="1:6" x14ac:dyDescent="0.55000000000000004">
      <c r="A20" s="36" t="s">
        <v>44</v>
      </c>
      <c r="B20" s="146">
        <f>TOTAL!D25/TOTAL!$C25</f>
        <v>0.41230583657227893</v>
      </c>
      <c r="C20" s="146">
        <f>TOTAL!E25/TOTAL!$C25</f>
        <v>0.2551853940113783</v>
      </c>
      <c r="D20" s="146">
        <f>TOTAL!F25/TOTAL!$C25</f>
        <v>0.14294379716883032</v>
      </c>
      <c r="E20" s="146">
        <f>TOTAL!G25/TOTAL!$C25</f>
        <v>0.12648178872985577</v>
      </c>
      <c r="F20" s="146">
        <f>TOTAL!H25/TOTAL!$C25</f>
        <v>6.3083183517656682E-2</v>
      </c>
    </row>
    <row r="21" spans="1:6" x14ac:dyDescent="0.55000000000000004">
      <c r="A21" s="42" t="s">
        <v>45</v>
      </c>
      <c r="B21" s="146">
        <f>TOTAL!D26/TOTAL!$C26</f>
        <v>0.40831402101484471</v>
      </c>
      <c r="C21" s="146">
        <f>TOTAL!E26/TOTAL!$C26</f>
        <v>0.22921630557248665</v>
      </c>
      <c r="D21" s="146">
        <f>TOTAL!F26/TOTAL!$C26</f>
        <v>0.13407149306223293</v>
      </c>
      <c r="E21" s="146">
        <f>TOTAL!G26/TOTAL!$C26</f>
        <v>0.16745056752683896</v>
      </c>
      <c r="F21" s="146">
        <f>TOTAL!H26/TOTAL!$C26</f>
        <v>6.0947612823596772E-2</v>
      </c>
    </row>
    <row r="22" spans="1:6" x14ac:dyDescent="0.55000000000000004">
      <c r="A22" s="36" t="s">
        <v>46</v>
      </c>
      <c r="B22" s="146">
        <f>TOTAL!D27/TOTAL!$C27</f>
        <v>0.39367962051034816</v>
      </c>
      <c r="C22" s="146">
        <f>TOTAL!E27/TOTAL!$C27</f>
        <v>0.24892063259754124</v>
      </c>
      <c r="D22" s="146">
        <f>TOTAL!F27/TOTAL!$C27</f>
        <v>0.12552192740796858</v>
      </c>
      <c r="E22" s="146">
        <f>TOTAL!G27/TOTAL!$C27</f>
        <v>0.17032266951341299</v>
      </c>
      <c r="F22" s="146">
        <f>TOTAL!H27/TOTAL!$C27</f>
        <v>6.1555149970729021E-2</v>
      </c>
    </row>
    <row r="23" spans="1:6" x14ac:dyDescent="0.55000000000000004">
      <c r="A23" s="36" t="s">
        <v>47</v>
      </c>
      <c r="B23" s="146">
        <f>TOTAL!D28/TOTAL!$C28</f>
        <v>0.40935863515702575</v>
      </c>
      <c r="C23" s="146">
        <f>TOTAL!E28/TOTAL!$C28</f>
        <v>0.23379380489654733</v>
      </c>
      <c r="D23" s="146">
        <f>TOTAL!F28/TOTAL!$C28</f>
        <v>0.1257061063264058</v>
      </c>
      <c r="E23" s="146">
        <f>TOTAL!G28/TOTAL!$C28</f>
        <v>0.17037959311616202</v>
      </c>
      <c r="F23" s="146">
        <f>TOTAL!H28/TOTAL!$C28</f>
        <v>6.076186050385906E-2</v>
      </c>
    </row>
    <row r="24" spans="1:6" x14ac:dyDescent="0.55000000000000004">
      <c r="A24" s="36" t="s">
        <v>48</v>
      </c>
      <c r="B24" s="146">
        <f>TOTAL!D29/TOTAL!$C29</f>
        <v>0.39736336033493336</v>
      </c>
      <c r="C24" s="146">
        <f>TOTAL!E29/TOTAL!$C29</f>
        <v>0.2498193708649025</v>
      </c>
      <c r="D24" s="146">
        <f>TOTAL!F29/TOTAL!$C29</f>
        <v>0.12649387388921268</v>
      </c>
      <c r="E24" s="146">
        <f>TOTAL!G29/TOTAL!$C29</f>
        <v>0.17104978815640409</v>
      </c>
      <c r="F24" s="146">
        <f>TOTAL!H29/TOTAL!$C29</f>
        <v>5.5273606754547379E-2</v>
      </c>
    </row>
    <row r="25" spans="1:6" x14ac:dyDescent="0.55000000000000004">
      <c r="A25" s="42" t="s">
        <v>49</v>
      </c>
      <c r="B25" s="146">
        <f>TOTAL!D30/TOTAL!$C30</f>
        <v>0.38909728932084614</v>
      </c>
      <c r="C25" s="146">
        <f>TOTAL!E30/TOTAL!$C30</f>
        <v>0.24321803947819901</v>
      </c>
      <c r="D25" s="146">
        <f>TOTAL!F30/TOTAL!$C30</f>
        <v>0.12550758135510803</v>
      </c>
      <c r="E25" s="146">
        <f>TOTAL!G30/TOTAL!$C30</f>
        <v>0.17998219123581455</v>
      </c>
      <c r="F25" s="146">
        <f>TOTAL!H30/TOTAL!$C30</f>
        <v>6.2194898610032273E-2</v>
      </c>
    </row>
    <row r="26" spans="1:6" x14ac:dyDescent="0.55000000000000004">
      <c r="A26" s="36" t="s">
        <v>50</v>
      </c>
      <c r="B26" s="146">
        <f>TOTAL!D31/TOTAL!$C31</f>
        <v>0.38642213192710811</v>
      </c>
      <c r="C26" s="146">
        <f>TOTAL!E31/TOTAL!$C31</f>
        <v>0.24803740667942645</v>
      </c>
      <c r="D26" s="146">
        <f>TOTAL!F31/TOTAL!$C31</f>
        <v>0.11512806156498077</v>
      </c>
      <c r="E26" s="146">
        <f>TOTAL!G31/TOTAL!$C31</f>
        <v>0.18522474850327073</v>
      </c>
      <c r="F26" s="146">
        <f>TOTAL!H31/TOTAL!$C31</f>
        <v>6.5187651325213938E-2</v>
      </c>
    </row>
    <row r="27" spans="1:6" x14ac:dyDescent="0.55000000000000004">
      <c r="A27" s="36" t="s">
        <v>51</v>
      </c>
      <c r="B27" s="146">
        <f>TOTAL!D32/TOTAL!$C32</f>
        <v>0.39098100689001497</v>
      </c>
      <c r="C27" s="146">
        <f>TOTAL!E32/TOTAL!$C32</f>
        <v>0.23125869063676655</v>
      </c>
      <c r="D27" s="146">
        <f>TOTAL!F32/TOTAL!$C32</f>
        <v>0.11422530296796637</v>
      </c>
      <c r="E27" s="146">
        <f>TOTAL!G32/TOTAL!$C32</f>
        <v>0.19685756990266487</v>
      </c>
      <c r="F27" s="146">
        <f>TOTAL!H32/TOTAL!$C32</f>
        <v>6.6677429602587268E-2</v>
      </c>
    </row>
    <row r="28" spans="1:6" x14ac:dyDescent="0.55000000000000004">
      <c r="A28" s="36" t="s">
        <v>53</v>
      </c>
      <c r="B28" s="146">
        <f>TOTAL!D33/TOTAL!$C33</f>
        <v>0.3882505691720794</v>
      </c>
      <c r="C28" s="146">
        <f>TOTAL!E33/TOTAL!$C33</f>
        <v>0.2420064263005568</v>
      </c>
      <c r="D28" s="146">
        <f>TOTAL!F33/TOTAL!$C33</f>
        <v>0.11591883543943025</v>
      </c>
      <c r="E28" s="146">
        <f>TOTAL!G33/TOTAL!$C33</f>
        <v>0.18322081840894208</v>
      </c>
      <c r="F28" s="146">
        <f>TOTAL!H33/TOTAL!$C33</f>
        <v>7.0603350678991469E-2</v>
      </c>
    </row>
    <row r="29" spans="1:6" x14ac:dyDescent="0.55000000000000004">
      <c r="A29" s="42" t="s">
        <v>54</v>
      </c>
      <c r="B29" s="146">
        <f>TOTAL!D34/TOTAL!$C34</f>
        <v>0.3969974129456762</v>
      </c>
      <c r="C29" s="146">
        <f>TOTAL!E34/TOTAL!$C34</f>
        <v>0.22919112012840981</v>
      </c>
      <c r="D29" s="146">
        <f>TOTAL!F34/TOTAL!$C34</f>
        <v>0.10608440061517052</v>
      </c>
      <c r="E29" s="146">
        <f>TOTAL!G34/TOTAL!$C34</f>
        <v>0.19833721879196375</v>
      </c>
      <c r="F29" s="146">
        <f>TOTAL!H34/TOTAL!$C34</f>
        <v>6.9389847518779718E-2</v>
      </c>
    </row>
    <row r="30" spans="1:6" x14ac:dyDescent="0.55000000000000004">
      <c r="A30" s="36" t="s">
        <v>55</v>
      </c>
      <c r="B30" s="146">
        <f>TOTAL!D35/TOTAL!$C35</f>
        <v>0.39017083510857825</v>
      </c>
      <c r="C30" s="146">
        <f>TOTAL!E35/TOTAL!$C35</f>
        <v>0.23494638667670817</v>
      </c>
      <c r="D30" s="146">
        <f>TOTAL!F35/TOTAL!$C35</f>
        <v>0.11565994057425603</v>
      </c>
      <c r="E30" s="146">
        <f>TOTAL!G35/TOTAL!$C35</f>
        <v>0.18911225147034774</v>
      </c>
      <c r="F30" s="146">
        <f>TOTAL!H35/TOTAL!$C35</f>
        <v>7.0110586170109804E-2</v>
      </c>
    </row>
    <row r="31" spans="1:6" x14ac:dyDescent="0.55000000000000004">
      <c r="A31" s="36" t="s">
        <v>56</v>
      </c>
      <c r="B31" s="146">
        <f>TOTAL!D36/TOTAL!$C36</f>
        <v>0.39259651984483712</v>
      </c>
      <c r="C31" s="146">
        <f>TOTAL!E36/TOTAL!$C36</f>
        <v>0.24110533781277624</v>
      </c>
      <c r="D31" s="146">
        <f>TOTAL!F36/TOTAL!$C36</f>
        <v>0.12151682516811273</v>
      </c>
      <c r="E31" s="146">
        <f>TOTAL!G36/TOTAL!$C36</f>
        <v>0.18070875105421189</v>
      </c>
      <c r="F31" s="146">
        <f>TOTAL!H36/TOTAL!$C36</f>
        <v>6.4072566120062041E-2</v>
      </c>
    </row>
    <row r="32" spans="1:6" x14ac:dyDescent="0.55000000000000004">
      <c r="A32" s="36" t="s">
        <v>57</v>
      </c>
      <c r="B32" s="146">
        <f>TOTAL!D37/TOTAL!$C37</f>
        <v>0.41470422763944714</v>
      </c>
      <c r="C32" s="146">
        <f>TOTAL!E37/TOTAL!$C37</f>
        <v>0.25001363006269828</v>
      </c>
      <c r="D32" s="146">
        <f>TOTAL!F37/TOTAL!$C37</f>
        <v>0.12154651911398792</v>
      </c>
      <c r="E32" s="146">
        <f>TOTAL!G37/TOTAL!$C37</f>
        <v>0.1505907327173705</v>
      </c>
      <c r="F32" s="146">
        <f>TOTAL!H37/TOTAL!$C37</f>
        <v>6.3144890466496142E-2</v>
      </c>
    </row>
    <row r="33" spans="1:6" x14ac:dyDescent="0.55000000000000004">
      <c r="A33" s="42" t="s">
        <v>58</v>
      </c>
      <c r="B33" s="146">
        <f>TOTAL!D38/TOTAL!$C38</f>
        <v>0.38773547225763388</v>
      </c>
      <c r="C33" s="146">
        <f>TOTAL!E38/TOTAL!$C38</f>
        <v>0.24205700028998037</v>
      </c>
      <c r="D33" s="146">
        <f>TOTAL!F38/TOTAL!$C38</f>
        <v>0.11956382577104682</v>
      </c>
      <c r="E33" s="146">
        <f>TOTAL!G38/TOTAL!$C38</f>
        <v>0.19005640938660948</v>
      </c>
      <c r="F33" s="146">
        <f>TOTAL!H38/TOTAL!$C38</f>
        <v>6.0587292294729471E-2</v>
      </c>
    </row>
    <row r="34" spans="1:6" x14ac:dyDescent="0.55000000000000004">
      <c r="A34" s="36" t="s">
        <v>73</v>
      </c>
      <c r="B34" s="146">
        <f>TOTAL!D39/TOTAL!$C39</f>
        <v>0.37119524122718711</v>
      </c>
      <c r="C34" s="146">
        <f>TOTAL!E39/TOTAL!$C39</f>
        <v>0.23993525813971178</v>
      </c>
      <c r="D34" s="146">
        <f>TOTAL!F39/TOTAL!$C39</f>
        <v>0.1149436472888507</v>
      </c>
      <c r="E34" s="146">
        <f>TOTAL!G39/TOTAL!$C39</f>
        <v>0.20394021556757627</v>
      </c>
      <c r="F34" s="146">
        <f>TOTAL!H39/TOTAL!$C39</f>
        <v>6.9985637776674145E-2</v>
      </c>
    </row>
    <row r="35" spans="1:6" x14ac:dyDescent="0.55000000000000004">
      <c r="A35" s="36" t="s">
        <v>151</v>
      </c>
      <c r="B35" s="146">
        <f>TOTAL!D40/TOTAL!$C40</f>
        <v>0.39056126845521916</v>
      </c>
      <c r="C35" s="146">
        <f>TOTAL!E40/TOTAL!$C40</f>
        <v>0.24024265216027152</v>
      </c>
      <c r="D35" s="146">
        <f>TOTAL!F40/TOTAL!$C40</f>
        <v>0.1218320657913925</v>
      </c>
      <c r="E35" s="146">
        <f>TOTAL!G40/TOTAL!$C40</f>
        <v>0.18688657525045185</v>
      </c>
      <c r="F35" s="146">
        <f>TOTAL!H40/TOTAL!$C40</f>
        <v>6.0477438342664974E-2</v>
      </c>
    </row>
    <row r="36" spans="1:6" x14ac:dyDescent="0.55000000000000004">
      <c r="A36" s="36" t="s">
        <v>160</v>
      </c>
      <c r="B36" s="146">
        <f>TOTAL!D41/TOTAL!$C41</f>
        <v>0.42097556209466308</v>
      </c>
      <c r="C36" s="146">
        <f>TOTAL!E41/TOTAL!$C41</f>
        <v>0.23109104544087586</v>
      </c>
      <c r="D36" s="146">
        <f>TOTAL!F41/TOTAL!$C41</f>
        <v>0.12925734602749217</v>
      </c>
      <c r="E36" s="146">
        <f>TOTAL!G41/TOTAL!$C41</f>
        <v>0.15769611929768462</v>
      </c>
      <c r="F36" s="146">
        <f>TOTAL!H41/TOTAL!$C41</f>
        <v>6.0979927139284261E-2</v>
      </c>
    </row>
    <row r="37" spans="1:6" x14ac:dyDescent="0.55000000000000004">
      <c r="A37" s="36" t="s">
        <v>162</v>
      </c>
      <c r="B37" s="146">
        <f>TOTAL!D42/TOTAL!$C42</f>
        <v>0.42468474660765065</v>
      </c>
      <c r="C37" s="146">
        <f>TOTAL!E42/TOTAL!$C42</f>
        <v>0.23089376240777179</v>
      </c>
      <c r="D37" s="146">
        <f>TOTAL!F42/TOTAL!$C42</f>
        <v>0.14198078707287995</v>
      </c>
      <c r="E37" s="146">
        <f>TOTAL!G42/TOTAL!$C42</f>
        <v>0.14142310611925812</v>
      </c>
      <c r="F37" s="146">
        <f>TOTAL!H42/TOTAL!$C42</f>
        <v>6.1017597792439461E-2</v>
      </c>
    </row>
    <row r="38" spans="1:6" x14ac:dyDescent="0.55000000000000004">
      <c r="A38" s="36" t="s">
        <v>187</v>
      </c>
      <c r="B38" s="146">
        <f>TOTAL!D43/TOTAL!$C43</f>
        <v>0.36924521025402207</v>
      </c>
      <c r="C38" s="146">
        <f>TOTAL!E43/TOTAL!$C43</f>
        <v>0.23893792431000735</v>
      </c>
      <c r="D38" s="146">
        <f>TOTAL!F43/TOTAL!$C43</f>
        <v>0.12505487682124344</v>
      </c>
      <c r="E38" s="146">
        <f>TOTAL!G43/TOTAL!$C43</f>
        <v>0.20078003914748707</v>
      </c>
      <c r="F38" s="146">
        <f>TOTAL!H43/TOTAL!$C43</f>
        <v>6.598194946724005E-2</v>
      </c>
    </row>
    <row r="39" spans="1:6" x14ac:dyDescent="0.55000000000000004">
      <c r="A39" s="36" t="s">
        <v>209</v>
      </c>
      <c r="B39" s="146">
        <f>TOTAL!D44/TOTAL!$C44</f>
        <v>0.37075696331850205</v>
      </c>
      <c r="C39" s="146">
        <f>TOTAL!E44/TOTAL!$C44</f>
        <v>0.25426991384518072</v>
      </c>
      <c r="D39" s="146">
        <f>TOTAL!F44/TOTAL!$C44</f>
        <v>0.12069069475619426</v>
      </c>
      <c r="E39" s="146">
        <f>TOTAL!G44/TOTAL!$C44</f>
        <v>0.19250647611658261</v>
      </c>
      <c r="F39" s="146">
        <f>TOTAL!H44/TOTAL!$C44</f>
        <v>6.1775951963540347E-2</v>
      </c>
    </row>
    <row r="40" spans="1:6" x14ac:dyDescent="0.55000000000000004">
      <c r="A40" s="36" t="s">
        <v>210</v>
      </c>
      <c r="B40" s="146">
        <f>TOTAL!D45/TOTAL!$C45</f>
        <v>0.36941900166746849</v>
      </c>
      <c r="C40" s="146">
        <f>TOTAL!E45/TOTAL!$C45</f>
        <v>0.26231801473164035</v>
      </c>
      <c r="D40" s="146">
        <f>TOTAL!F45/TOTAL!$C45</f>
        <v>0.12804826784121215</v>
      </c>
      <c r="E40" s="146">
        <f>TOTAL!G45/TOTAL!$C45</f>
        <v>0.17926453897065348</v>
      </c>
      <c r="F40" s="146">
        <f>TOTAL!H45/TOTAL!$C45</f>
        <v>6.0950176789025534E-2</v>
      </c>
    </row>
  </sheetData>
  <conditionalFormatting sqref="B2:F4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516E-A2BB-4C1E-A7BC-E0749DF359DC}">
  <sheetPr codeName="Sheet4"/>
  <dimension ref="A1:AG55"/>
  <sheetViews>
    <sheetView showGridLines="0" zoomScale="55" zoomScaleNormal="55" workbookViewId="0">
      <selection activeCell="T49" sqref="T49"/>
    </sheetView>
  </sheetViews>
  <sheetFormatPr defaultColWidth="9.15625" defaultRowHeight="14.4" x14ac:dyDescent="0.55000000000000004"/>
  <cols>
    <col min="1" max="1" width="5" style="29" customWidth="1"/>
    <col min="2" max="2" width="12.83984375" style="29" bestFit="1" customWidth="1"/>
    <col min="3" max="3" width="9.26171875" style="29" customWidth="1"/>
    <col min="4" max="5" width="9.15625" style="29"/>
    <col min="6" max="6" width="5.83984375" style="29" customWidth="1"/>
    <col min="7" max="7" width="6.41796875" style="29" customWidth="1"/>
    <col min="8" max="10" width="9.15625" style="29"/>
    <col min="11" max="11" width="10.83984375" style="29" bestFit="1" customWidth="1"/>
    <col min="12" max="12" width="5.578125" style="29" customWidth="1"/>
    <col min="13" max="13" width="9.15625" style="29"/>
    <col min="14" max="14" width="6" style="29" customWidth="1"/>
    <col min="15" max="16" width="9.15625" style="29"/>
    <col min="17" max="17" width="11.83984375" style="29" customWidth="1"/>
    <col min="18" max="18" width="11" style="29" customWidth="1"/>
    <col min="19" max="19" width="11.68359375" style="29" customWidth="1"/>
    <col min="20" max="20" width="9.41796875" style="29" bestFit="1" customWidth="1"/>
    <col min="21" max="21" width="9.83984375" style="29" bestFit="1" customWidth="1"/>
    <col min="22" max="22" width="9.41796875" style="29" customWidth="1"/>
    <col min="23" max="23" width="4.15625" style="29" customWidth="1"/>
    <col min="24" max="24" width="9.15625" style="29"/>
    <col min="25" max="25" width="13.578125" style="29" customWidth="1"/>
    <col min="26" max="26" width="11.578125" style="29" bestFit="1" customWidth="1"/>
    <col min="27" max="16384" width="9.15625" style="29"/>
  </cols>
  <sheetData>
    <row r="1" spans="1:33" s="1" customFormat="1" ht="55.5" customHeight="1" x14ac:dyDescent="0.55000000000000004">
      <c r="A1" s="148" t="s">
        <v>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</row>
    <row r="2" spans="1:33" s="32" customFormat="1" ht="5.25" customHeight="1" x14ac:dyDescent="0.6"/>
    <row r="3" spans="1:33" ht="9.75" customHeight="1" x14ac:dyDescent="0.55000000000000004">
      <c r="X3" s="20">
        <f>COUNT(Q16:T16)</f>
        <v>4</v>
      </c>
      <c r="Y3" s="33" t="str">
        <f ca="1">OFFSET(P6,0,$X$3,1,1)</f>
        <v>Q4</v>
      </c>
    </row>
    <row r="4" spans="1:33" x14ac:dyDescent="0.55000000000000004">
      <c r="C4" s="68"/>
      <c r="X4" s="20"/>
      <c r="Y4" s="33"/>
    </row>
    <row r="5" spans="1:33" ht="14.7" thickBot="1" x14ac:dyDescent="0.6">
      <c r="Q5" s="29">
        <v>1</v>
      </c>
      <c r="R5" s="29">
        <v>2</v>
      </c>
      <c r="S5" s="29">
        <v>3</v>
      </c>
      <c r="T5" s="29">
        <v>4</v>
      </c>
    </row>
    <row r="6" spans="1:33" ht="15.6" x14ac:dyDescent="0.6">
      <c r="B6" s="34" t="s">
        <v>7</v>
      </c>
      <c r="C6" s="34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X6" s="35" t="s">
        <v>13</v>
      </c>
      <c r="Y6" s="35" t="str">
        <f ca="1">_xlfn.CONCAT("YTD (Q1 to ",Y3,")")</f>
        <v>YTD (Q1 to Q4)</v>
      </c>
      <c r="Z6" s="35" t="s">
        <v>14</v>
      </c>
      <c r="AD6" s="15" t="s">
        <v>9</v>
      </c>
      <c r="AE6" s="15" t="s">
        <v>10</v>
      </c>
      <c r="AF6" s="15" t="s">
        <v>11</v>
      </c>
      <c r="AG6" s="15" t="s">
        <v>12</v>
      </c>
    </row>
    <row r="7" spans="1:33" x14ac:dyDescent="0.55000000000000004">
      <c r="B7" s="36" t="s">
        <v>15</v>
      </c>
      <c r="C7" s="37">
        <f>C8</f>
        <v>339741</v>
      </c>
      <c r="P7" s="28" t="s">
        <v>16</v>
      </c>
      <c r="Q7" s="38">
        <f>C7</f>
        <v>339741</v>
      </c>
      <c r="R7" s="38">
        <f>C8</f>
        <v>339741</v>
      </c>
      <c r="S7" s="38">
        <f>C9</f>
        <v>331970</v>
      </c>
      <c r="T7" s="38">
        <f>C10</f>
        <v>353544</v>
      </c>
      <c r="U7" s="95">
        <f>SUM(Q7:T7)</f>
        <v>1364996</v>
      </c>
      <c r="V7" s="96"/>
      <c r="X7" s="28" t="str">
        <f>P7</f>
        <v>16/17</v>
      </c>
      <c r="Y7" s="39">
        <f ca="1">SUM(OFFSET(Q7,0,0,1,$X$3))</f>
        <v>1364996</v>
      </c>
      <c r="AC7" s="28" t="str">
        <f>P7</f>
        <v>16/17</v>
      </c>
      <c r="AD7" s="38">
        <f>Q7</f>
        <v>339741</v>
      </c>
      <c r="AE7" s="38">
        <f>AD7+R7</f>
        <v>679482</v>
      </c>
      <c r="AF7" s="38">
        <f>AE7+S7</f>
        <v>1011452</v>
      </c>
      <c r="AG7" s="38">
        <f>AF7+T7</f>
        <v>1364996</v>
      </c>
    </row>
    <row r="8" spans="1:33" x14ac:dyDescent="0.55000000000000004">
      <c r="B8" s="36" t="s">
        <v>17</v>
      </c>
      <c r="C8" s="40">
        <v>339741</v>
      </c>
      <c r="P8" s="28" t="s">
        <v>18</v>
      </c>
      <c r="Q8" s="38">
        <f>C11</f>
        <v>353286</v>
      </c>
      <c r="R8" s="38">
        <f>C12</f>
        <v>358432</v>
      </c>
      <c r="S8" s="38">
        <f>C13</f>
        <v>356109</v>
      </c>
      <c r="T8" s="38">
        <f>C14</f>
        <v>363122</v>
      </c>
      <c r="U8" s="95">
        <f t="shared" ref="U8:U15" si="0">SUM(Q8:T8)</f>
        <v>1430949</v>
      </c>
      <c r="V8" s="97">
        <f>U8/U7-1</f>
        <v>4.8317357706542774E-2</v>
      </c>
      <c r="X8" s="28" t="str">
        <f t="shared" ref="X8:X14" si="1">P8</f>
        <v>17/18</v>
      </c>
      <c r="Y8" s="39">
        <f t="shared" ref="Y8:Y16" ca="1" si="2">SUM(OFFSET(Q8,0,0,1,$X$3))</f>
        <v>1430949</v>
      </c>
      <c r="Z8" s="41">
        <f ca="1">Y8/Y7-1</f>
        <v>4.8317357706542774E-2</v>
      </c>
      <c r="AC8" s="28" t="str">
        <f t="shared" ref="AC8:AC15" si="3">P8</f>
        <v>17/18</v>
      </c>
      <c r="AD8" s="38">
        <f t="shared" ref="AD8:AD15" si="4">Q8</f>
        <v>353286</v>
      </c>
      <c r="AE8" s="38">
        <f t="shared" ref="AE8:AE13" si="5">AD8+R8</f>
        <v>711718</v>
      </c>
      <c r="AF8" s="38">
        <f t="shared" ref="AF8:AF13" si="6">AE8+S8</f>
        <v>1067827</v>
      </c>
      <c r="AG8" s="38">
        <f t="shared" ref="AG8:AG13" si="7">AF8+T8</f>
        <v>1430949</v>
      </c>
    </row>
    <row r="9" spans="1:33" x14ac:dyDescent="0.55000000000000004">
      <c r="B9" s="36" t="s">
        <v>19</v>
      </c>
      <c r="C9" s="40">
        <v>331970</v>
      </c>
      <c r="P9" s="28" t="s">
        <v>20</v>
      </c>
      <c r="Q9" s="38">
        <f>C15</f>
        <v>359103</v>
      </c>
      <c r="R9" s="38">
        <f>C16</f>
        <v>370359</v>
      </c>
      <c r="S9" s="38">
        <f>C17</f>
        <v>344890</v>
      </c>
      <c r="T9" s="38">
        <f>C18</f>
        <v>362940</v>
      </c>
      <c r="U9" s="95">
        <f t="shared" si="0"/>
        <v>1437292</v>
      </c>
      <c r="V9" s="97">
        <f t="shared" ref="V9:V15" si="8">U9/U8-1</f>
        <v>4.4327226197440339E-3</v>
      </c>
      <c r="X9" s="28" t="str">
        <f t="shared" si="1"/>
        <v>18/19</v>
      </c>
      <c r="Y9" s="39">
        <f t="shared" ca="1" si="2"/>
        <v>1437292</v>
      </c>
      <c r="Z9" s="41">
        <f t="shared" ref="Z9:Z16" ca="1" si="9">Y9/Y8-1</f>
        <v>4.4327226197440339E-3</v>
      </c>
      <c r="AC9" s="28" t="str">
        <f t="shared" si="3"/>
        <v>18/19</v>
      </c>
      <c r="AD9" s="38">
        <f t="shared" si="4"/>
        <v>359103</v>
      </c>
      <c r="AE9" s="38">
        <f t="shared" si="5"/>
        <v>729462</v>
      </c>
      <c r="AF9" s="38">
        <f t="shared" si="6"/>
        <v>1074352</v>
      </c>
      <c r="AG9" s="38">
        <f t="shared" si="7"/>
        <v>1437292</v>
      </c>
    </row>
    <row r="10" spans="1:33" x14ac:dyDescent="0.55000000000000004">
      <c r="B10" s="42" t="s">
        <v>21</v>
      </c>
      <c r="C10" s="43">
        <v>353544</v>
      </c>
      <c r="P10" s="28" t="s">
        <v>22</v>
      </c>
      <c r="Q10" s="38">
        <f>C19</f>
        <v>355201</v>
      </c>
      <c r="R10" s="38">
        <f>C20</f>
        <v>368934</v>
      </c>
      <c r="S10" s="38">
        <f>C21</f>
        <v>314108</v>
      </c>
      <c r="T10" s="38">
        <f>C22</f>
        <v>345730</v>
      </c>
      <c r="U10" s="95">
        <f t="shared" si="0"/>
        <v>1383973</v>
      </c>
      <c r="V10" s="97">
        <f t="shared" si="8"/>
        <v>-3.7096846013197071E-2</v>
      </c>
      <c r="X10" s="28" t="str">
        <f t="shared" si="1"/>
        <v>19/20</v>
      </c>
      <c r="Y10" s="39">
        <f t="shared" ca="1" si="2"/>
        <v>1383973</v>
      </c>
      <c r="Z10" s="41">
        <f t="shared" ca="1" si="9"/>
        <v>-3.7096846013197071E-2</v>
      </c>
      <c r="AC10" s="28" t="str">
        <f t="shared" si="3"/>
        <v>19/20</v>
      </c>
      <c r="AD10" s="38">
        <f t="shared" si="4"/>
        <v>355201</v>
      </c>
      <c r="AE10" s="38">
        <f t="shared" si="5"/>
        <v>724135</v>
      </c>
      <c r="AF10" s="38">
        <f t="shared" si="6"/>
        <v>1038243</v>
      </c>
      <c r="AG10" s="38">
        <f t="shared" si="7"/>
        <v>1383973</v>
      </c>
    </row>
    <row r="11" spans="1:33" x14ac:dyDescent="0.55000000000000004">
      <c r="B11" s="36" t="s">
        <v>23</v>
      </c>
      <c r="C11" s="39">
        <v>353286</v>
      </c>
      <c r="P11" s="28" t="s">
        <v>24</v>
      </c>
      <c r="Q11" s="38">
        <f>C23</f>
        <v>344151</v>
      </c>
      <c r="R11" s="38">
        <f>C24</f>
        <v>357815</v>
      </c>
      <c r="S11" s="38">
        <f>C25</f>
        <v>356854</v>
      </c>
      <c r="T11" s="38">
        <f>C26</f>
        <v>375811</v>
      </c>
      <c r="U11" s="95">
        <f t="shared" si="0"/>
        <v>1434631</v>
      </c>
      <c r="V11" s="97">
        <f t="shared" si="8"/>
        <v>3.6603315238086243E-2</v>
      </c>
      <c r="X11" s="28" t="str">
        <f t="shared" si="1"/>
        <v>20/21</v>
      </c>
      <c r="Y11" s="39">
        <f t="shared" ca="1" si="2"/>
        <v>1434631</v>
      </c>
      <c r="Z11" s="41">
        <f t="shared" ca="1" si="9"/>
        <v>3.6603315238086243E-2</v>
      </c>
      <c r="AC11" s="28" t="str">
        <f t="shared" si="3"/>
        <v>20/21</v>
      </c>
      <c r="AD11" s="38">
        <f t="shared" si="4"/>
        <v>344151</v>
      </c>
      <c r="AE11" s="38">
        <f t="shared" si="5"/>
        <v>701966</v>
      </c>
      <c r="AF11" s="38">
        <f t="shared" si="6"/>
        <v>1058820</v>
      </c>
      <c r="AG11" s="38">
        <f t="shared" si="7"/>
        <v>1434631</v>
      </c>
    </row>
    <row r="12" spans="1:33" x14ac:dyDescent="0.55000000000000004">
      <c r="B12" s="36" t="s">
        <v>25</v>
      </c>
      <c r="C12" s="39">
        <v>358432</v>
      </c>
      <c r="P12" s="28" t="s">
        <v>26</v>
      </c>
      <c r="Q12" s="38">
        <f>C27</f>
        <v>365826</v>
      </c>
      <c r="R12" s="38">
        <f>C28</f>
        <v>373498</v>
      </c>
      <c r="S12" s="38">
        <f>C29</f>
        <v>364081</v>
      </c>
      <c r="T12" s="38">
        <f>C30</f>
        <v>369679</v>
      </c>
      <c r="U12" s="95">
        <f t="shared" si="0"/>
        <v>1473084</v>
      </c>
      <c r="V12" s="97">
        <f t="shared" si="8"/>
        <v>2.6803407984352878E-2</v>
      </c>
      <c r="X12" s="28" t="str">
        <f t="shared" si="1"/>
        <v>21/22</v>
      </c>
      <c r="Y12" s="39">
        <f t="shared" ca="1" si="2"/>
        <v>1473084</v>
      </c>
      <c r="Z12" s="41">
        <f t="shared" ca="1" si="9"/>
        <v>2.6803407984352878E-2</v>
      </c>
      <c r="AC12" s="28" t="str">
        <f t="shared" si="3"/>
        <v>21/22</v>
      </c>
      <c r="AD12" s="38">
        <f t="shared" si="4"/>
        <v>365826</v>
      </c>
      <c r="AE12" s="38">
        <f t="shared" si="5"/>
        <v>739324</v>
      </c>
      <c r="AF12" s="38">
        <f t="shared" si="6"/>
        <v>1103405</v>
      </c>
      <c r="AG12" s="38">
        <f t="shared" si="7"/>
        <v>1473084</v>
      </c>
    </row>
    <row r="13" spans="1:33" x14ac:dyDescent="0.55000000000000004">
      <c r="B13" s="36" t="s">
        <v>27</v>
      </c>
      <c r="C13" s="39">
        <v>356109</v>
      </c>
      <c r="P13" s="28" t="s">
        <v>28</v>
      </c>
      <c r="Q13" s="38">
        <f>IF(C31=0,"",C31)</f>
        <v>359577</v>
      </c>
      <c r="R13" s="38">
        <f>IF(C32=0,"",C32)</f>
        <v>375375</v>
      </c>
      <c r="S13" s="38">
        <f>IF(C33=0,"",C33)</f>
        <v>343283</v>
      </c>
      <c r="T13" s="38">
        <f>IF(C34=0,NA(),C34)</f>
        <v>366298</v>
      </c>
      <c r="U13" s="95">
        <f t="shared" si="0"/>
        <v>1444533</v>
      </c>
      <c r="V13" s="97">
        <f t="shared" si="8"/>
        <v>-1.9381786782016519E-2</v>
      </c>
      <c r="X13" s="28" t="str">
        <f t="shared" si="1"/>
        <v>22/23</v>
      </c>
      <c r="Y13" s="39">
        <f t="shared" ca="1" si="2"/>
        <v>1444533</v>
      </c>
      <c r="Z13" s="41">
        <f t="shared" ca="1" si="9"/>
        <v>-1.9381786782016519E-2</v>
      </c>
      <c r="AC13" s="28" t="str">
        <f t="shared" si="3"/>
        <v>22/23</v>
      </c>
      <c r="AD13" s="38">
        <f t="shared" si="4"/>
        <v>359577</v>
      </c>
      <c r="AE13" s="38">
        <f t="shared" si="5"/>
        <v>734952</v>
      </c>
      <c r="AF13" s="38">
        <f t="shared" si="6"/>
        <v>1078235</v>
      </c>
      <c r="AG13" s="38">
        <f t="shared" si="7"/>
        <v>1444533</v>
      </c>
    </row>
    <row r="14" spans="1:33" x14ac:dyDescent="0.55000000000000004">
      <c r="B14" s="42" t="s">
        <v>29</v>
      </c>
      <c r="C14" s="43">
        <v>363122</v>
      </c>
      <c r="P14" s="28" t="s">
        <v>30</v>
      </c>
      <c r="Q14" s="38">
        <f>C35</f>
        <v>350739</v>
      </c>
      <c r="R14" s="38">
        <f>C36</f>
        <v>367287</v>
      </c>
      <c r="S14" s="38">
        <f>C37</f>
        <v>357502</v>
      </c>
      <c r="T14" s="38">
        <f>C38</f>
        <v>354334</v>
      </c>
      <c r="U14" s="95">
        <f t="shared" si="0"/>
        <v>1429862</v>
      </c>
      <c r="V14" s="97">
        <f t="shared" si="8"/>
        <v>-1.0156223499220851E-2</v>
      </c>
      <c r="X14" s="28" t="str">
        <f t="shared" si="1"/>
        <v>23/24</v>
      </c>
      <c r="Y14" s="39">
        <f t="shared" ca="1" si="2"/>
        <v>1429862</v>
      </c>
      <c r="Z14" s="41">
        <f t="shared" ca="1" si="9"/>
        <v>-1.0156223499220851E-2</v>
      </c>
      <c r="AC14" s="28" t="str">
        <f t="shared" si="3"/>
        <v>23/24</v>
      </c>
      <c r="AD14" s="38">
        <f t="shared" si="4"/>
        <v>350739</v>
      </c>
      <c r="AE14" s="38">
        <f t="shared" ref="AE14" si="10">AD14+R14</f>
        <v>718026</v>
      </c>
      <c r="AF14" s="38">
        <f t="shared" ref="AF14" si="11">AE14+S14</f>
        <v>1075528</v>
      </c>
      <c r="AG14" s="38">
        <f t="shared" ref="AG14" si="12">AF14+T14</f>
        <v>1429862</v>
      </c>
    </row>
    <row r="15" spans="1:33" x14ac:dyDescent="0.55000000000000004">
      <c r="B15" s="36" t="s">
        <v>31</v>
      </c>
      <c r="C15" s="39">
        <v>359103</v>
      </c>
      <c r="P15" s="28" t="s">
        <v>74</v>
      </c>
      <c r="Q15" s="38">
        <f>C39</f>
        <v>331853</v>
      </c>
      <c r="R15" s="38">
        <f>C40</f>
        <v>353522</v>
      </c>
      <c r="S15" s="38">
        <f>C41</f>
        <v>331762</v>
      </c>
      <c r="T15" s="38">
        <f>C42</f>
        <v>337353</v>
      </c>
      <c r="U15" s="95">
        <f t="shared" si="0"/>
        <v>1354490</v>
      </c>
      <c r="V15" s="97">
        <f t="shared" si="8"/>
        <v>-5.2712779275202792E-2</v>
      </c>
      <c r="X15" s="28" t="s">
        <v>74</v>
      </c>
      <c r="Y15" s="39">
        <f t="shared" ca="1" si="2"/>
        <v>1354490</v>
      </c>
      <c r="Z15" s="41">
        <f t="shared" ca="1" si="9"/>
        <v>-5.2712779275202792E-2</v>
      </c>
      <c r="AC15" s="28" t="str">
        <f t="shared" si="3"/>
        <v>24/25</v>
      </c>
      <c r="AD15" s="38">
        <f t="shared" si="4"/>
        <v>331853</v>
      </c>
    </row>
    <row r="16" spans="1:33" x14ac:dyDescent="0.55000000000000004">
      <c r="B16" s="36" t="s">
        <v>32</v>
      </c>
      <c r="C16" s="39">
        <v>370359</v>
      </c>
      <c r="P16" s="28" t="s">
        <v>165</v>
      </c>
      <c r="Q16" s="38">
        <f>C43</f>
        <v>304470</v>
      </c>
      <c r="R16" s="38">
        <f>C44</f>
        <v>325895</v>
      </c>
      <c r="S16" s="38">
        <f>C45</f>
        <v>316366</v>
      </c>
      <c r="T16" s="38">
        <f>C46</f>
        <v>348215</v>
      </c>
      <c r="U16" s="95">
        <f t="shared" ref="U16" si="13">SUM(Q16:T16)</f>
        <v>1294946</v>
      </c>
      <c r="V16" s="97">
        <f t="shared" ref="V16" si="14">U16/U15-1</f>
        <v>-4.3960457441546308E-2</v>
      </c>
      <c r="X16" s="28" t="s">
        <v>165</v>
      </c>
      <c r="Y16" s="39">
        <f t="shared" ca="1" si="2"/>
        <v>1294946</v>
      </c>
      <c r="Z16" s="41">
        <f t="shared" ca="1" si="9"/>
        <v>-4.3960457441546308E-2</v>
      </c>
    </row>
    <row r="17" spans="2:28" x14ac:dyDescent="0.55000000000000004">
      <c r="B17" s="36" t="s">
        <v>33</v>
      </c>
      <c r="C17" s="39">
        <v>344890</v>
      </c>
      <c r="P17" s="28" t="s">
        <v>207</v>
      </c>
      <c r="Q17" s="38"/>
      <c r="X17" s="28" t="s">
        <v>207</v>
      </c>
      <c r="Y17" s="39"/>
      <c r="Z17" s="41"/>
    </row>
    <row r="18" spans="2:28" x14ac:dyDescent="0.55000000000000004">
      <c r="B18" s="42" t="s">
        <v>34</v>
      </c>
      <c r="C18" s="43">
        <v>362940</v>
      </c>
    </row>
    <row r="19" spans="2:28" ht="15.6" x14ac:dyDescent="0.6">
      <c r="B19" s="36" t="s">
        <v>37</v>
      </c>
      <c r="C19" s="39">
        <v>355201</v>
      </c>
      <c r="P19" s="149" t="s">
        <v>35</v>
      </c>
      <c r="Q19" s="149"/>
      <c r="R19" s="149"/>
      <c r="S19" s="149"/>
      <c r="T19" s="149"/>
      <c r="U19" s="92"/>
      <c r="V19" s="92"/>
      <c r="X19" s="150" t="s">
        <v>36</v>
      </c>
      <c r="Y19" s="150"/>
      <c r="Z19" s="25" t="s">
        <v>12</v>
      </c>
    </row>
    <row r="20" spans="2:28" x14ac:dyDescent="0.55000000000000004">
      <c r="B20" s="36" t="s">
        <v>38</v>
      </c>
      <c r="C20" s="39">
        <v>368934</v>
      </c>
      <c r="Q20" s="18" t="s">
        <v>9</v>
      </c>
      <c r="R20" s="18" t="s">
        <v>10</v>
      </c>
      <c r="S20" s="18" t="s">
        <v>11</v>
      </c>
      <c r="T20" s="18" t="s">
        <v>12</v>
      </c>
      <c r="U20" s="18"/>
      <c r="V20" s="18"/>
    </row>
    <row r="21" spans="2:28" x14ac:dyDescent="0.55000000000000004">
      <c r="B21" s="36" t="s">
        <v>39</v>
      </c>
      <c r="C21" s="39">
        <v>314108</v>
      </c>
      <c r="P21" s="28" t="str">
        <f t="shared" ref="P21:P28" si="15">P7</f>
        <v>16/17</v>
      </c>
      <c r="Q21" s="38"/>
      <c r="R21" s="38"/>
      <c r="S21" s="38"/>
      <c r="T21" s="38"/>
      <c r="U21" s="38"/>
      <c r="V21" s="38"/>
    </row>
    <row r="22" spans="2:28" x14ac:dyDescent="0.55000000000000004">
      <c r="B22" s="42" t="s">
        <v>40</v>
      </c>
      <c r="C22" s="43">
        <v>345730</v>
      </c>
      <c r="P22" s="28" t="str">
        <f t="shared" si="15"/>
        <v>17/18</v>
      </c>
      <c r="Q22" s="41">
        <f t="shared" ref="Q22:T30" si="16">IFERROR(Q8/Q7-1,"")</f>
        <v>3.9868605790881917E-2</v>
      </c>
      <c r="R22" s="41">
        <f t="shared" si="16"/>
        <v>5.5015438230887614E-2</v>
      </c>
      <c r="S22" s="41">
        <f t="shared" si="16"/>
        <v>7.2714401903786419E-2</v>
      </c>
      <c r="T22" s="41">
        <f t="shared" si="16"/>
        <v>2.7091394564750182E-2</v>
      </c>
      <c r="U22" s="41"/>
      <c r="V22" s="41"/>
    </row>
    <row r="23" spans="2:28" x14ac:dyDescent="0.55000000000000004">
      <c r="B23" s="36" t="s">
        <v>41</v>
      </c>
      <c r="C23" s="39">
        <v>344151</v>
      </c>
      <c r="P23" s="28" t="str">
        <f t="shared" si="15"/>
        <v>18/19</v>
      </c>
      <c r="Q23" s="41">
        <f t="shared" si="16"/>
        <v>1.6465413291214537E-2</v>
      </c>
      <c r="R23" s="41">
        <f t="shared" si="16"/>
        <v>3.3275488795643238E-2</v>
      </c>
      <c r="S23" s="41">
        <f t="shared" si="16"/>
        <v>-3.1504398934034228E-2</v>
      </c>
      <c r="T23" s="41">
        <f t="shared" si="16"/>
        <v>-5.0120896007399551E-4</v>
      </c>
      <c r="U23" s="41"/>
      <c r="V23" s="41"/>
      <c r="Y23" s="29">
        <f>_xlfn.XLOOKUP(Z19,Q6:T6,Q5:T5)</f>
        <v>4</v>
      </c>
    </row>
    <row r="24" spans="2:28" x14ac:dyDescent="0.55000000000000004">
      <c r="B24" s="36" t="s">
        <v>43</v>
      </c>
      <c r="C24" s="39">
        <v>357815</v>
      </c>
      <c r="P24" s="28" t="str">
        <f t="shared" si="15"/>
        <v>19/20</v>
      </c>
      <c r="Q24" s="41">
        <f t="shared" si="16"/>
        <v>-1.0865963247313482E-2</v>
      </c>
      <c r="R24" s="41">
        <f t="shared" si="16"/>
        <v>-3.847618121876395E-3</v>
      </c>
      <c r="S24" s="41">
        <f t="shared" si="16"/>
        <v>-8.9251645452173123E-2</v>
      </c>
      <c r="T24" s="41">
        <f t="shared" si="16"/>
        <v>-4.7418306056097426E-2</v>
      </c>
      <c r="U24" s="41"/>
      <c r="V24" s="41"/>
      <c r="Y24" s="29" t="s">
        <v>42</v>
      </c>
    </row>
    <row r="25" spans="2:28" x14ac:dyDescent="0.55000000000000004">
      <c r="B25" s="36" t="s">
        <v>44</v>
      </c>
      <c r="C25" s="39">
        <v>356854</v>
      </c>
      <c r="P25" s="28" t="str">
        <f t="shared" si="15"/>
        <v>20/21</v>
      </c>
      <c r="Q25" s="41">
        <f t="shared" si="16"/>
        <v>-3.1109146652177233E-2</v>
      </c>
      <c r="R25" s="41">
        <f t="shared" si="16"/>
        <v>-3.0138181897033101E-2</v>
      </c>
      <c r="S25" s="41">
        <f t="shared" si="16"/>
        <v>0.13608695098501156</v>
      </c>
      <c r="T25" s="41">
        <f t="shared" si="16"/>
        <v>8.7007202151968333E-2</v>
      </c>
      <c r="U25" s="41"/>
      <c r="V25" s="41"/>
      <c r="Y25" s="28" t="str">
        <f>P21</f>
        <v>16/17</v>
      </c>
      <c r="Z25" s="39" cm="1">
        <f t="array" aca="1" ref="Z25:Z34" ca="1">OFFSET(P7,0,$Y$23,COUNT($Q$7:$Q$16),1)</f>
        <v>353544</v>
      </c>
      <c r="AB25" s="29" t="str">
        <f>_xlfn.CONCAT(A1," ",Z19," across Years")</f>
        <v>ECA Grinds Q4 across Years</v>
      </c>
    </row>
    <row r="26" spans="2:28" x14ac:dyDescent="0.55000000000000004">
      <c r="B26" s="42" t="s">
        <v>45</v>
      </c>
      <c r="C26" s="43">
        <v>375811</v>
      </c>
      <c r="P26" s="28" t="str">
        <f t="shared" si="15"/>
        <v>21/22</v>
      </c>
      <c r="Q26" s="41">
        <f t="shared" si="16"/>
        <v>6.2981075167586331E-2</v>
      </c>
      <c r="R26" s="41">
        <f t="shared" si="16"/>
        <v>4.3829912105417534E-2</v>
      </c>
      <c r="S26" s="41">
        <f t="shared" si="16"/>
        <v>2.0251979801263253E-2</v>
      </c>
      <c r="T26" s="41">
        <f t="shared" si="16"/>
        <v>-1.631671239000454E-2</v>
      </c>
      <c r="U26" s="41"/>
      <c r="V26" s="41"/>
      <c r="Y26" s="28" t="str">
        <f t="shared" ref="Y26:Y33" si="17">P22</f>
        <v>17/18</v>
      </c>
      <c r="Z26" s="39">
        <f ca="1"/>
        <v>363122</v>
      </c>
    </row>
    <row r="27" spans="2:28" x14ac:dyDescent="0.55000000000000004">
      <c r="B27" s="36" t="s">
        <v>46</v>
      </c>
      <c r="C27" s="39">
        <v>365826</v>
      </c>
      <c r="P27" s="28" t="str">
        <f t="shared" si="15"/>
        <v>22/23</v>
      </c>
      <c r="Q27" s="41">
        <f t="shared" si="16"/>
        <v>-1.7081891390989146E-2</v>
      </c>
      <c r="R27" s="41">
        <f t="shared" si="16"/>
        <v>5.0254619837322156E-3</v>
      </c>
      <c r="S27" s="41">
        <f t="shared" si="16"/>
        <v>-5.7124650833193735E-2</v>
      </c>
      <c r="T27" s="41">
        <f t="shared" si="16"/>
        <v>-9.1457724133640061E-3</v>
      </c>
      <c r="U27" s="41"/>
      <c r="V27" s="41"/>
      <c r="Y27" s="28" t="str">
        <f t="shared" si="17"/>
        <v>18/19</v>
      </c>
      <c r="Z27" s="39">
        <f ca="1"/>
        <v>362940</v>
      </c>
    </row>
    <row r="28" spans="2:28" x14ac:dyDescent="0.55000000000000004">
      <c r="B28" s="36" t="s">
        <v>47</v>
      </c>
      <c r="C28" s="39">
        <v>373498</v>
      </c>
      <c r="P28" s="28" t="str">
        <f t="shared" si="15"/>
        <v>23/24</v>
      </c>
      <c r="Q28" s="41">
        <f t="shared" si="16"/>
        <v>-2.4578880184216501E-2</v>
      </c>
      <c r="R28" s="41">
        <f t="shared" si="16"/>
        <v>-2.154645354645357E-2</v>
      </c>
      <c r="S28" s="41">
        <f t="shared" si="16"/>
        <v>4.1420635452381838E-2</v>
      </c>
      <c r="T28" s="41">
        <f t="shared" si="16"/>
        <v>-3.2661930996074284E-2</v>
      </c>
      <c r="U28" s="41"/>
      <c r="V28" s="41"/>
      <c r="Y28" s="28" t="str">
        <f t="shared" si="17"/>
        <v>19/20</v>
      </c>
      <c r="Z28" s="39">
        <f ca="1"/>
        <v>345730</v>
      </c>
    </row>
    <row r="29" spans="2:28" x14ac:dyDescent="0.55000000000000004">
      <c r="B29" s="36" t="s">
        <v>48</v>
      </c>
      <c r="C29" s="39">
        <v>364081</v>
      </c>
      <c r="P29" s="28" t="s">
        <v>74</v>
      </c>
      <c r="Q29" s="41">
        <f t="shared" si="16"/>
        <v>-5.3846307368156987E-2</v>
      </c>
      <c r="R29" s="41">
        <f t="shared" si="16"/>
        <v>-3.7477503968286419E-2</v>
      </c>
      <c r="S29" s="41">
        <f t="shared" si="16"/>
        <v>-7.1999597205050558E-2</v>
      </c>
      <c r="T29" s="41">
        <f t="shared" si="16"/>
        <v>-4.7923710397534514E-2</v>
      </c>
      <c r="U29" s="41"/>
      <c r="V29" s="41"/>
      <c r="Y29" s="28" t="str">
        <f t="shared" si="17"/>
        <v>20/21</v>
      </c>
      <c r="Z29" s="39">
        <f ca="1"/>
        <v>375811</v>
      </c>
    </row>
    <row r="30" spans="2:28" x14ac:dyDescent="0.55000000000000004">
      <c r="B30" s="42" t="s">
        <v>49</v>
      </c>
      <c r="C30" s="43">
        <v>369679</v>
      </c>
      <c r="P30" s="28" t="s">
        <v>165</v>
      </c>
      <c r="Q30" s="41">
        <f>IFERROR(Q16/Q15-1,"")</f>
        <v>-8.2515451118416849E-2</v>
      </c>
      <c r="R30" s="41">
        <f t="shared" si="16"/>
        <v>-7.8147894614762348E-2</v>
      </c>
      <c r="S30" s="41">
        <f t="shared" si="16"/>
        <v>-4.6406761473586466E-2</v>
      </c>
      <c r="T30" s="41">
        <f t="shared" si="16"/>
        <v>3.2197727602837345E-2</v>
      </c>
      <c r="Y30" s="28" t="str">
        <f t="shared" si="17"/>
        <v>21/22</v>
      </c>
      <c r="Z30" s="39">
        <f ca="1"/>
        <v>369679</v>
      </c>
    </row>
    <row r="31" spans="2:28" x14ac:dyDescent="0.55000000000000004">
      <c r="B31" s="36" t="s">
        <v>50</v>
      </c>
      <c r="C31" s="39">
        <v>359577</v>
      </c>
      <c r="Y31" s="28" t="str">
        <f t="shared" si="17"/>
        <v>22/23</v>
      </c>
      <c r="Z31" s="39">
        <f ca="1"/>
        <v>366298</v>
      </c>
    </row>
    <row r="32" spans="2:28" x14ac:dyDescent="0.55000000000000004">
      <c r="B32" s="36" t="s">
        <v>51</v>
      </c>
      <c r="C32" s="39">
        <v>375375</v>
      </c>
      <c r="Y32" s="28" t="str">
        <f t="shared" si="17"/>
        <v>23/24</v>
      </c>
      <c r="Z32" s="39">
        <f ca="1"/>
        <v>354334</v>
      </c>
    </row>
    <row r="33" spans="2:26" ht="15.6" x14ac:dyDescent="0.6">
      <c r="B33" s="36" t="s">
        <v>53</v>
      </c>
      <c r="C33" s="39">
        <v>343283</v>
      </c>
      <c r="P33" s="149" t="s">
        <v>52</v>
      </c>
      <c r="Q33" s="149"/>
      <c r="R33" s="149"/>
      <c r="S33" s="149"/>
      <c r="T33" s="149"/>
      <c r="U33" s="92"/>
      <c r="V33" s="92"/>
      <c r="Y33" s="28" t="str">
        <f t="shared" si="17"/>
        <v>24/25</v>
      </c>
      <c r="Z33" s="39">
        <f ca="1"/>
        <v>337353</v>
      </c>
    </row>
    <row r="34" spans="2:26" x14ac:dyDescent="0.55000000000000004">
      <c r="B34" s="42" t="s">
        <v>54</v>
      </c>
      <c r="C34" s="43">
        <v>366298</v>
      </c>
      <c r="Q34" s="18" t="s">
        <v>9</v>
      </c>
      <c r="R34" s="18" t="s">
        <v>10</v>
      </c>
      <c r="S34" s="18" t="s">
        <v>11</v>
      </c>
      <c r="T34" s="18" t="s">
        <v>12</v>
      </c>
      <c r="U34" s="18"/>
      <c r="V34" s="18"/>
      <c r="Y34" s="29" t="s">
        <v>165</v>
      </c>
      <c r="Z34" s="39">
        <f ca="1"/>
        <v>348215</v>
      </c>
    </row>
    <row r="35" spans="2:26" x14ac:dyDescent="0.55000000000000004">
      <c r="B35" s="36" t="s">
        <v>55</v>
      </c>
      <c r="C35" s="39">
        <v>350739</v>
      </c>
      <c r="P35" s="28" t="str">
        <f>P21</f>
        <v>16/17</v>
      </c>
      <c r="Q35" s="41"/>
      <c r="R35" s="41">
        <f t="shared" ref="R35:T44" si="18">IFERROR(R7/Q7-1,"")</f>
        <v>0</v>
      </c>
      <c r="S35" s="41">
        <f t="shared" si="18"/>
        <v>-2.2873306430486795E-2</v>
      </c>
      <c r="T35" s="41">
        <f t="shared" si="18"/>
        <v>6.4987800102418891E-2</v>
      </c>
      <c r="U35" s="41"/>
      <c r="V35" s="41"/>
    </row>
    <row r="36" spans="2:26" x14ac:dyDescent="0.55000000000000004">
      <c r="B36" s="36" t="s">
        <v>56</v>
      </c>
      <c r="C36" s="39">
        <v>367287</v>
      </c>
      <c r="P36" s="28" t="str">
        <f t="shared" ref="P36:P42" si="19">P22</f>
        <v>17/18</v>
      </c>
      <c r="Q36" s="41">
        <f t="shared" ref="Q36:Q44" si="20">IFERROR(Q8/T7-1,"")</f>
        <v>-7.2975358088389619E-4</v>
      </c>
      <c r="R36" s="41">
        <f t="shared" si="18"/>
        <v>1.4566102251433621E-2</v>
      </c>
      <c r="S36" s="41">
        <f t="shared" si="18"/>
        <v>-6.4810061601642266E-3</v>
      </c>
      <c r="T36" s="41">
        <f t="shared" si="18"/>
        <v>1.9693408478864693E-2</v>
      </c>
      <c r="U36" s="41"/>
      <c r="V36" s="41"/>
    </row>
    <row r="37" spans="2:26" x14ac:dyDescent="0.55000000000000004">
      <c r="B37" s="36" t="s">
        <v>57</v>
      </c>
      <c r="C37" s="39">
        <v>357502</v>
      </c>
      <c r="P37" s="28" t="str">
        <f t="shared" si="19"/>
        <v>18/19</v>
      </c>
      <c r="Q37" s="41">
        <f t="shared" si="20"/>
        <v>-1.1067905552403889E-2</v>
      </c>
      <c r="R37" s="41">
        <f t="shared" si="18"/>
        <v>3.1344767378718608E-2</v>
      </c>
      <c r="S37" s="41">
        <f t="shared" si="18"/>
        <v>-6.8768411190223588E-2</v>
      </c>
      <c r="T37" s="41">
        <f t="shared" si="18"/>
        <v>5.2335527269564253E-2</v>
      </c>
      <c r="U37" s="41"/>
      <c r="V37" s="41"/>
    </row>
    <row r="38" spans="2:26" x14ac:dyDescent="0.55000000000000004">
      <c r="B38" s="42" t="s">
        <v>58</v>
      </c>
      <c r="C38" s="43">
        <v>354334</v>
      </c>
      <c r="P38" s="28" t="str">
        <f t="shared" si="19"/>
        <v>19/20</v>
      </c>
      <c r="Q38" s="41">
        <f t="shared" si="20"/>
        <v>-2.1323083705295676E-2</v>
      </c>
      <c r="R38" s="41">
        <f t="shared" si="18"/>
        <v>3.8662616377769243E-2</v>
      </c>
      <c r="S38" s="41">
        <f t="shared" si="18"/>
        <v>-0.14860652582846801</v>
      </c>
      <c r="T38" s="41">
        <f t="shared" si="18"/>
        <v>0.10067238020044056</v>
      </c>
      <c r="U38" s="41"/>
      <c r="V38" s="41"/>
    </row>
    <row r="39" spans="2:26" x14ac:dyDescent="0.55000000000000004">
      <c r="B39" s="36" t="s">
        <v>73</v>
      </c>
      <c r="C39" s="39">
        <v>331853</v>
      </c>
      <c r="P39" s="28" t="str">
        <f t="shared" si="19"/>
        <v>20/21</v>
      </c>
      <c r="Q39" s="41">
        <f t="shared" si="20"/>
        <v>-4.5671477742746935E-3</v>
      </c>
      <c r="R39" s="41">
        <f t="shared" si="18"/>
        <v>3.9703502241748456E-2</v>
      </c>
      <c r="S39" s="41">
        <f t="shared" si="18"/>
        <v>-2.6857454271062009E-3</v>
      </c>
      <c r="T39" s="41">
        <f t="shared" si="18"/>
        <v>5.3122565531001475E-2</v>
      </c>
      <c r="U39" s="41"/>
      <c r="V39" s="41"/>
    </row>
    <row r="40" spans="2:26" x14ac:dyDescent="0.55000000000000004">
      <c r="B40" s="36" t="s">
        <v>151</v>
      </c>
      <c r="C40" s="38">
        <v>353522</v>
      </c>
      <c r="P40" s="28" t="str">
        <f t="shared" si="19"/>
        <v>21/22</v>
      </c>
      <c r="Q40" s="41">
        <f t="shared" si="20"/>
        <v>-2.6569206329777439E-2</v>
      </c>
      <c r="R40" s="41">
        <f t="shared" si="18"/>
        <v>2.0971718795274263E-2</v>
      </c>
      <c r="S40" s="41">
        <f t="shared" si="18"/>
        <v>-2.5212986414920535E-2</v>
      </c>
      <c r="T40" s="41">
        <f t="shared" si="18"/>
        <v>1.5375699363603168E-2</v>
      </c>
      <c r="U40" s="41"/>
      <c r="V40" s="41"/>
    </row>
    <row r="41" spans="2:26" x14ac:dyDescent="0.55000000000000004">
      <c r="B41" s="36" t="s">
        <v>160</v>
      </c>
      <c r="C41" s="38">
        <v>331762</v>
      </c>
      <c r="P41" s="28" t="str">
        <f t="shared" si="19"/>
        <v>22/23</v>
      </c>
      <c r="Q41" s="41">
        <f t="shared" si="20"/>
        <v>-2.7326410209938867E-2</v>
      </c>
      <c r="R41" s="41">
        <f t="shared" si="18"/>
        <v>4.3934956907699885E-2</v>
      </c>
      <c r="S41" s="41">
        <f t="shared" si="18"/>
        <v>-8.5493173493173535E-2</v>
      </c>
      <c r="T41" s="41">
        <f t="shared" si="18"/>
        <v>6.7043809335154858E-2</v>
      </c>
      <c r="U41" s="41"/>
      <c r="V41" s="41"/>
    </row>
    <row r="42" spans="2:26" x14ac:dyDescent="0.55000000000000004">
      <c r="B42" s="36" t="s">
        <v>162</v>
      </c>
      <c r="C42" s="38">
        <v>337353</v>
      </c>
      <c r="P42" s="28" t="str">
        <f t="shared" si="19"/>
        <v>23/24</v>
      </c>
      <c r="Q42" s="41">
        <f t="shared" si="20"/>
        <v>-4.247634439718484E-2</v>
      </c>
      <c r="R42" s="41">
        <f t="shared" si="18"/>
        <v>4.7180381993448206E-2</v>
      </c>
      <c r="S42" s="41">
        <f t="shared" si="18"/>
        <v>-2.6641291415160362E-2</v>
      </c>
      <c r="T42" s="41">
        <f t="shared" si="18"/>
        <v>-8.8614888867754038E-3</v>
      </c>
      <c r="U42" s="41"/>
      <c r="V42" s="41"/>
    </row>
    <row r="43" spans="2:26" x14ac:dyDescent="0.55000000000000004">
      <c r="B43" s="36" t="s">
        <v>187</v>
      </c>
      <c r="C43" s="39">
        <v>304470</v>
      </c>
      <c r="P43" s="28" t="s">
        <v>74</v>
      </c>
      <c r="Q43" s="41">
        <f t="shared" si="20"/>
        <v>-6.344578843689852E-2</v>
      </c>
      <c r="R43" s="41">
        <f t="shared" si="18"/>
        <v>6.5296983905524408E-2</v>
      </c>
      <c r="S43" s="41">
        <f t="shared" si="18"/>
        <v>-6.1552039194166186E-2</v>
      </c>
      <c r="T43" s="41">
        <f t="shared" si="18"/>
        <v>1.685244241353745E-2</v>
      </c>
      <c r="U43" s="41"/>
      <c r="V43" s="41"/>
    </row>
    <row r="44" spans="2:26" x14ac:dyDescent="0.55000000000000004">
      <c r="B44" s="36" t="s">
        <v>209</v>
      </c>
      <c r="C44" s="39">
        <v>325895</v>
      </c>
      <c r="P44" s="28" t="s">
        <v>165</v>
      </c>
      <c r="Q44" s="41">
        <f t="shared" si="20"/>
        <v>-9.7473566264417388E-2</v>
      </c>
      <c r="R44" s="41">
        <f t="shared" si="18"/>
        <v>7.0368180773146882E-2</v>
      </c>
      <c r="S44" s="41">
        <f t="shared" si="18"/>
        <v>-2.9239478973288935E-2</v>
      </c>
      <c r="T44" s="41">
        <f t="shared" si="18"/>
        <v>0.10067137429432993</v>
      </c>
    </row>
    <row r="45" spans="2:26" x14ac:dyDescent="0.55000000000000004">
      <c r="B45" s="36" t="s">
        <v>210</v>
      </c>
      <c r="C45" s="39">
        <v>316366</v>
      </c>
    </row>
    <row r="46" spans="2:26" x14ac:dyDescent="0.55000000000000004">
      <c r="B46" s="36" t="s">
        <v>211</v>
      </c>
      <c r="C46" s="39">
        <v>348215</v>
      </c>
    </row>
    <row r="48" spans="2:26" x14ac:dyDescent="0.55000000000000004">
      <c r="I48" s="46"/>
    </row>
    <row r="50" spans="11:27" x14ac:dyDescent="0.55000000000000004">
      <c r="K50" s="39">
        <v>340160.64</v>
      </c>
    </row>
    <row r="51" spans="11:27" x14ac:dyDescent="0.55000000000000004">
      <c r="K51" s="38">
        <f>K47*0.96</f>
        <v>0</v>
      </c>
    </row>
    <row r="52" spans="11:27" x14ac:dyDescent="0.55000000000000004">
      <c r="Y52" s="46">
        <f>Y53/(1+Y55)</f>
        <v>363269.42482341069</v>
      </c>
      <c r="AA52" s="17">
        <f>Y53/Y52-1</f>
        <v>-9.000000000000008E-3</v>
      </c>
    </row>
    <row r="53" spans="11:27" x14ac:dyDescent="0.55000000000000004">
      <c r="Y53" s="39">
        <v>360000</v>
      </c>
    </row>
    <row r="55" spans="11:27" x14ac:dyDescent="0.55000000000000004">
      <c r="Y55" s="45">
        <v>-8.9999999999999993E-3</v>
      </c>
    </row>
  </sheetData>
  <mergeCells count="4">
    <mergeCell ref="P19:T19"/>
    <mergeCell ref="P33:T33"/>
    <mergeCell ref="A1:AF1"/>
    <mergeCell ref="X19:Y19"/>
  </mergeCells>
  <conditionalFormatting sqref="Q4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{902E06AD-D61C-4319-862B-23A95BCD1527}</x14:id>
        </ext>
      </extLst>
    </cfRule>
  </conditionalFormatting>
  <conditionalFormatting sqref="Q7:T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V17 Q7:T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:V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{0F7870BA-8884-4359-B46D-0039DFBA7AE8}</x14:id>
        </ext>
      </extLst>
    </cfRule>
  </conditionalFormatting>
  <conditionalFormatting sqref="Q35:V43 R44:T4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{6BA89FF3-5301-49CA-92B7-E2A8627D9FC7}</x14:id>
        </ext>
      </extLst>
    </cfRule>
  </conditionalFormatting>
  <conditionalFormatting sqref="Q35:V4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{64B4AC3E-761A-4C08-B048-908AFC4D2C9E}</x14:id>
        </ext>
      </extLst>
    </cfRule>
  </conditionalFormatting>
  <conditionalFormatting sqref="U7:U1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{8994B475-2DD9-41FF-8461-2C7B92659E7C}</x14:id>
        </ext>
      </extLst>
    </cfRule>
  </conditionalFormatting>
  <conditionalFormatting sqref="Y7:Y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1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{96633794-E4D2-45B6-90FF-9A3E34DB6DE9}</x14:id>
        </ext>
      </extLst>
    </cfRule>
  </conditionalFormatting>
  <dataValidations count="1">
    <dataValidation type="list" allowBlank="1" showInputMessage="1" showErrorMessage="1" sqref="Z19" xr:uid="{AA2268EF-14C1-44FC-B62D-120389834178}">
      <formula1>$Q$6:$T$6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2E06AD-D61C-4319-862B-23A95BCD1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0F7870BA-8884-4359-B46D-0039DFBA7A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Q22:V30</xm:sqref>
        </x14:conditionalFormatting>
        <x14:conditionalFormatting xmlns:xm="http://schemas.microsoft.com/office/excel/2006/main">
          <x14:cfRule type="dataBar" id="{6BA89FF3-5301-49CA-92B7-E2A8627D9F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Q35:V43 R44:T44</xm:sqref>
        </x14:conditionalFormatting>
        <x14:conditionalFormatting xmlns:xm="http://schemas.microsoft.com/office/excel/2006/main">
          <x14:cfRule type="dataBar" id="{64B4AC3E-761A-4C08-B048-908AFC4D2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Q35:V44</xm:sqref>
        </x14:conditionalFormatting>
        <x14:conditionalFormatting xmlns:xm="http://schemas.microsoft.com/office/excel/2006/main">
          <x14:cfRule type="dataBar" id="{8994B475-2DD9-41FF-8461-2C7B92659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V8:V16</xm:sqref>
        </x14:conditionalFormatting>
        <x14:conditionalFormatting xmlns:xm="http://schemas.microsoft.com/office/excel/2006/main">
          <x14:cfRule type="dataBar" id="{96633794-E4D2-45B6-90FF-9A3E34DB6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Z8:Z17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81E5-C2B9-4138-83F0-32BFE7E3BDC8}">
  <sheetPr codeName="Sheet20"/>
  <dimension ref="A1:AG73"/>
  <sheetViews>
    <sheetView showGridLines="0" zoomScale="70" zoomScaleNormal="70" workbookViewId="0">
      <selection activeCell="E58" sqref="E58"/>
    </sheetView>
  </sheetViews>
  <sheetFormatPr defaultColWidth="9.15625" defaultRowHeight="14.4" x14ac:dyDescent="0.55000000000000004"/>
  <cols>
    <col min="1" max="1" width="5" style="29" customWidth="1"/>
    <col min="2" max="2" width="12.83984375" style="29" bestFit="1" customWidth="1"/>
    <col min="3" max="3" width="9.26171875" style="29" customWidth="1"/>
    <col min="4" max="5" width="9.15625" style="29"/>
    <col min="6" max="6" width="5.83984375" style="29" customWidth="1"/>
    <col min="7" max="7" width="6.41796875" style="29" customWidth="1"/>
    <col min="8" max="10" width="9.15625" style="29"/>
    <col min="11" max="11" width="10.83984375" style="29" bestFit="1" customWidth="1"/>
    <col min="12" max="12" width="5.578125" style="29" customWidth="1"/>
    <col min="13" max="13" width="9.15625" style="29"/>
    <col min="14" max="14" width="6" style="29" customWidth="1"/>
    <col min="15" max="16" width="9.15625" style="29"/>
    <col min="17" max="17" width="11.83984375" style="29" customWidth="1"/>
    <col min="18" max="18" width="11" style="29" customWidth="1"/>
    <col min="19" max="19" width="11.68359375" style="29" customWidth="1"/>
    <col min="20" max="20" width="9.41796875" style="29" bestFit="1" customWidth="1"/>
    <col min="21" max="21" width="9.83984375" style="29" bestFit="1" customWidth="1"/>
    <col min="22" max="22" width="9.41796875" style="29" customWidth="1"/>
    <col min="23" max="23" width="4.15625" style="29" customWidth="1"/>
    <col min="24" max="24" width="9.15625" style="29"/>
    <col min="25" max="25" width="13.578125" style="29" customWidth="1"/>
    <col min="26" max="26" width="11.578125" style="29" bestFit="1" customWidth="1"/>
    <col min="27" max="16384" width="9.15625" style="29"/>
  </cols>
  <sheetData>
    <row r="1" spans="1:33" s="1" customFormat="1" ht="55.5" customHeight="1" x14ac:dyDescent="0.55000000000000004">
      <c r="A1" s="148" t="s">
        <v>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</row>
    <row r="2" spans="1:33" s="32" customFormat="1" ht="5.25" customHeight="1" x14ac:dyDescent="0.6"/>
    <row r="3" spans="1:33" ht="9.75" customHeight="1" x14ac:dyDescent="0.55000000000000004">
      <c r="X3" s="20">
        <f>COUNT(Q16:T16)</f>
        <v>1</v>
      </c>
      <c r="Y3" s="33" t="str">
        <f ca="1">OFFSET(P6,0,$X$3,1,1)</f>
        <v>Q1</v>
      </c>
    </row>
    <row r="4" spans="1:33" x14ac:dyDescent="0.55000000000000004">
      <c r="X4" s="20"/>
      <c r="Y4" s="33"/>
    </row>
    <row r="5" spans="1:33" ht="14.7" thickBot="1" x14ac:dyDescent="0.6">
      <c r="Q5" s="29">
        <v>1</v>
      </c>
      <c r="R5" s="29">
        <v>2</v>
      </c>
      <c r="S5" s="29">
        <v>3</v>
      </c>
      <c r="T5" s="29">
        <v>4</v>
      </c>
    </row>
    <row r="6" spans="1:33" ht="15.6" x14ac:dyDescent="0.6">
      <c r="B6" s="34" t="s">
        <v>7</v>
      </c>
      <c r="C6" s="34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X6" s="35" t="s">
        <v>13</v>
      </c>
      <c r="Y6" s="35" t="str">
        <f ca="1">_xlfn.CONCAT("YTD (Q1 to ",Y3,")")</f>
        <v>YTD (Q1 to Q1)</v>
      </c>
      <c r="Z6" s="35" t="s">
        <v>14</v>
      </c>
      <c r="AD6" s="15" t="s">
        <v>9</v>
      </c>
      <c r="AE6" s="15" t="s">
        <v>10</v>
      </c>
      <c r="AF6" s="15" t="s">
        <v>11</v>
      </c>
      <c r="AG6" s="15" t="s">
        <v>12</v>
      </c>
    </row>
    <row r="7" spans="1:33" x14ac:dyDescent="0.55000000000000004">
      <c r="B7" s="36" t="s">
        <v>15</v>
      </c>
      <c r="C7" s="37">
        <f>C8</f>
        <v>339741</v>
      </c>
      <c r="P7" s="28" t="s">
        <v>16</v>
      </c>
      <c r="Q7" s="38">
        <f>C7</f>
        <v>339741</v>
      </c>
      <c r="R7" s="38">
        <f>C8</f>
        <v>339741</v>
      </c>
      <c r="S7" s="38">
        <f>C9</f>
        <v>331970</v>
      </c>
      <c r="T7" s="38">
        <f>C10</f>
        <v>353544</v>
      </c>
      <c r="U7" s="95">
        <f>SUM(Q7:T7)</f>
        <v>1364996</v>
      </c>
      <c r="V7" s="96"/>
      <c r="X7" s="28" t="str">
        <f>P7</f>
        <v>16/17</v>
      </c>
      <c r="Y7" s="39">
        <f ca="1">SUM(OFFSET(Q7,0,0,1,$X$3))</f>
        <v>339741</v>
      </c>
      <c r="AC7" s="28" t="str">
        <f>P7</f>
        <v>16/17</v>
      </c>
      <c r="AD7" s="38">
        <f>Q7</f>
        <v>339741</v>
      </c>
      <c r="AE7" s="38">
        <f>AD7+R7</f>
        <v>679482</v>
      </c>
      <c r="AF7" s="38">
        <f>AE7+S7</f>
        <v>1011452</v>
      </c>
      <c r="AG7" s="38">
        <f>AF7+T7</f>
        <v>1364996</v>
      </c>
    </row>
    <row r="8" spans="1:33" x14ac:dyDescent="0.55000000000000004">
      <c r="B8" s="36" t="s">
        <v>17</v>
      </c>
      <c r="C8" s="40">
        <v>339741</v>
      </c>
      <c r="P8" s="28" t="s">
        <v>18</v>
      </c>
      <c r="Q8" s="38">
        <f>C11</f>
        <v>353286</v>
      </c>
      <c r="R8" s="38">
        <f>C12</f>
        <v>358432</v>
      </c>
      <c r="S8" s="38">
        <f>C13</f>
        <v>356109</v>
      </c>
      <c r="T8" s="38">
        <f>C14</f>
        <v>363122</v>
      </c>
      <c r="U8" s="95">
        <f t="shared" ref="U8:U15" si="0">SUM(Q8:T8)</f>
        <v>1430949</v>
      </c>
      <c r="V8" s="97">
        <f>U8/U7-1</f>
        <v>4.8317357706542774E-2</v>
      </c>
      <c r="X8" s="28" t="str">
        <f t="shared" ref="X8:X14" si="1">P8</f>
        <v>17/18</v>
      </c>
      <c r="Y8" s="39">
        <f t="shared" ref="Y8:Y16" ca="1" si="2">SUM(OFFSET(Q8,0,0,1,$X$3))</f>
        <v>353286</v>
      </c>
      <c r="Z8" s="41">
        <f ca="1">Y8/Y7-1</f>
        <v>3.9868605790881917E-2</v>
      </c>
      <c r="AC8" s="28" t="str">
        <f t="shared" ref="AC8:AD15" si="3">P8</f>
        <v>17/18</v>
      </c>
      <c r="AD8" s="38">
        <f t="shared" si="3"/>
        <v>353286</v>
      </c>
      <c r="AE8" s="38">
        <f t="shared" ref="AE8:AG14" si="4">AD8+R8</f>
        <v>711718</v>
      </c>
      <c r="AF8" s="38">
        <f t="shared" si="4"/>
        <v>1067827</v>
      </c>
      <c r="AG8" s="38">
        <f t="shared" si="4"/>
        <v>1430949</v>
      </c>
    </row>
    <row r="9" spans="1:33" x14ac:dyDescent="0.55000000000000004">
      <c r="B9" s="36" t="s">
        <v>19</v>
      </c>
      <c r="C9" s="40">
        <v>331970</v>
      </c>
      <c r="P9" s="28" t="s">
        <v>20</v>
      </c>
      <c r="Q9" s="38">
        <f>C15</f>
        <v>359103</v>
      </c>
      <c r="R9" s="38">
        <f>C16</f>
        <v>370359</v>
      </c>
      <c r="S9" s="38">
        <f>C17</f>
        <v>344890</v>
      </c>
      <c r="T9" s="38">
        <f>C18</f>
        <v>362940</v>
      </c>
      <c r="U9" s="95">
        <f t="shared" si="0"/>
        <v>1437292</v>
      </c>
      <c r="V9" s="97">
        <f t="shared" ref="V9:V15" si="5">U9/U8-1</f>
        <v>4.4327226197440339E-3</v>
      </c>
      <c r="X9" s="28" t="str">
        <f t="shared" si="1"/>
        <v>18/19</v>
      </c>
      <c r="Y9" s="39">
        <f t="shared" ca="1" si="2"/>
        <v>359103</v>
      </c>
      <c r="Z9" s="41">
        <f t="shared" ref="Z9:Z16" ca="1" si="6">Y9/Y8-1</f>
        <v>1.6465413291214537E-2</v>
      </c>
      <c r="AC9" s="28" t="str">
        <f t="shared" si="3"/>
        <v>18/19</v>
      </c>
      <c r="AD9" s="38">
        <f t="shared" si="3"/>
        <v>359103</v>
      </c>
      <c r="AE9" s="38">
        <f t="shared" si="4"/>
        <v>729462</v>
      </c>
      <c r="AF9" s="38">
        <f t="shared" si="4"/>
        <v>1074352</v>
      </c>
      <c r="AG9" s="38">
        <f t="shared" si="4"/>
        <v>1437292</v>
      </c>
    </row>
    <row r="10" spans="1:33" x14ac:dyDescent="0.55000000000000004">
      <c r="B10" s="42" t="s">
        <v>21</v>
      </c>
      <c r="C10" s="43">
        <v>353544</v>
      </c>
      <c r="P10" s="28" t="s">
        <v>22</v>
      </c>
      <c r="Q10" s="38">
        <f>C19</f>
        <v>355201</v>
      </c>
      <c r="R10" s="38">
        <f>C20</f>
        <v>368934</v>
      </c>
      <c r="S10" s="38">
        <f>C21</f>
        <v>314108</v>
      </c>
      <c r="T10" s="38">
        <f>C22</f>
        <v>345730</v>
      </c>
      <c r="U10" s="95">
        <f t="shared" si="0"/>
        <v>1383973</v>
      </c>
      <c r="V10" s="97">
        <f t="shared" si="5"/>
        <v>-3.7096846013197071E-2</v>
      </c>
      <c r="X10" s="28" t="str">
        <f t="shared" si="1"/>
        <v>19/20</v>
      </c>
      <c r="Y10" s="39">
        <f t="shared" ca="1" si="2"/>
        <v>355201</v>
      </c>
      <c r="Z10" s="41">
        <f t="shared" ca="1" si="6"/>
        <v>-1.0865963247313482E-2</v>
      </c>
      <c r="AC10" s="28" t="str">
        <f t="shared" si="3"/>
        <v>19/20</v>
      </c>
      <c r="AD10" s="38">
        <f t="shared" si="3"/>
        <v>355201</v>
      </c>
      <c r="AE10" s="38">
        <f t="shared" si="4"/>
        <v>724135</v>
      </c>
      <c r="AF10" s="38">
        <f t="shared" si="4"/>
        <v>1038243</v>
      </c>
      <c r="AG10" s="38">
        <f t="shared" si="4"/>
        <v>1383973</v>
      </c>
    </row>
    <row r="11" spans="1:33" x14ac:dyDescent="0.55000000000000004">
      <c r="B11" s="36" t="s">
        <v>23</v>
      </c>
      <c r="C11" s="39">
        <v>353286</v>
      </c>
      <c r="P11" s="28" t="s">
        <v>24</v>
      </c>
      <c r="Q11" s="38">
        <f>C23</f>
        <v>344151</v>
      </c>
      <c r="R11" s="38">
        <f>C24</f>
        <v>357815</v>
      </c>
      <c r="S11" s="38">
        <f>C25</f>
        <v>356854</v>
      </c>
      <c r="T11" s="38">
        <f>C26</f>
        <v>375811</v>
      </c>
      <c r="U11" s="95">
        <f t="shared" si="0"/>
        <v>1434631</v>
      </c>
      <c r="V11" s="97">
        <f t="shared" si="5"/>
        <v>3.6603315238086243E-2</v>
      </c>
      <c r="X11" s="28" t="str">
        <f t="shared" si="1"/>
        <v>20/21</v>
      </c>
      <c r="Y11" s="39">
        <f t="shared" ca="1" si="2"/>
        <v>344151</v>
      </c>
      <c r="Z11" s="41">
        <f t="shared" ca="1" si="6"/>
        <v>-3.1109146652177233E-2</v>
      </c>
      <c r="AC11" s="28" t="str">
        <f t="shared" si="3"/>
        <v>20/21</v>
      </c>
      <c r="AD11" s="38">
        <f t="shared" si="3"/>
        <v>344151</v>
      </c>
      <c r="AE11" s="38">
        <f t="shared" si="4"/>
        <v>701966</v>
      </c>
      <c r="AF11" s="38">
        <f t="shared" si="4"/>
        <v>1058820</v>
      </c>
      <c r="AG11" s="38">
        <f t="shared" si="4"/>
        <v>1434631</v>
      </c>
    </row>
    <row r="12" spans="1:33" x14ac:dyDescent="0.55000000000000004">
      <c r="B12" s="36" t="s">
        <v>25</v>
      </c>
      <c r="C12" s="39">
        <v>358432</v>
      </c>
      <c r="P12" s="28" t="s">
        <v>26</v>
      </c>
      <c r="Q12" s="38">
        <f>C27</f>
        <v>365826</v>
      </c>
      <c r="R12" s="38">
        <f>C28</f>
        <v>373498</v>
      </c>
      <c r="S12" s="38">
        <f>C29</f>
        <v>364081</v>
      </c>
      <c r="T12" s="38">
        <f>C30</f>
        <v>369679</v>
      </c>
      <c r="U12" s="95">
        <f t="shared" si="0"/>
        <v>1473084</v>
      </c>
      <c r="V12" s="97">
        <f t="shared" si="5"/>
        <v>2.6803407984352878E-2</v>
      </c>
      <c r="X12" s="28" t="str">
        <f t="shared" si="1"/>
        <v>21/22</v>
      </c>
      <c r="Y12" s="39">
        <f t="shared" ca="1" si="2"/>
        <v>365826</v>
      </c>
      <c r="Z12" s="41">
        <f t="shared" ca="1" si="6"/>
        <v>6.2981075167586331E-2</v>
      </c>
      <c r="AC12" s="28" t="str">
        <f t="shared" si="3"/>
        <v>21/22</v>
      </c>
      <c r="AD12" s="38">
        <f t="shared" si="3"/>
        <v>365826</v>
      </c>
      <c r="AE12" s="38">
        <f t="shared" si="4"/>
        <v>739324</v>
      </c>
      <c r="AF12" s="38">
        <f t="shared" si="4"/>
        <v>1103405</v>
      </c>
      <c r="AG12" s="38">
        <f t="shared" si="4"/>
        <v>1473084</v>
      </c>
    </row>
    <row r="13" spans="1:33" x14ac:dyDescent="0.55000000000000004">
      <c r="B13" s="36" t="s">
        <v>27</v>
      </c>
      <c r="C13" s="39">
        <v>356109</v>
      </c>
      <c r="P13" s="28" t="s">
        <v>28</v>
      </c>
      <c r="Q13" s="38">
        <f>IF(C31=0,"",C31)</f>
        <v>359577</v>
      </c>
      <c r="R13" s="38">
        <f>IF(C32=0,"",C32)</f>
        <v>375375</v>
      </c>
      <c r="S13" s="38">
        <f>IF(C33=0,"",C33)</f>
        <v>343283</v>
      </c>
      <c r="T13" s="38">
        <f>IF(C34=0,NA(),C34)</f>
        <v>366298</v>
      </c>
      <c r="U13" s="95">
        <f t="shared" si="0"/>
        <v>1444533</v>
      </c>
      <c r="V13" s="97">
        <f t="shared" si="5"/>
        <v>-1.9381786782016519E-2</v>
      </c>
      <c r="X13" s="28" t="str">
        <f t="shared" si="1"/>
        <v>22/23</v>
      </c>
      <c r="Y13" s="39">
        <f t="shared" ca="1" si="2"/>
        <v>359577</v>
      </c>
      <c r="Z13" s="41">
        <f t="shared" ca="1" si="6"/>
        <v>-1.7081891390989146E-2</v>
      </c>
      <c r="AC13" s="28" t="str">
        <f t="shared" si="3"/>
        <v>22/23</v>
      </c>
      <c r="AD13" s="38">
        <f t="shared" si="3"/>
        <v>359577</v>
      </c>
      <c r="AE13" s="38">
        <f t="shared" si="4"/>
        <v>734952</v>
      </c>
      <c r="AF13" s="38">
        <f t="shared" si="4"/>
        <v>1078235</v>
      </c>
      <c r="AG13" s="38">
        <f t="shared" si="4"/>
        <v>1444533</v>
      </c>
    </row>
    <row r="14" spans="1:33" x14ac:dyDescent="0.55000000000000004">
      <c r="B14" s="42" t="s">
        <v>29</v>
      </c>
      <c r="C14" s="43">
        <v>363122</v>
      </c>
      <c r="P14" s="28" t="s">
        <v>30</v>
      </c>
      <c r="Q14" s="38">
        <f>C35</f>
        <v>350739</v>
      </c>
      <c r="R14" s="38">
        <f>C36</f>
        <v>367287</v>
      </c>
      <c r="S14" s="38">
        <f>C37</f>
        <v>357502</v>
      </c>
      <c r="T14" s="38">
        <f>C38</f>
        <v>354334</v>
      </c>
      <c r="U14" s="95">
        <f t="shared" si="0"/>
        <v>1429862</v>
      </c>
      <c r="V14" s="97">
        <f t="shared" si="5"/>
        <v>-1.0156223499220851E-2</v>
      </c>
      <c r="X14" s="28" t="str">
        <f t="shared" si="1"/>
        <v>23/24</v>
      </c>
      <c r="Y14" s="39">
        <f t="shared" ca="1" si="2"/>
        <v>350739</v>
      </c>
      <c r="Z14" s="41">
        <f t="shared" ca="1" si="6"/>
        <v>-2.4578880184216501E-2</v>
      </c>
      <c r="AC14" s="28" t="str">
        <f t="shared" si="3"/>
        <v>23/24</v>
      </c>
      <c r="AD14" s="38">
        <f t="shared" si="3"/>
        <v>350739</v>
      </c>
      <c r="AE14" s="38">
        <f t="shared" si="4"/>
        <v>718026</v>
      </c>
      <c r="AF14" s="38">
        <f t="shared" si="4"/>
        <v>1075528</v>
      </c>
      <c r="AG14" s="38">
        <f t="shared" si="4"/>
        <v>1429862</v>
      </c>
    </row>
    <row r="15" spans="1:33" x14ac:dyDescent="0.55000000000000004">
      <c r="B15" s="36" t="s">
        <v>31</v>
      </c>
      <c r="C15" s="39">
        <v>359103</v>
      </c>
      <c r="P15" s="28" t="s">
        <v>74</v>
      </c>
      <c r="Q15" s="38">
        <f>C39</f>
        <v>331853</v>
      </c>
      <c r="R15" s="38">
        <f>C40</f>
        <v>353522</v>
      </c>
      <c r="S15" s="38">
        <f>C41</f>
        <v>331762</v>
      </c>
      <c r="T15" s="38">
        <f>C42</f>
        <v>337353</v>
      </c>
      <c r="U15" s="95">
        <f t="shared" si="0"/>
        <v>1354490</v>
      </c>
      <c r="V15" s="97">
        <f t="shared" si="5"/>
        <v>-5.2712779275202792E-2</v>
      </c>
      <c r="X15" s="28" t="s">
        <v>74</v>
      </c>
      <c r="Y15" s="39">
        <f t="shared" ca="1" si="2"/>
        <v>331853</v>
      </c>
      <c r="Z15" s="41">
        <f t="shared" ca="1" si="6"/>
        <v>-5.3846307368156987E-2</v>
      </c>
      <c r="AC15" s="28" t="str">
        <f t="shared" si="3"/>
        <v>24/25</v>
      </c>
      <c r="AD15" s="38">
        <f t="shared" si="3"/>
        <v>331853</v>
      </c>
    </row>
    <row r="16" spans="1:33" ht="14.7" thickBot="1" x14ac:dyDescent="0.6">
      <c r="B16" s="36" t="s">
        <v>32</v>
      </c>
      <c r="C16" s="39">
        <v>370359</v>
      </c>
      <c r="P16" s="28" t="s">
        <v>165</v>
      </c>
      <c r="Q16" s="38">
        <f>C43</f>
        <v>304470</v>
      </c>
      <c r="U16" s="98"/>
      <c r="V16" s="99"/>
      <c r="X16" s="28" t="s">
        <v>165</v>
      </c>
      <c r="Y16" s="39">
        <f t="shared" ca="1" si="2"/>
        <v>304470</v>
      </c>
      <c r="Z16" s="41">
        <f t="shared" ca="1" si="6"/>
        <v>-8.2515451118416849E-2</v>
      </c>
    </row>
    <row r="17" spans="2:28" x14ac:dyDescent="0.55000000000000004">
      <c r="B17" s="36" t="s">
        <v>33</v>
      </c>
      <c r="C17" s="39">
        <v>344890</v>
      </c>
      <c r="P17" s="28" t="s">
        <v>207</v>
      </c>
      <c r="Q17" s="38"/>
      <c r="X17" s="28" t="s">
        <v>207</v>
      </c>
      <c r="Y17" s="39"/>
      <c r="Z17" s="41"/>
    </row>
    <row r="18" spans="2:28" x14ac:dyDescent="0.55000000000000004">
      <c r="B18" s="42" t="s">
        <v>34</v>
      </c>
      <c r="C18" s="43">
        <v>362940</v>
      </c>
    </row>
    <row r="19" spans="2:28" x14ac:dyDescent="0.55000000000000004">
      <c r="B19" s="36" t="s">
        <v>37</v>
      </c>
      <c r="C19" s="39">
        <v>355201</v>
      </c>
      <c r="X19" s="150" t="s">
        <v>36</v>
      </c>
      <c r="Y19" s="150"/>
      <c r="Z19" s="25" t="s">
        <v>9</v>
      </c>
    </row>
    <row r="20" spans="2:28" x14ac:dyDescent="0.55000000000000004">
      <c r="B20" s="36" t="s">
        <v>38</v>
      </c>
      <c r="C20" s="39">
        <v>368934</v>
      </c>
    </row>
    <row r="21" spans="2:28" x14ac:dyDescent="0.55000000000000004">
      <c r="B21" s="36" t="s">
        <v>39</v>
      </c>
      <c r="C21" s="39">
        <v>314108</v>
      </c>
    </row>
    <row r="22" spans="2:28" x14ac:dyDescent="0.55000000000000004">
      <c r="B22" s="42" t="s">
        <v>40</v>
      </c>
      <c r="C22" s="43">
        <v>345730</v>
      </c>
    </row>
    <row r="23" spans="2:28" x14ac:dyDescent="0.55000000000000004">
      <c r="B23" s="36" t="s">
        <v>41</v>
      </c>
      <c r="C23" s="39">
        <v>344151</v>
      </c>
      <c r="Y23" s="29">
        <f>_xlfn.XLOOKUP(Z19,Q6:T6,Q5:T5)</f>
        <v>1</v>
      </c>
    </row>
    <row r="24" spans="2:28" x14ac:dyDescent="0.55000000000000004">
      <c r="B24" s="36" t="s">
        <v>43</v>
      </c>
      <c r="C24" s="39">
        <v>357815</v>
      </c>
      <c r="Y24" s="29" t="s">
        <v>42</v>
      </c>
    </row>
    <row r="25" spans="2:28" x14ac:dyDescent="0.55000000000000004">
      <c r="B25" s="36" t="s">
        <v>44</v>
      </c>
      <c r="C25" s="39">
        <v>356854</v>
      </c>
      <c r="Y25" s="28" t="str">
        <f t="shared" ref="Y25:Y33" si="7">P50</f>
        <v>16/17</v>
      </c>
      <c r="Z25" s="39" cm="1">
        <f t="array" aca="1" ref="Z25:Z34" ca="1">OFFSET(P7,0,$Y$23,COUNT($Q$7:$Q$16),1)</f>
        <v>339741</v>
      </c>
      <c r="AB25" s="29" t="str">
        <f>_xlfn.CONCAT(A1," ",Z19," across Years")</f>
        <v>ECA Grinds Q1 across Years</v>
      </c>
    </row>
    <row r="26" spans="2:28" x14ac:dyDescent="0.55000000000000004">
      <c r="B26" s="42" t="s">
        <v>45</v>
      </c>
      <c r="C26" s="43">
        <v>375811</v>
      </c>
      <c r="Y26" s="28" t="str">
        <f t="shared" si="7"/>
        <v>17/18</v>
      </c>
      <c r="Z26" s="39">
        <f ca="1"/>
        <v>353286</v>
      </c>
    </row>
    <row r="27" spans="2:28" x14ac:dyDescent="0.55000000000000004">
      <c r="B27" s="36" t="s">
        <v>46</v>
      </c>
      <c r="C27" s="39">
        <v>365826</v>
      </c>
      <c r="Y27" s="28" t="str">
        <f t="shared" si="7"/>
        <v>18/19</v>
      </c>
      <c r="Z27" s="39">
        <f ca="1"/>
        <v>359103</v>
      </c>
    </row>
    <row r="28" spans="2:28" x14ac:dyDescent="0.55000000000000004">
      <c r="B28" s="36" t="s">
        <v>47</v>
      </c>
      <c r="C28" s="39">
        <v>373498</v>
      </c>
      <c r="Y28" s="28" t="str">
        <f t="shared" si="7"/>
        <v>19/20</v>
      </c>
      <c r="Z28" s="39">
        <f ca="1"/>
        <v>355201</v>
      </c>
    </row>
    <row r="29" spans="2:28" x14ac:dyDescent="0.55000000000000004">
      <c r="B29" s="36" t="s">
        <v>48</v>
      </c>
      <c r="C29" s="39">
        <v>364081</v>
      </c>
      <c r="Y29" s="28" t="str">
        <f t="shared" si="7"/>
        <v>20/21</v>
      </c>
      <c r="Z29" s="39">
        <f ca="1"/>
        <v>344151</v>
      </c>
    </row>
    <row r="30" spans="2:28" x14ac:dyDescent="0.55000000000000004">
      <c r="B30" s="42" t="s">
        <v>49</v>
      </c>
      <c r="C30" s="43">
        <v>369679</v>
      </c>
      <c r="Y30" s="28" t="str">
        <f t="shared" si="7"/>
        <v>21/22</v>
      </c>
      <c r="Z30" s="39">
        <f ca="1"/>
        <v>365826</v>
      </c>
    </row>
    <row r="31" spans="2:28" x14ac:dyDescent="0.55000000000000004">
      <c r="B31" s="36" t="s">
        <v>50</v>
      </c>
      <c r="C31" s="39">
        <v>359577</v>
      </c>
      <c r="Y31" s="28" t="str">
        <f t="shared" si="7"/>
        <v>22/23</v>
      </c>
      <c r="Z31" s="39">
        <f ca="1"/>
        <v>359577</v>
      </c>
    </row>
    <row r="32" spans="2:28" x14ac:dyDescent="0.55000000000000004">
      <c r="B32" s="36" t="s">
        <v>51</v>
      </c>
      <c r="C32" s="39">
        <v>375375</v>
      </c>
      <c r="Y32" s="28" t="str">
        <f t="shared" si="7"/>
        <v>23/24</v>
      </c>
      <c r="Z32" s="39">
        <f ca="1"/>
        <v>350739</v>
      </c>
    </row>
    <row r="33" spans="2:26" x14ac:dyDescent="0.55000000000000004">
      <c r="B33" s="36" t="s">
        <v>53</v>
      </c>
      <c r="C33" s="39">
        <v>343283</v>
      </c>
      <c r="Y33" s="28" t="str">
        <f t="shared" si="7"/>
        <v>24/25</v>
      </c>
      <c r="Z33" s="39">
        <f ca="1"/>
        <v>331853</v>
      </c>
    </row>
    <row r="34" spans="2:26" x14ac:dyDescent="0.55000000000000004">
      <c r="B34" s="42" t="s">
        <v>54</v>
      </c>
      <c r="C34" s="43">
        <v>366298</v>
      </c>
      <c r="Y34" s="29" t="s">
        <v>165</v>
      </c>
      <c r="Z34" s="39">
        <f ca="1"/>
        <v>304470</v>
      </c>
    </row>
    <row r="35" spans="2:26" x14ac:dyDescent="0.55000000000000004">
      <c r="B35" s="36" t="s">
        <v>55</v>
      </c>
      <c r="C35" s="39">
        <v>350739</v>
      </c>
    </row>
    <row r="36" spans="2:26" x14ac:dyDescent="0.55000000000000004">
      <c r="B36" s="36" t="s">
        <v>56</v>
      </c>
      <c r="C36" s="39">
        <v>367287</v>
      </c>
    </row>
    <row r="37" spans="2:26" x14ac:dyDescent="0.55000000000000004">
      <c r="B37" s="36" t="s">
        <v>57</v>
      </c>
      <c r="C37" s="39">
        <v>357502</v>
      </c>
    </row>
    <row r="38" spans="2:26" x14ac:dyDescent="0.55000000000000004">
      <c r="B38" s="42" t="s">
        <v>58</v>
      </c>
      <c r="C38" s="43">
        <v>354334</v>
      </c>
    </row>
    <row r="39" spans="2:26" x14ac:dyDescent="0.55000000000000004">
      <c r="B39" s="36" t="s">
        <v>73</v>
      </c>
      <c r="C39" s="39">
        <v>331853</v>
      </c>
    </row>
    <row r="40" spans="2:26" x14ac:dyDescent="0.55000000000000004">
      <c r="B40" s="36" t="s">
        <v>151</v>
      </c>
      <c r="C40" s="38">
        <v>353522</v>
      </c>
    </row>
    <row r="41" spans="2:26" x14ac:dyDescent="0.55000000000000004">
      <c r="B41" s="36" t="s">
        <v>160</v>
      </c>
      <c r="C41" s="38">
        <v>331762</v>
      </c>
    </row>
    <row r="42" spans="2:26" x14ac:dyDescent="0.55000000000000004">
      <c r="B42" s="36" t="s">
        <v>162</v>
      </c>
      <c r="C42" s="38">
        <v>337353</v>
      </c>
    </row>
    <row r="43" spans="2:26" x14ac:dyDescent="0.55000000000000004">
      <c r="B43" s="36" t="s">
        <v>187</v>
      </c>
      <c r="C43" s="39">
        <v>304470</v>
      </c>
    </row>
    <row r="44" spans="2:26" x14ac:dyDescent="0.55000000000000004">
      <c r="B44" s="29" t="s">
        <v>209</v>
      </c>
    </row>
    <row r="45" spans="2:26" x14ac:dyDescent="0.55000000000000004">
      <c r="B45" s="29" t="s">
        <v>210</v>
      </c>
    </row>
    <row r="46" spans="2:26" x14ac:dyDescent="0.55000000000000004">
      <c r="B46" s="29" t="s">
        <v>211</v>
      </c>
    </row>
    <row r="48" spans="2:26" ht="15.6" x14ac:dyDescent="0.6">
      <c r="I48" s="46"/>
      <c r="P48" s="149" t="s">
        <v>35</v>
      </c>
      <c r="Q48" s="149"/>
      <c r="R48" s="149"/>
      <c r="S48" s="149"/>
      <c r="T48" s="149"/>
      <c r="U48" s="92"/>
      <c r="V48" s="92"/>
    </row>
    <row r="49" spans="11:27" x14ac:dyDescent="0.55000000000000004">
      <c r="Q49" s="18" t="s">
        <v>9</v>
      </c>
      <c r="R49" s="18" t="s">
        <v>10</v>
      </c>
      <c r="S49" s="18" t="s">
        <v>11</v>
      </c>
      <c r="T49" s="18" t="s">
        <v>12</v>
      </c>
      <c r="U49" s="18"/>
      <c r="V49" s="18"/>
    </row>
    <row r="50" spans="11:27" x14ac:dyDescent="0.55000000000000004">
      <c r="K50" s="39"/>
      <c r="P50" s="28" t="str">
        <f t="shared" ref="P50:P57" si="8">P7</f>
        <v>16/17</v>
      </c>
      <c r="Q50" s="38"/>
      <c r="R50" s="38"/>
      <c r="S50" s="38"/>
      <c r="T50" s="38"/>
      <c r="U50" s="38"/>
      <c r="V50" s="38"/>
    </row>
    <row r="51" spans="11:27" x14ac:dyDescent="0.55000000000000004">
      <c r="K51" s="38"/>
      <c r="P51" s="28" t="str">
        <f t="shared" si="8"/>
        <v>17/18</v>
      </c>
      <c r="Q51" s="41">
        <f t="shared" ref="Q51:T58" si="9">IFERROR(Q8/Q7-1,"")</f>
        <v>3.9868605790881917E-2</v>
      </c>
      <c r="R51" s="41">
        <f t="shared" si="9"/>
        <v>5.5015438230887614E-2</v>
      </c>
      <c r="S51" s="41">
        <f t="shared" si="9"/>
        <v>7.2714401903786419E-2</v>
      </c>
      <c r="T51" s="41">
        <f t="shared" si="9"/>
        <v>2.7091394564750182E-2</v>
      </c>
      <c r="U51" s="41"/>
      <c r="V51" s="41"/>
    </row>
    <row r="52" spans="11:27" x14ac:dyDescent="0.55000000000000004">
      <c r="P52" s="28" t="str">
        <f t="shared" si="8"/>
        <v>18/19</v>
      </c>
      <c r="Q52" s="41">
        <f t="shared" si="9"/>
        <v>1.6465413291214537E-2</v>
      </c>
      <c r="R52" s="41">
        <f t="shared" si="9"/>
        <v>3.3275488795643238E-2</v>
      </c>
      <c r="S52" s="41">
        <f t="shared" si="9"/>
        <v>-3.1504398934034228E-2</v>
      </c>
      <c r="T52" s="41">
        <f t="shared" si="9"/>
        <v>-5.0120896007399551E-4</v>
      </c>
      <c r="U52" s="41"/>
      <c r="V52" s="41"/>
      <c r="Y52" s="46"/>
      <c r="AA52" s="17"/>
    </row>
    <row r="53" spans="11:27" x14ac:dyDescent="0.55000000000000004">
      <c r="P53" s="28" t="str">
        <f t="shared" si="8"/>
        <v>19/20</v>
      </c>
      <c r="Q53" s="41">
        <f t="shared" si="9"/>
        <v>-1.0865963247313482E-2</v>
      </c>
      <c r="R53" s="41">
        <f t="shared" si="9"/>
        <v>-3.847618121876395E-3</v>
      </c>
      <c r="S53" s="41">
        <f t="shared" si="9"/>
        <v>-8.9251645452173123E-2</v>
      </c>
      <c r="T53" s="41">
        <f t="shared" si="9"/>
        <v>-4.7418306056097426E-2</v>
      </c>
      <c r="U53" s="41"/>
      <c r="V53" s="41"/>
      <c r="Y53" s="39"/>
    </row>
    <row r="54" spans="11:27" x14ac:dyDescent="0.55000000000000004">
      <c r="P54" s="28" t="str">
        <f t="shared" si="8"/>
        <v>20/21</v>
      </c>
      <c r="Q54" s="41">
        <f t="shared" si="9"/>
        <v>-3.1109146652177233E-2</v>
      </c>
      <c r="R54" s="41">
        <f t="shared" si="9"/>
        <v>-3.0138181897033101E-2</v>
      </c>
      <c r="S54" s="41">
        <f t="shared" si="9"/>
        <v>0.13608695098501156</v>
      </c>
      <c r="T54" s="41">
        <f t="shared" si="9"/>
        <v>8.7007202151968333E-2</v>
      </c>
      <c r="U54" s="41"/>
      <c r="V54" s="41"/>
    </row>
    <row r="55" spans="11:27" x14ac:dyDescent="0.55000000000000004">
      <c r="P55" s="28" t="str">
        <f t="shared" si="8"/>
        <v>21/22</v>
      </c>
      <c r="Q55" s="41">
        <f t="shared" si="9"/>
        <v>6.2981075167586331E-2</v>
      </c>
      <c r="R55" s="41">
        <f t="shared" si="9"/>
        <v>4.3829912105417534E-2</v>
      </c>
      <c r="S55" s="41">
        <f t="shared" si="9"/>
        <v>2.0251979801263253E-2</v>
      </c>
      <c r="T55" s="41">
        <f t="shared" si="9"/>
        <v>-1.631671239000454E-2</v>
      </c>
      <c r="U55" s="41"/>
      <c r="V55" s="41"/>
      <c r="Y55" s="45"/>
    </row>
    <row r="56" spans="11:27" x14ac:dyDescent="0.55000000000000004">
      <c r="P56" s="28" t="str">
        <f t="shared" si="8"/>
        <v>22/23</v>
      </c>
      <c r="Q56" s="41">
        <f t="shared" si="9"/>
        <v>-1.7081891390989146E-2</v>
      </c>
      <c r="R56" s="41">
        <f t="shared" si="9"/>
        <v>5.0254619837322156E-3</v>
      </c>
      <c r="S56" s="41">
        <f t="shared" si="9"/>
        <v>-5.7124650833193735E-2</v>
      </c>
      <c r="T56" s="41">
        <f t="shared" si="9"/>
        <v>-9.1457724133640061E-3</v>
      </c>
      <c r="U56" s="41"/>
      <c r="V56" s="41"/>
    </row>
    <row r="57" spans="11:27" x14ac:dyDescent="0.55000000000000004">
      <c r="P57" s="28" t="str">
        <f t="shared" si="8"/>
        <v>23/24</v>
      </c>
      <c r="Q57" s="41">
        <f t="shared" si="9"/>
        <v>-2.4578880184216501E-2</v>
      </c>
      <c r="R57" s="41">
        <f t="shared" si="9"/>
        <v>-2.154645354645357E-2</v>
      </c>
      <c r="S57" s="41">
        <f t="shared" si="9"/>
        <v>4.1420635452381838E-2</v>
      </c>
      <c r="T57" s="41">
        <f t="shared" si="9"/>
        <v>-3.2661930996074284E-2</v>
      </c>
      <c r="U57" s="41"/>
      <c r="V57" s="41"/>
    </row>
    <row r="58" spans="11:27" x14ac:dyDescent="0.55000000000000004">
      <c r="P58" s="28" t="s">
        <v>74</v>
      </c>
      <c r="Q58" s="41">
        <f t="shared" si="9"/>
        <v>-5.3846307368156987E-2</v>
      </c>
      <c r="R58" s="41">
        <f t="shared" si="9"/>
        <v>-3.7477503968286419E-2</v>
      </c>
      <c r="S58" s="41">
        <f t="shared" si="9"/>
        <v>-7.1999597205050558E-2</v>
      </c>
      <c r="T58" s="41">
        <f t="shared" si="9"/>
        <v>-4.7923710397534514E-2</v>
      </c>
      <c r="U58" s="41"/>
      <c r="V58" s="41"/>
    </row>
    <row r="59" spans="11:27" x14ac:dyDescent="0.55000000000000004">
      <c r="P59" s="28" t="s">
        <v>165</v>
      </c>
      <c r="Q59" s="41">
        <f>IFERROR(Q16/Q15-1,"")</f>
        <v>-8.2515451118416849E-2</v>
      </c>
    </row>
    <row r="62" spans="11:27" ht="15.6" x14ac:dyDescent="0.6">
      <c r="P62" s="149" t="s">
        <v>52</v>
      </c>
      <c r="Q62" s="149"/>
      <c r="R62" s="149"/>
      <c r="S62" s="149"/>
      <c r="T62" s="149"/>
      <c r="U62" s="92"/>
      <c r="V62" s="92"/>
    </row>
    <row r="63" spans="11:27" x14ac:dyDescent="0.55000000000000004">
      <c r="Q63" s="18" t="s">
        <v>9</v>
      </c>
      <c r="R63" s="18" t="s">
        <v>10</v>
      </c>
      <c r="S63" s="18" t="s">
        <v>11</v>
      </c>
      <c r="T63" s="18" t="s">
        <v>12</v>
      </c>
      <c r="U63" s="18"/>
      <c r="V63" s="18"/>
    </row>
    <row r="64" spans="11:27" x14ac:dyDescent="0.55000000000000004">
      <c r="P64" s="28" t="str">
        <f>P50</f>
        <v>16/17</v>
      </c>
      <c r="Q64" s="41"/>
      <c r="R64" s="41">
        <f t="shared" ref="R64:T72" si="10">IFERROR(R7/Q7-1,"")</f>
        <v>0</v>
      </c>
      <c r="S64" s="41">
        <f t="shared" si="10"/>
        <v>-2.2873306430486795E-2</v>
      </c>
      <c r="T64" s="41">
        <f t="shared" si="10"/>
        <v>6.4987800102418891E-2</v>
      </c>
      <c r="U64" s="41"/>
      <c r="V64" s="41"/>
    </row>
    <row r="65" spans="16:22" x14ac:dyDescent="0.55000000000000004">
      <c r="P65" s="28" t="str">
        <f t="shared" ref="P65:P71" si="11">P51</f>
        <v>17/18</v>
      </c>
      <c r="Q65" s="41">
        <f t="shared" ref="Q65:Q73" si="12">IFERROR(Q8/T7-1,"")</f>
        <v>-7.2975358088389619E-4</v>
      </c>
      <c r="R65" s="41">
        <f t="shared" si="10"/>
        <v>1.4566102251433621E-2</v>
      </c>
      <c r="S65" s="41">
        <f t="shared" si="10"/>
        <v>-6.4810061601642266E-3</v>
      </c>
      <c r="T65" s="41">
        <f t="shared" si="10"/>
        <v>1.9693408478864693E-2</v>
      </c>
      <c r="U65" s="41"/>
      <c r="V65" s="41"/>
    </row>
    <row r="66" spans="16:22" x14ac:dyDescent="0.55000000000000004">
      <c r="P66" s="28" t="str">
        <f t="shared" si="11"/>
        <v>18/19</v>
      </c>
      <c r="Q66" s="41">
        <f t="shared" si="12"/>
        <v>-1.1067905552403889E-2</v>
      </c>
      <c r="R66" s="41">
        <f t="shared" si="10"/>
        <v>3.1344767378718608E-2</v>
      </c>
      <c r="S66" s="41">
        <f t="shared" si="10"/>
        <v>-6.8768411190223588E-2</v>
      </c>
      <c r="T66" s="41">
        <f t="shared" si="10"/>
        <v>5.2335527269564253E-2</v>
      </c>
      <c r="U66" s="41"/>
      <c r="V66" s="41"/>
    </row>
    <row r="67" spans="16:22" x14ac:dyDescent="0.55000000000000004">
      <c r="P67" s="28" t="str">
        <f t="shared" si="11"/>
        <v>19/20</v>
      </c>
      <c r="Q67" s="41">
        <f t="shared" si="12"/>
        <v>-2.1323083705295676E-2</v>
      </c>
      <c r="R67" s="41">
        <f t="shared" si="10"/>
        <v>3.8662616377769243E-2</v>
      </c>
      <c r="S67" s="41">
        <f t="shared" si="10"/>
        <v>-0.14860652582846801</v>
      </c>
      <c r="T67" s="41">
        <f t="shared" si="10"/>
        <v>0.10067238020044056</v>
      </c>
      <c r="U67" s="41"/>
      <c r="V67" s="41"/>
    </row>
    <row r="68" spans="16:22" x14ac:dyDescent="0.55000000000000004">
      <c r="P68" s="28" t="str">
        <f t="shared" si="11"/>
        <v>20/21</v>
      </c>
      <c r="Q68" s="41">
        <f t="shared" si="12"/>
        <v>-4.5671477742746935E-3</v>
      </c>
      <c r="R68" s="41">
        <f t="shared" si="10"/>
        <v>3.9703502241748456E-2</v>
      </c>
      <c r="S68" s="41">
        <f t="shared" si="10"/>
        <v>-2.6857454271062009E-3</v>
      </c>
      <c r="T68" s="41">
        <f t="shared" si="10"/>
        <v>5.3122565531001475E-2</v>
      </c>
      <c r="U68" s="41"/>
      <c r="V68" s="41"/>
    </row>
    <row r="69" spans="16:22" x14ac:dyDescent="0.55000000000000004">
      <c r="P69" s="28" t="str">
        <f t="shared" si="11"/>
        <v>21/22</v>
      </c>
      <c r="Q69" s="41">
        <f t="shared" si="12"/>
        <v>-2.6569206329777439E-2</v>
      </c>
      <c r="R69" s="41">
        <f t="shared" si="10"/>
        <v>2.0971718795274263E-2</v>
      </c>
      <c r="S69" s="41">
        <f t="shared" si="10"/>
        <v>-2.5212986414920535E-2</v>
      </c>
      <c r="T69" s="41">
        <f t="shared" si="10"/>
        <v>1.5375699363603168E-2</v>
      </c>
      <c r="U69" s="41"/>
      <c r="V69" s="41"/>
    </row>
    <row r="70" spans="16:22" x14ac:dyDescent="0.55000000000000004">
      <c r="P70" s="28" t="str">
        <f t="shared" si="11"/>
        <v>22/23</v>
      </c>
      <c r="Q70" s="41">
        <f t="shared" si="12"/>
        <v>-2.7326410209938867E-2</v>
      </c>
      <c r="R70" s="41">
        <f t="shared" si="10"/>
        <v>4.3934956907699885E-2</v>
      </c>
      <c r="S70" s="41">
        <f t="shared" si="10"/>
        <v>-8.5493173493173535E-2</v>
      </c>
      <c r="T70" s="41">
        <f t="shared" si="10"/>
        <v>6.7043809335154858E-2</v>
      </c>
      <c r="U70" s="41"/>
      <c r="V70" s="41"/>
    </row>
    <row r="71" spans="16:22" x14ac:dyDescent="0.55000000000000004">
      <c r="P71" s="28" t="str">
        <f t="shared" si="11"/>
        <v>23/24</v>
      </c>
      <c r="Q71" s="41">
        <f t="shared" si="12"/>
        <v>-4.247634439718484E-2</v>
      </c>
      <c r="R71" s="41">
        <f t="shared" si="10"/>
        <v>4.7180381993448206E-2</v>
      </c>
      <c r="S71" s="41">
        <f t="shared" si="10"/>
        <v>-2.6641291415160362E-2</v>
      </c>
      <c r="T71" s="41">
        <f t="shared" si="10"/>
        <v>-8.8614888867754038E-3</v>
      </c>
      <c r="U71" s="41"/>
      <c r="V71" s="41"/>
    </row>
    <row r="72" spans="16:22" x14ac:dyDescent="0.55000000000000004">
      <c r="P72" s="28" t="s">
        <v>74</v>
      </c>
      <c r="Q72" s="41">
        <f t="shared" si="12"/>
        <v>-6.344578843689852E-2</v>
      </c>
      <c r="R72" s="41">
        <f t="shared" si="10"/>
        <v>6.5296983905524408E-2</v>
      </c>
      <c r="S72" s="41">
        <f t="shared" si="10"/>
        <v>-6.1552039194166186E-2</v>
      </c>
      <c r="T72" s="41">
        <f t="shared" si="10"/>
        <v>1.685244241353745E-2</v>
      </c>
      <c r="U72" s="41"/>
      <c r="V72" s="41"/>
    </row>
    <row r="73" spans="16:22" x14ac:dyDescent="0.55000000000000004">
      <c r="P73" s="28" t="s">
        <v>165</v>
      </c>
      <c r="Q73" s="41">
        <f t="shared" si="12"/>
        <v>-9.7473566264417388E-2</v>
      </c>
    </row>
  </sheetData>
  <mergeCells count="4">
    <mergeCell ref="A1:AF1"/>
    <mergeCell ref="P48:T48"/>
    <mergeCell ref="X19:Y19"/>
    <mergeCell ref="P62:T62"/>
  </mergeCells>
  <conditionalFormatting sqref="Q7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{4C24C110-A1D1-4D29-A91E-CC19816E0900}</x14:id>
        </ext>
      </extLst>
    </cfRule>
  </conditionalFormatting>
  <conditionalFormatting sqref="Q7:T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6:V17 Q7:T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1:V5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{E257CC28-8879-4532-93C3-5BC9DDD12AC5}</x14:id>
        </ext>
      </extLst>
    </cfRule>
  </conditionalFormatting>
  <conditionalFormatting sqref="Q64:V7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{A3C3A914-4A83-4DC0-92B8-7A395D0BACE0}</x14:id>
        </ext>
      </extLst>
    </cfRule>
  </conditionalFormatting>
  <conditionalFormatting sqref="Q64:V7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{C8E30DAD-E3E7-4DA0-92E1-16A5C8030298}</x14:id>
        </ext>
      </extLst>
    </cfRule>
  </conditionalFormatting>
  <conditionalFormatting sqref="U7:U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:V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{1A72C31F-6B40-436A-9640-066ED638E8F5}</x14:id>
        </ext>
      </extLst>
    </cfRule>
  </conditionalFormatting>
  <conditionalFormatting sqref="Y7:Y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1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{7BB3D711-3462-46D0-A3E4-3640AC08FE77}</x14:id>
        </ext>
      </extLst>
    </cfRule>
  </conditionalFormatting>
  <dataValidations disablePrompts="1" count="1">
    <dataValidation type="list" allowBlank="1" showInputMessage="1" showErrorMessage="1" sqref="Z19" xr:uid="{152DA6DE-A714-4814-ACAB-D08D8198DCD1}">
      <formula1>$Q$6:$T$6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24C110-A1D1-4D29-A91E-CC19816E09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Q73</xm:sqref>
        </x14:conditionalFormatting>
        <x14:conditionalFormatting xmlns:xm="http://schemas.microsoft.com/office/excel/2006/main">
          <x14:cfRule type="dataBar" id="{E257CC28-8879-4532-93C3-5BC9DDD12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Q51:V59</xm:sqref>
        </x14:conditionalFormatting>
        <x14:conditionalFormatting xmlns:xm="http://schemas.microsoft.com/office/excel/2006/main">
          <x14:cfRule type="dataBar" id="{A3C3A914-4A83-4DC0-92B8-7A395D0BAC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Q64:V72</xm:sqref>
        </x14:conditionalFormatting>
        <x14:conditionalFormatting xmlns:xm="http://schemas.microsoft.com/office/excel/2006/main">
          <x14:cfRule type="dataBar" id="{C8E30DAD-E3E7-4DA0-92E1-16A5C8030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Q64:V73</xm:sqref>
        </x14:conditionalFormatting>
        <x14:conditionalFormatting xmlns:xm="http://schemas.microsoft.com/office/excel/2006/main">
          <x14:cfRule type="dataBar" id="{1A72C31F-6B40-436A-9640-066ED638E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>
          <x14:cfRule type="dataBar" id="{7BB3D711-3462-46D0-A3E4-3640AC08FE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Z8:Z17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B1D6-8581-4447-991A-F1F30E80B4D4}">
  <dimension ref="F3:AI116"/>
  <sheetViews>
    <sheetView topLeftCell="C13" zoomScale="85" zoomScaleNormal="85" workbookViewId="0">
      <selection activeCell="N46" sqref="N46"/>
    </sheetView>
  </sheetViews>
  <sheetFormatPr defaultRowHeight="14.4" x14ac:dyDescent="0.55000000000000004"/>
  <cols>
    <col min="16" max="16" width="12" bestFit="1" customWidth="1"/>
    <col min="17" max="17" width="14.578125" bestFit="1" customWidth="1"/>
    <col min="18" max="20" width="6.68359375" bestFit="1" customWidth="1"/>
    <col min="21" max="21" width="9.68359375" bestFit="1" customWidth="1"/>
    <col min="26" max="26" width="15.26171875" customWidth="1"/>
    <col min="29" max="29" width="9.578125" bestFit="1" customWidth="1"/>
  </cols>
  <sheetData>
    <row r="3" spans="6:35" x14ac:dyDescent="0.55000000000000004">
      <c r="F3" t="s">
        <v>7</v>
      </c>
      <c r="G3" t="s">
        <v>13</v>
      </c>
      <c r="H3" t="s">
        <v>213</v>
      </c>
      <c r="I3" t="s">
        <v>8</v>
      </c>
      <c r="J3" t="s">
        <v>214</v>
      </c>
      <c r="K3" t="s">
        <v>215</v>
      </c>
      <c r="AB3" t="s">
        <v>216</v>
      </c>
    </row>
    <row r="4" spans="6:35" x14ac:dyDescent="0.55000000000000004">
      <c r="F4" t="s">
        <v>9</v>
      </c>
      <c r="G4" t="s">
        <v>217</v>
      </c>
      <c r="H4" t="s">
        <v>218</v>
      </c>
      <c r="I4">
        <v>307473</v>
      </c>
      <c r="J4">
        <v>1</v>
      </c>
      <c r="K4">
        <v>1</v>
      </c>
      <c r="P4" s="110" t="s">
        <v>219</v>
      </c>
      <c r="Q4" s="110" t="s">
        <v>220</v>
      </c>
      <c r="R4" s="103"/>
      <c r="S4" s="103"/>
      <c r="T4" s="104"/>
    </row>
    <row r="5" spans="6:35" x14ac:dyDescent="0.55000000000000004">
      <c r="F5" t="s">
        <v>10</v>
      </c>
      <c r="G5" t="s">
        <v>217</v>
      </c>
      <c r="H5" t="s">
        <v>221</v>
      </c>
      <c r="I5">
        <v>307764</v>
      </c>
      <c r="J5">
        <v>1</v>
      </c>
      <c r="K5">
        <v>2</v>
      </c>
      <c r="P5" s="110" t="s">
        <v>222</v>
      </c>
      <c r="Q5" s="102">
        <v>1</v>
      </c>
      <c r="R5" s="105">
        <v>2</v>
      </c>
      <c r="S5" s="105">
        <v>3</v>
      </c>
      <c r="T5" s="111">
        <v>4</v>
      </c>
      <c r="X5" t="str">
        <f>_xll.RDP.HistoricalPricing($AB$3,"CLOSE","SOURCE:RFV NBROWS:2500 INTERVAL:P3M",,"SORT:ASC CH:Fd RH:Timestamp",Z6)</f>
        <v>Not Signed In</v>
      </c>
    </row>
    <row r="6" spans="6:35" x14ac:dyDescent="0.55000000000000004">
      <c r="F6" t="s">
        <v>11</v>
      </c>
      <c r="G6" t="s">
        <v>217</v>
      </c>
      <c r="H6" t="s">
        <v>223</v>
      </c>
      <c r="I6">
        <v>284048</v>
      </c>
      <c r="J6">
        <v>1</v>
      </c>
      <c r="K6">
        <v>3</v>
      </c>
      <c r="P6" s="106">
        <v>1</v>
      </c>
      <c r="Q6" s="102">
        <v>307473</v>
      </c>
      <c r="R6" s="105">
        <v>307764</v>
      </c>
      <c r="S6" s="105">
        <v>284048</v>
      </c>
      <c r="T6" s="111">
        <v>287709</v>
      </c>
      <c r="Z6" s="107" t="s">
        <v>224</v>
      </c>
      <c r="AA6" s="107" t="s">
        <v>225</v>
      </c>
    </row>
    <row r="7" spans="6:35" x14ac:dyDescent="0.55000000000000004">
      <c r="F7" t="s">
        <v>12</v>
      </c>
      <c r="G7" t="s">
        <v>217</v>
      </c>
      <c r="H7" t="s">
        <v>226</v>
      </c>
      <c r="I7">
        <v>287709</v>
      </c>
      <c r="J7">
        <v>1</v>
      </c>
      <c r="K7">
        <v>4</v>
      </c>
      <c r="P7" s="108">
        <v>2</v>
      </c>
      <c r="Q7" s="112">
        <v>286947</v>
      </c>
      <c r="R7" s="113">
        <v>264755</v>
      </c>
      <c r="S7" s="113">
        <v>257570</v>
      </c>
      <c r="T7" s="114">
        <v>271041</v>
      </c>
      <c r="Z7" s="109">
        <v>36250</v>
      </c>
      <c r="AA7">
        <v>261792</v>
      </c>
    </row>
    <row r="8" spans="6:35" x14ac:dyDescent="0.55000000000000004">
      <c r="F8" t="s">
        <v>9</v>
      </c>
      <c r="G8" t="s">
        <v>227</v>
      </c>
      <c r="H8" t="s">
        <v>228</v>
      </c>
      <c r="I8">
        <v>286947</v>
      </c>
      <c r="J8">
        <f>J4+1</f>
        <v>2</v>
      </c>
      <c r="K8">
        <f>K4</f>
        <v>1</v>
      </c>
      <c r="P8" s="108">
        <v>3</v>
      </c>
      <c r="Q8" s="112">
        <v>282501</v>
      </c>
      <c r="R8" s="113">
        <v>276070</v>
      </c>
      <c r="S8" s="113">
        <v>270197</v>
      </c>
      <c r="T8" s="114">
        <v>279675</v>
      </c>
      <c r="Z8" s="109">
        <v>36341</v>
      </c>
      <c r="AA8">
        <v>262073</v>
      </c>
    </row>
    <row r="9" spans="6:35" x14ac:dyDescent="0.55000000000000004">
      <c r="F9" t="s">
        <v>10</v>
      </c>
      <c r="G9" t="s">
        <v>227</v>
      </c>
      <c r="H9" t="s">
        <v>229</v>
      </c>
      <c r="I9">
        <v>264755</v>
      </c>
      <c r="J9">
        <f t="shared" ref="J9:J67" si="0">J5+1</f>
        <v>2</v>
      </c>
      <c r="K9">
        <f t="shared" ref="K9:K67" si="1">K5</f>
        <v>2</v>
      </c>
      <c r="P9" s="108">
        <v>4</v>
      </c>
      <c r="Q9" s="112">
        <v>302988</v>
      </c>
      <c r="R9" s="113">
        <v>292367</v>
      </c>
      <c r="S9" s="113">
        <v>272570</v>
      </c>
      <c r="T9" s="114">
        <v>287040</v>
      </c>
      <c r="Z9" s="109">
        <v>36433</v>
      </c>
      <c r="AA9">
        <v>259907</v>
      </c>
    </row>
    <row r="10" spans="6:35" x14ac:dyDescent="0.55000000000000004">
      <c r="F10" t="s">
        <v>11</v>
      </c>
      <c r="G10" t="s">
        <v>227</v>
      </c>
      <c r="H10" t="s">
        <v>230</v>
      </c>
      <c r="I10">
        <v>257570</v>
      </c>
      <c r="J10">
        <f t="shared" si="0"/>
        <v>2</v>
      </c>
      <c r="K10">
        <f t="shared" si="1"/>
        <v>3</v>
      </c>
      <c r="P10" s="108">
        <v>5</v>
      </c>
      <c r="Q10" s="112">
        <v>301214</v>
      </c>
      <c r="R10" s="113">
        <v>295061</v>
      </c>
      <c r="S10" s="113">
        <v>295926</v>
      </c>
      <c r="T10" s="114">
        <v>311627</v>
      </c>
      <c r="Z10" s="109">
        <v>36525</v>
      </c>
      <c r="AA10">
        <v>285952</v>
      </c>
    </row>
    <row r="11" spans="6:35" x14ac:dyDescent="0.55000000000000004">
      <c r="F11" t="s">
        <v>12</v>
      </c>
      <c r="G11" t="s">
        <v>227</v>
      </c>
      <c r="H11" t="s">
        <v>231</v>
      </c>
      <c r="I11">
        <v>271041</v>
      </c>
      <c r="J11">
        <f t="shared" si="0"/>
        <v>2</v>
      </c>
      <c r="K11">
        <f t="shared" si="1"/>
        <v>4</v>
      </c>
      <c r="P11" s="108">
        <v>6</v>
      </c>
      <c r="Q11" s="112">
        <v>317000</v>
      </c>
      <c r="R11" s="113">
        <v>324173</v>
      </c>
      <c r="S11" s="113">
        <v>312817</v>
      </c>
      <c r="T11" s="114">
        <v>324903</v>
      </c>
      <c r="Z11" s="109">
        <v>36616</v>
      </c>
      <c r="AA11">
        <v>292628</v>
      </c>
    </row>
    <row r="12" spans="6:35" x14ac:dyDescent="0.55000000000000004">
      <c r="F12" t="s">
        <v>9</v>
      </c>
      <c r="G12" t="s">
        <v>232</v>
      </c>
      <c r="H12" t="s">
        <v>233</v>
      </c>
      <c r="I12">
        <v>282501</v>
      </c>
      <c r="J12">
        <f t="shared" si="0"/>
        <v>3</v>
      </c>
      <c r="K12">
        <f t="shared" si="1"/>
        <v>1</v>
      </c>
      <c r="P12" s="108">
        <v>7</v>
      </c>
      <c r="Q12" s="112">
        <v>338922</v>
      </c>
      <c r="R12" s="113">
        <v>338495</v>
      </c>
      <c r="S12" s="113">
        <v>323353</v>
      </c>
      <c r="T12" s="114">
        <v>351040</v>
      </c>
      <c r="Z12" s="109">
        <v>36707</v>
      </c>
      <c r="AA12">
        <v>275663</v>
      </c>
    </row>
    <row r="13" spans="6:35" x14ac:dyDescent="0.55000000000000004">
      <c r="F13" t="s">
        <v>10</v>
      </c>
      <c r="G13" t="s">
        <v>232</v>
      </c>
      <c r="H13" t="s">
        <v>234</v>
      </c>
      <c r="I13">
        <v>276070</v>
      </c>
      <c r="J13">
        <f t="shared" si="0"/>
        <v>3</v>
      </c>
      <c r="K13">
        <f t="shared" si="1"/>
        <v>2</v>
      </c>
      <c r="P13" s="108">
        <v>8</v>
      </c>
      <c r="Q13" s="112">
        <v>348901</v>
      </c>
      <c r="R13" s="113">
        <v>354571</v>
      </c>
      <c r="S13" s="113">
        <v>328920</v>
      </c>
      <c r="T13" s="114">
        <v>348501</v>
      </c>
      <c r="Z13" s="109">
        <v>36799</v>
      </c>
      <c r="AA13">
        <v>297164</v>
      </c>
    </row>
    <row r="14" spans="6:35" x14ac:dyDescent="0.55000000000000004">
      <c r="F14" t="s">
        <v>11</v>
      </c>
      <c r="G14" t="s">
        <v>232</v>
      </c>
      <c r="H14" t="s">
        <v>235</v>
      </c>
      <c r="I14">
        <v>270197</v>
      </c>
      <c r="J14">
        <f t="shared" si="0"/>
        <v>3</v>
      </c>
      <c r="K14">
        <f t="shared" si="1"/>
        <v>3</v>
      </c>
      <c r="P14" s="108">
        <v>9</v>
      </c>
      <c r="Q14" s="112">
        <v>349351</v>
      </c>
      <c r="R14" s="113">
        <v>315177</v>
      </c>
      <c r="S14" s="113">
        <v>291763</v>
      </c>
      <c r="T14" s="114">
        <v>344832</v>
      </c>
      <c r="Z14" s="109">
        <v>36891</v>
      </c>
      <c r="AA14">
        <v>307473</v>
      </c>
      <c r="AF14" t="s">
        <v>9</v>
      </c>
      <c r="AG14" t="s">
        <v>217</v>
      </c>
      <c r="AH14" t="str">
        <f t="shared" ref="AH14:AH45" si="2">_xlfn.CONCAT(AF14," | ",AG14)</f>
        <v>Q1 | 0/1</v>
      </c>
      <c r="AI14">
        <f t="shared" ref="AI14:AI45" si="3">AA14</f>
        <v>307473</v>
      </c>
    </row>
    <row r="15" spans="6:35" x14ac:dyDescent="0.55000000000000004">
      <c r="F15" t="s">
        <v>12</v>
      </c>
      <c r="G15" t="s">
        <v>232</v>
      </c>
      <c r="H15" t="s">
        <v>236</v>
      </c>
      <c r="I15">
        <v>279675</v>
      </c>
      <c r="J15">
        <f t="shared" si="0"/>
        <v>3</v>
      </c>
      <c r="K15">
        <f t="shared" si="1"/>
        <v>4</v>
      </c>
      <c r="P15" s="108">
        <v>10</v>
      </c>
      <c r="Q15" s="112">
        <v>351316</v>
      </c>
      <c r="R15" s="113">
        <v>341096</v>
      </c>
      <c r="S15" s="113">
        <v>328426</v>
      </c>
      <c r="T15" s="114">
        <v>330900</v>
      </c>
      <c r="Z15" s="109">
        <v>36981</v>
      </c>
      <c r="AA15">
        <v>307764</v>
      </c>
      <c r="AF15" t="s">
        <v>10</v>
      </c>
      <c r="AG15" t="str">
        <f>AG14</f>
        <v>0/1</v>
      </c>
      <c r="AH15" t="str">
        <f t="shared" si="2"/>
        <v>Q2 | 0/1</v>
      </c>
      <c r="AI15">
        <f t="shared" si="3"/>
        <v>307764</v>
      </c>
    </row>
    <row r="16" spans="6:35" x14ac:dyDescent="0.55000000000000004">
      <c r="F16" t="s">
        <v>9</v>
      </c>
      <c r="G16" t="s">
        <v>237</v>
      </c>
      <c r="H16" t="s">
        <v>238</v>
      </c>
      <c r="I16">
        <v>302988</v>
      </c>
      <c r="J16">
        <f t="shared" si="0"/>
        <v>4</v>
      </c>
      <c r="K16">
        <f t="shared" si="1"/>
        <v>1</v>
      </c>
      <c r="P16" s="108">
        <v>11</v>
      </c>
      <c r="Q16" s="112">
        <v>343243</v>
      </c>
      <c r="R16" s="113">
        <v>354603</v>
      </c>
      <c r="S16" s="113">
        <v>355763</v>
      </c>
      <c r="T16" s="114">
        <v>378042</v>
      </c>
      <c r="Z16" s="109">
        <v>37072</v>
      </c>
      <c r="AA16">
        <v>284048</v>
      </c>
      <c r="AF16" t="s">
        <v>11</v>
      </c>
      <c r="AG16" t="str">
        <f>AG15</f>
        <v>0/1</v>
      </c>
      <c r="AH16" t="str">
        <f t="shared" si="2"/>
        <v>Q3 | 0/1</v>
      </c>
      <c r="AI16">
        <f t="shared" si="3"/>
        <v>284048</v>
      </c>
    </row>
    <row r="17" spans="6:35" x14ac:dyDescent="0.55000000000000004">
      <c r="F17" t="s">
        <v>10</v>
      </c>
      <c r="G17" t="s">
        <v>237</v>
      </c>
      <c r="H17" t="s">
        <v>239</v>
      </c>
      <c r="I17">
        <v>292367</v>
      </c>
      <c r="J17">
        <f t="shared" si="0"/>
        <v>4</v>
      </c>
      <c r="K17">
        <f t="shared" si="1"/>
        <v>2</v>
      </c>
      <c r="P17" s="108">
        <v>12</v>
      </c>
      <c r="Q17" s="112">
        <v>349756</v>
      </c>
      <c r="R17" s="113">
        <v>353311</v>
      </c>
      <c r="S17" s="113">
        <v>292551</v>
      </c>
      <c r="T17" s="114">
        <v>316676</v>
      </c>
      <c r="Z17" s="109">
        <v>37164</v>
      </c>
      <c r="AA17">
        <v>287709</v>
      </c>
      <c r="AF17" t="s">
        <v>12</v>
      </c>
      <c r="AG17" t="str">
        <f>AG16</f>
        <v>0/1</v>
      </c>
      <c r="AH17" t="str">
        <f t="shared" si="2"/>
        <v>Q4 | 0/1</v>
      </c>
      <c r="AI17">
        <f t="shared" si="3"/>
        <v>287709</v>
      </c>
    </row>
    <row r="18" spans="6:35" x14ac:dyDescent="0.55000000000000004">
      <c r="F18" t="s">
        <v>11</v>
      </c>
      <c r="G18" t="s">
        <v>237</v>
      </c>
      <c r="H18" t="s">
        <v>240</v>
      </c>
      <c r="I18">
        <v>272570</v>
      </c>
      <c r="J18">
        <f t="shared" si="0"/>
        <v>4</v>
      </c>
      <c r="K18">
        <f t="shared" si="1"/>
        <v>3</v>
      </c>
      <c r="P18" s="108">
        <v>13</v>
      </c>
      <c r="Q18" s="112">
        <v>327982</v>
      </c>
      <c r="R18" s="113">
        <v>339377</v>
      </c>
      <c r="S18" s="113">
        <v>310188</v>
      </c>
      <c r="T18" s="114">
        <v>331514</v>
      </c>
      <c r="Z18" s="109">
        <v>37256</v>
      </c>
      <c r="AA18">
        <v>286947</v>
      </c>
      <c r="AF18" t="s">
        <v>9</v>
      </c>
      <c r="AG18" t="s">
        <v>227</v>
      </c>
      <c r="AH18" t="str">
        <f t="shared" si="2"/>
        <v>Q1 | 1/2</v>
      </c>
      <c r="AI18">
        <f t="shared" si="3"/>
        <v>286947</v>
      </c>
    </row>
    <row r="19" spans="6:35" x14ac:dyDescent="0.55000000000000004">
      <c r="F19" t="s">
        <v>12</v>
      </c>
      <c r="G19" t="s">
        <v>237</v>
      </c>
      <c r="H19" t="s">
        <v>241</v>
      </c>
      <c r="I19">
        <v>287040</v>
      </c>
      <c r="J19">
        <f t="shared" si="0"/>
        <v>4</v>
      </c>
      <c r="K19">
        <f t="shared" si="1"/>
        <v>4</v>
      </c>
      <c r="P19" s="108">
        <v>14</v>
      </c>
      <c r="Q19" s="112">
        <v>348963</v>
      </c>
      <c r="R19" s="113">
        <v>343210</v>
      </c>
      <c r="S19" s="113">
        <v>308236</v>
      </c>
      <c r="T19" s="114">
        <v>327316</v>
      </c>
      <c r="Z19" s="109">
        <v>37346</v>
      </c>
      <c r="AA19">
        <v>264755</v>
      </c>
      <c r="AF19" t="s">
        <v>10</v>
      </c>
      <c r="AG19" t="str">
        <f>AG18</f>
        <v>1/2</v>
      </c>
      <c r="AH19" t="str">
        <f t="shared" si="2"/>
        <v>Q2 | 1/2</v>
      </c>
      <c r="AI19">
        <f t="shared" si="3"/>
        <v>264755</v>
      </c>
    </row>
    <row r="20" spans="6:35" x14ac:dyDescent="0.55000000000000004">
      <c r="F20" t="s">
        <v>9</v>
      </c>
      <c r="G20" t="s">
        <v>242</v>
      </c>
      <c r="H20" t="s">
        <v>243</v>
      </c>
      <c r="I20">
        <v>301214</v>
      </c>
      <c r="J20">
        <f t="shared" si="0"/>
        <v>5</v>
      </c>
      <c r="K20">
        <f t="shared" si="1"/>
        <v>1</v>
      </c>
      <c r="P20" s="108">
        <v>15</v>
      </c>
      <c r="Q20" s="112">
        <v>321935</v>
      </c>
      <c r="R20" s="113">
        <v>337425</v>
      </c>
      <c r="S20" s="113">
        <v>310158</v>
      </c>
      <c r="T20" s="114">
        <v>333002</v>
      </c>
      <c r="Z20" s="109">
        <v>37437</v>
      </c>
      <c r="AA20">
        <v>257570</v>
      </c>
      <c r="AF20" t="s">
        <v>11</v>
      </c>
      <c r="AG20" t="str">
        <f>AG19</f>
        <v>1/2</v>
      </c>
      <c r="AH20" t="str">
        <f t="shared" si="2"/>
        <v>Q3 | 1/2</v>
      </c>
      <c r="AI20">
        <f t="shared" si="3"/>
        <v>257570</v>
      </c>
    </row>
    <row r="21" spans="6:35" x14ac:dyDescent="0.55000000000000004">
      <c r="F21" t="s">
        <v>10</v>
      </c>
      <c r="G21" t="s">
        <v>242</v>
      </c>
      <c r="H21" t="s">
        <v>244</v>
      </c>
      <c r="I21">
        <v>295061</v>
      </c>
      <c r="J21">
        <f t="shared" si="0"/>
        <v>5</v>
      </c>
      <c r="K21">
        <f t="shared" si="1"/>
        <v>2</v>
      </c>
      <c r="P21" s="115">
        <v>16</v>
      </c>
      <c r="Q21" s="116">
        <v>340986</v>
      </c>
      <c r="R21" s="117">
        <v>335806</v>
      </c>
      <c r="S21" s="117">
        <v>325698</v>
      </c>
      <c r="T21" s="118">
        <v>343238</v>
      </c>
      <c r="Z21" s="109">
        <v>37529</v>
      </c>
      <c r="AA21">
        <v>271041</v>
      </c>
      <c r="AF21" t="s">
        <v>12</v>
      </c>
      <c r="AG21" t="str">
        <f>AG20</f>
        <v>1/2</v>
      </c>
      <c r="AH21" t="str">
        <f t="shared" si="2"/>
        <v>Q4 | 1/2</v>
      </c>
      <c r="AI21">
        <f t="shared" si="3"/>
        <v>271041</v>
      </c>
    </row>
    <row r="22" spans="6:35" x14ac:dyDescent="0.55000000000000004">
      <c r="F22" t="s">
        <v>11</v>
      </c>
      <c r="G22" t="s">
        <v>242</v>
      </c>
      <c r="H22" t="s">
        <v>245</v>
      </c>
      <c r="I22">
        <v>295926</v>
      </c>
      <c r="J22">
        <f t="shared" si="0"/>
        <v>5</v>
      </c>
      <c r="K22">
        <f t="shared" si="1"/>
        <v>3</v>
      </c>
      <c r="Z22" s="109">
        <v>37621</v>
      </c>
      <c r="AA22">
        <v>282501</v>
      </c>
      <c r="AF22" t="s">
        <v>9</v>
      </c>
      <c r="AG22" t="s">
        <v>232</v>
      </c>
      <c r="AH22" t="str">
        <f t="shared" si="2"/>
        <v>Q1 | 2/3</v>
      </c>
      <c r="AI22">
        <f t="shared" si="3"/>
        <v>282501</v>
      </c>
    </row>
    <row r="23" spans="6:35" x14ac:dyDescent="0.55000000000000004">
      <c r="F23" t="s">
        <v>12</v>
      </c>
      <c r="G23" t="s">
        <v>242</v>
      </c>
      <c r="H23" t="s">
        <v>246</v>
      </c>
      <c r="I23">
        <v>311627</v>
      </c>
      <c r="J23">
        <f t="shared" si="0"/>
        <v>5</v>
      </c>
      <c r="K23">
        <f t="shared" si="1"/>
        <v>4</v>
      </c>
      <c r="Z23" s="109">
        <v>37711</v>
      </c>
      <c r="AA23">
        <v>276070</v>
      </c>
      <c r="AF23" t="s">
        <v>10</v>
      </c>
      <c r="AG23" t="str">
        <f>AG22</f>
        <v>2/3</v>
      </c>
      <c r="AH23" t="str">
        <f t="shared" si="2"/>
        <v>Q2 | 2/3</v>
      </c>
      <c r="AI23">
        <f t="shared" si="3"/>
        <v>276070</v>
      </c>
    </row>
    <row r="24" spans="6:35" x14ac:dyDescent="0.55000000000000004">
      <c r="F24" t="s">
        <v>9</v>
      </c>
      <c r="G24" t="s">
        <v>247</v>
      </c>
      <c r="H24" t="s">
        <v>248</v>
      </c>
      <c r="I24">
        <v>317000</v>
      </c>
      <c r="J24">
        <f t="shared" si="0"/>
        <v>6</v>
      </c>
      <c r="K24">
        <f t="shared" si="1"/>
        <v>1</v>
      </c>
      <c r="Z24" s="109">
        <v>37802</v>
      </c>
      <c r="AA24">
        <v>270197</v>
      </c>
      <c r="AF24" t="s">
        <v>11</v>
      </c>
      <c r="AG24" t="str">
        <f>AG23</f>
        <v>2/3</v>
      </c>
      <c r="AH24" t="str">
        <f t="shared" si="2"/>
        <v>Q3 | 2/3</v>
      </c>
      <c r="AI24">
        <f t="shared" si="3"/>
        <v>270197</v>
      </c>
    </row>
    <row r="25" spans="6:35" x14ac:dyDescent="0.55000000000000004">
      <c r="F25" t="s">
        <v>10</v>
      </c>
      <c r="G25" t="s">
        <v>247</v>
      </c>
      <c r="H25" t="s">
        <v>249</v>
      </c>
      <c r="I25">
        <v>324173</v>
      </c>
      <c r="J25">
        <f t="shared" si="0"/>
        <v>6</v>
      </c>
      <c r="K25">
        <f t="shared" si="1"/>
        <v>2</v>
      </c>
      <c r="Z25" s="109">
        <v>37894</v>
      </c>
      <c r="AA25">
        <v>279675</v>
      </c>
      <c r="AF25" t="s">
        <v>12</v>
      </c>
      <c r="AG25" t="str">
        <f>AG24</f>
        <v>2/3</v>
      </c>
      <c r="AH25" t="str">
        <f t="shared" si="2"/>
        <v>Q4 | 2/3</v>
      </c>
      <c r="AI25">
        <f t="shared" si="3"/>
        <v>279675</v>
      </c>
    </row>
    <row r="26" spans="6:35" x14ac:dyDescent="0.55000000000000004">
      <c r="F26" t="s">
        <v>11</v>
      </c>
      <c r="G26" t="s">
        <v>247</v>
      </c>
      <c r="H26" t="s">
        <v>250</v>
      </c>
      <c r="I26">
        <v>312817</v>
      </c>
      <c r="J26">
        <f t="shared" si="0"/>
        <v>6</v>
      </c>
      <c r="K26">
        <f t="shared" si="1"/>
        <v>3</v>
      </c>
      <c r="Q26">
        <v>1</v>
      </c>
      <c r="R26">
        <v>2</v>
      </c>
      <c r="S26">
        <v>3</v>
      </c>
      <c r="T26">
        <v>4</v>
      </c>
      <c r="Z26" s="109">
        <v>37986</v>
      </c>
      <c r="AA26">
        <v>302988</v>
      </c>
      <c r="AF26" t="s">
        <v>9</v>
      </c>
      <c r="AG26" t="s">
        <v>237</v>
      </c>
      <c r="AH26" t="str">
        <f t="shared" si="2"/>
        <v>Q1 | 3/4</v>
      </c>
      <c r="AI26">
        <f t="shared" si="3"/>
        <v>302988</v>
      </c>
    </row>
    <row r="27" spans="6:35" x14ac:dyDescent="0.55000000000000004">
      <c r="F27" t="s">
        <v>12</v>
      </c>
      <c r="G27" t="s">
        <v>247</v>
      </c>
      <c r="H27" t="s">
        <v>251</v>
      </c>
      <c r="I27">
        <v>324903</v>
      </c>
      <c r="J27">
        <f t="shared" si="0"/>
        <v>6</v>
      </c>
      <c r="K27">
        <f t="shared" si="1"/>
        <v>4</v>
      </c>
      <c r="O27" t="str">
        <f>_xlfn.XLOOKUP(P27,J:J,G:G)</f>
        <v>0/1</v>
      </c>
      <c r="P27">
        <v>1</v>
      </c>
      <c r="Q27">
        <v>307473</v>
      </c>
      <c r="R27">
        <v>307764</v>
      </c>
      <c r="S27">
        <v>284048</v>
      </c>
      <c r="T27">
        <v>287709</v>
      </c>
      <c r="Z27" s="109">
        <v>38077</v>
      </c>
      <c r="AA27">
        <v>292367</v>
      </c>
      <c r="AF27" t="s">
        <v>10</v>
      </c>
      <c r="AG27" t="str">
        <f>AG26</f>
        <v>3/4</v>
      </c>
      <c r="AH27" t="str">
        <f t="shared" si="2"/>
        <v>Q2 | 3/4</v>
      </c>
      <c r="AI27">
        <f t="shared" si="3"/>
        <v>292367</v>
      </c>
    </row>
    <row r="28" spans="6:35" x14ac:dyDescent="0.55000000000000004">
      <c r="F28" t="s">
        <v>9</v>
      </c>
      <c r="G28" t="s">
        <v>252</v>
      </c>
      <c r="H28" t="s">
        <v>253</v>
      </c>
      <c r="I28">
        <v>338922</v>
      </c>
      <c r="J28">
        <f t="shared" si="0"/>
        <v>7</v>
      </c>
      <c r="K28">
        <f t="shared" si="1"/>
        <v>1</v>
      </c>
      <c r="O28" t="str">
        <f t="shared" ref="O28:O42" si="4">_xlfn.XLOOKUP(P28,J:J,G:G)</f>
        <v>1/2</v>
      </c>
      <c r="P28">
        <v>2</v>
      </c>
      <c r="Q28">
        <v>286947</v>
      </c>
      <c r="R28">
        <v>264755</v>
      </c>
      <c r="S28">
        <v>257570</v>
      </c>
      <c r="T28">
        <v>271041</v>
      </c>
      <c r="Z28" s="109">
        <v>38168</v>
      </c>
      <c r="AA28">
        <v>272570</v>
      </c>
      <c r="AF28" t="s">
        <v>11</v>
      </c>
      <c r="AG28" t="str">
        <f>AG27</f>
        <v>3/4</v>
      </c>
      <c r="AH28" t="str">
        <f t="shared" si="2"/>
        <v>Q3 | 3/4</v>
      </c>
      <c r="AI28">
        <f t="shared" si="3"/>
        <v>272570</v>
      </c>
    </row>
    <row r="29" spans="6:35" x14ac:dyDescent="0.55000000000000004">
      <c r="F29" t="s">
        <v>10</v>
      </c>
      <c r="G29" t="s">
        <v>252</v>
      </c>
      <c r="H29" t="s">
        <v>254</v>
      </c>
      <c r="I29">
        <v>338495</v>
      </c>
      <c r="J29">
        <f t="shared" si="0"/>
        <v>7</v>
      </c>
      <c r="K29">
        <f t="shared" si="1"/>
        <v>2</v>
      </c>
      <c r="O29" t="str">
        <f t="shared" si="4"/>
        <v>2/3</v>
      </c>
      <c r="P29">
        <v>3</v>
      </c>
      <c r="Q29">
        <v>282501</v>
      </c>
      <c r="R29">
        <v>276070</v>
      </c>
      <c r="S29">
        <v>270197</v>
      </c>
      <c r="T29">
        <v>279675</v>
      </c>
      <c r="Z29" s="109">
        <v>38260</v>
      </c>
      <c r="AA29">
        <v>287040</v>
      </c>
      <c r="AF29" t="s">
        <v>12</v>
      </c>
      <c r="AG29" t="str">
        <f>AG28</f>
        <v>3/4</v>
      </c>
      <c r="AH29" t="str">
        <f t="shared" si="2"/>
        <v>Q4 | 3/4</v>
      </c>
      <c r="AI29">
        <f t="shared" si="3"/>
        <v>287040</v>
      </c>
    </row>
    <row r="30" spans="6:35" x14ac:dyDescent="0.55000000000000004">
      <c r="F30" t="s">
        <v>11</v>
      </c>
      <c r="G30" t="s">
        <v>252</v>
      </c>
      <c r="H30" t="s">
        <v>255</v>
      </c>
      <c r="I30">
        <v>323353</v>
      </c>
      <c r="J30">
        <f t="shared" si="0"/>
        <v>7</v>
      </c>
      <c r="K30">
        <f t="shared" si="1"/>
        <v>3</v>
      </c>
      <c r="O30" t="str">
        <f t="shared" si="4"/>
        <v>3/4</v>
      </c>
      <c r="P30">
        <v>4</v>
      </c>
      <c r="Q30">
        <v>302988</v>
      </c>
      <c r="R30">
        <v>292367</v>
      </c>
      <c r="S30">
        <v>272570</v>
      </c>
      <c r="T30">
        <v>287040</v>
      </c>
      <c r="Z30" s="109">
        <v>38352</v>
      </c>
      <c r="AA30">
        <v>301214</v>
      </c>
      <c r="AF30" t="s">
        <v>9</v>
      </c>
      <c r="AG30" t="s">
        <v>242</v>
      </c>
      <c r="AH30" t="str">
        <f t="shared" si="2"/>
        <v>Q1 | 4/5</v>
      </c>
      <c r="AI30">
        <f t="shared" si="3"/>
        <v>301214</v>
      </c>
    </row>
    <row r="31" spans="6:35" x14ac:dyDescent="0.55000000000000004">
      <c r="F31" t="s">
        <v>12</v>
      </c>
      <c r="G31" t="s">
        <v>252</v>
      </c>
      <c r="H31" t="s">
        <v>256</v>
      </c>
      <c r="I31">
        <v>351040</v>
      </c>
      <c r="J31">
        <f t="shared" si="0"/>
        <v>7</v>
      </c>
      <c r="K31">
        <f t="shared" si="1"/>
        <v>4</v>
      </c>
      <c r="O31" t="str">
        <f t="shared" si="4"/>
        <v>4/5</v>
      </c>
      <c r="P31">
        <v>5</v>
      </c>
      <c r="Q31">
        <v>301214</v>
      </c>
      <c r="R31">
        <v>295061</v>
      </c>
      <c r="S31">
        <v>295926</v>
      </c>
      <c r="T31">
        <v>311627</v>
      </c>
      <c r="Z31" s="109">
        <v>38442</v>
      </c>
      <c r="AA31">
        <v>295061</v>
      </c>
      <c r="AF31" t="s">
        <v>10</v>
      </c>
      <c r="AG31" t="str">
        <f>AG30</f>
        <v>4/5</v>
      </c>
      <c r="AH31" t="str">
        <f t="shared" si="2"/>
        <v>Q2 | 4/5</v>
      </c>
      <c r="AI31">
        <f t="shared" si="3"/>
        <v>295061</v>
      </c>
    </row>
    <row r="32" spans="6:35" x14ac:dyDescent="0.55000000000000004">
      <c r="F32" t="s">
        <v>9</v>
      </c>
      <c r="G32" t="s">
        <v>257</v>
      </c>
      <c r="H32" t="s">
        <v>258</v>
      </c>
      <c r="I32">
        <v>348901</v>
      </c>
      <c r="J32">
        <f t="shared" si="0"/>
        <v>8</v>
      </c>
      <c r="K32">
        <f t="shared" si="1"/>
        <v>1</v>
      </c>
      <c r="O32" t="str">
        <f t="shared" si="4"/>
        <v>5/6</v>
      </c>
      <c r="P32">
        <v>6</v>
      </c>
      <c r="Q32">
        <v>317000</v>
      </c>
      <c r="R32">
        <v>324173</v>
      </c>
      <c r="S32">
        <v>312817</v>
      </c>
      <c r="T32">
        <v>324903</v>
      </c>
      <c r="Z32" s="109">
        <v>38533</v>
      </c>
      <c r="AA32">
        <v>295926</v>
      </c>
      <c r="AF32" t="s">
        <v>11</v>
      </c>
      <c r="AG32" t="str">
        <f>AG31</f>
        <v>4/5</v>
      </c>
      <c r="AH32" t="str">
        <f t="shared" si="2"/>
        <v>Q3 | 4/5</v>
      </c>
      <c r="AI32">
        <f t="shared" si="3"/>
        <v>295926</v>
      </c>
    </row>
    <row r="33" spans="6:35" x14ac:dyDescent="0.55000000000000004">
      <c r="F33" t="s">
        <v>10</v>
      </c>
      <c r="G33" t="s">
        <v>257</v>
      </c>
      <c r="H33" t="s">
        <v>259</v>
      </c>
      <c r="I33">
        <v>354571</v>
      </c>
      <c r="J33">
        <f t="shared" si="0"/>
        <v>8</v>
      </c>
      <c r="K33">
        <f t="shared" si="1"/>
        <v>2</v>
      </c>
      <c r="O33" t="str">
        <f t="shared" si="4"/>
        <v>6/7</v>
      </c>
      <c r="P33">
        <v>7</v>
      </c>
      <c r="Q33">
        <v>338922</v>
      </c>
      <c r="R33">
        <v>338495</v>
      </c>
      <c r="S33">
        <v>323353</v>
      </c>
      <c r="T33">
        <v>351040</v>
      </c>
      <c r="Z33" s="109">
        <v>38625</v>
      </c>
      <c r="AA33">
        <v>311627</v>
      </c>
      <c r="AF33" t="s">
        <v>12</v>
      </c>
      <c r="AG33" t="str">
        <f>AG32</f>
        <v>4/5</v>
      </c>
      <c r="AH33" t="str">
        <f t="shared" si="2"/>
        <v>Q4 | 4/5</v>
      </c>
      <c r="AI33">
        <f t="shared" si="3"/>
        <v>311627</v>
      </c>
    </row>
    <row r="34" spans="6:35" x14ac:dyDescent="0.55000000000000004">
      <c r="F34" t="s">
        <v>11</v>
      </c>
      <c r="G34" t="s">
        <v>257</v>
      </c>
      <c r="H34" t="s">
        <v>260</v>
      </c>
      <c r="I34">
        <v>328920</v>
      </c>
      <c r="J34">
        <f t="shared" si="0"/>
        <v>8</v>
      </c>
      <c r="K34">
        <f t="shared" si="1"/>
        <v>3</v>
      </c>
      <c r="O34" t="str">
        <f t="shared" si="4"/>
        <v>7/8</v>
      </c>
      <c r="P34">
        <v>8</v>
      </c>
      <c r="Q34">
        <v>348901</v>
      </c>
      <c r="R34">
        <v>354571</v>
      </c>
      <c r="S34">
        <v>328920</v>
      </c>
      <c r="T34">
        <v>348501</v>
      </c>
      <c r="Z34" s="109">
        <v>38717</v>
      </c>
      <c r="AA34">
        <v>317000</v>
      </c>
      <c r="AF34" t="s">
        <v>9</v>
      </c>
      <c r="AG34" t="s">
        <v>247</v>
      </c>
      <c r="AH34" t="str">
        <f t="shared" si="2"/>
        <v>Q1 | 5/6</v>
      </c>
      <c r="AI34">
        <f t="shared" si="3"/>
        <v>317000</v>
      </c>
    </row>
    <row r="35" spans="6:35" x14ac:dyDescent="0.55000000000000004">
      <c r="F35" t="s">
        <v>12</v>
      </c>
      <c r="G35" t="s">
        <v>257</v>
      </c>
      <c r="H35" t="s">
        <v>261</v>
      </c>
      <c r="I35">
        <v>348501</v>
      </c>
      <c r="J35">
        <f t="shared" si="0"/>
        <v>8</v>
      </c>
      <c r="K35">
        <f t="shared" si="1"/>
        <v>4</v>
      </c>
      <c r="O35" t="str">
        <f t="shared" si="4"/>
        <v>8/9</v>
      </c>
      <c r="P35">
        <v>9</v>
      </c>
      <c r="Q35">
        <v>349351</v>
      </c>
      <c r="R35">
        <v>315177</v>
      </c>
      <c r="S35">
        <v>291763</v>
      </c>
      <c r="T35">
        <v>344832</v>
      </c>
      <c r="Z35" s="109">
        <v>38807</v>
      </c>
      <c r="AA35">
        <v>324173</v>
      </c>
      <c r="AF35" t="s">
        <v>10</v>
      </c>
      <c r="AG35" t="str">
        <f>AG34</f>
        <v>5/6</v>
      </c>
      <c r="AH35" t="str">
        <f t="shared" si="2"/>
        <v>Q2 | 5/6</v>
      </c>
      <c r="AI35">
        <f t="shared" si="3"/>
        <v>324173</v>
      </c>
    </row>
    <row r="36" spans="6:35" x14ac:dyDescent="0.55000000000000004">
      <c r="F36" t="s">
        <v>9</v>
      </c>
      <c r="G36" t="s">
        <v>262</v>
      </c>
      <c r="H36" t="s">
        <v>263</v>
      </c>
      <c r="I36">
        <v>349351</v>
      </c>
      <c r="J36">
        <f t="shared" si="0"/>
        <v>9</v>
      </c>
      <c r="K36">
        <f t="shared" si="1"/>
        <v>1</v>
      </c>
      <c r="O36" t="str">
        <f t="shared" si="4"/>
        <v>9/10</v>
      </c>
      <c r="P36">
        <v>10</v>
      </c>
      <c r="Q36">
        <v>351316</v>
      </c>
      <c r="R36">
        <v>341096</v>
      </c>
      <c r="S36">
        <v>328426</v>
      </c>
      <c r="T36">
        <v>330900</v>
      </c>
      <c r="Z36" s="109">
        <v>38898</v>
      </c>
      <c r="AA36">
        <v>312817</v>
      </c>
      <c r="AF36" t="s">
        <v>11</v>
      </c>
      <c r="AG36" t="str">
        <f>AG35</f>
        <v>5/6</v>
      </c>
      <c r="AH36" t="str">
        <f t="shared" si="2"/>
        <v>Q3 | 5/6</v>
      </c>
      <c r="AI36">
        <f t="shared" si="3"/>
        <v>312817</v>
      </c>
    </row>
    <row r="37" spans="6:35" x14ac:dyDescent="0.55000000000000004">
      <c r="F37" t="s">
        <v>10</v>
      </c>
      <c r="G37" t="s">
        <v>262</v>
      </c>
      <c r="H37" t="s">
        <v>264</v>
      </c>
      <c r="I37">
        <v>315177</v>
      </c>
      <c r="J37">
        <f t="shared" si="0"/>
        <v>9</v>
      </c>
      <c r="K37">
        <f t="shared" si="1"/>
        <v>2</v>
      </c>
      <c r="O37" t="str">
        <f t="shared" si="4"/>
        <v>10/11</v>
      </c>
      <c r="P37">
        <v>11</v>
      </c>
      <c r="Q37">
        <v>343243</v>
      </c>
      <c r="R37">
        <v>354603</v>
      </c>
      <c r="S37">
        <v>355763</v>
      </c>
      <c r="T37">
        <v>378042</v>
      </c>
      <c r="Z37" s="109">
        <v>38990</v>
      </c>
      <c r="AA37">
        <v>324903</v>
      </c>
      <c r="AF37" t="s">
        <v>12</v>
      </c>
      <c r="AG37" t="str">
        <f>AG36</f>
        <v>5/6</v>
      </c>
      <c r="AH37" t="str">
        <f t="shared" si="2"/>
        <v>Q4 | 5/6</v>
      </c>
      <c r="AI37">
        <f t="shared" si="3"/>
        <v>324903</v>
      </c>
    </row>
    <row r="38" spans="6:35" x14ac:dyDescent="0.55000000000000004">
      <c r="F38" t="s">
        <v>11</v>
      </c>
      <c r="G38" t="s">
        <v>262</v>
      </c>
      <c r="H38" t="s">
        <v>265</v>
      </c>
      <c r="I38">
        <v>291763</v>
      </c>
      <c r="J38">
        <f t="shared" si="0"/>
        <v>9</v>
      </c>
      <c r="K38">
        <f t="shared" si="1"/>
        <v>3</v>
      </c>
      <c r="O38" t="str">
        <f t="shared" si="4"/>
        <v>11/12</v>
      </c>
      <c r="P38">
        <v>12</v>
      </c>
      <c r="Q38">
        <v>349756</v>
      </c>
      <c r="R38">
        <v>353311</v>
      </c>
      <c r="S38">
        <v>292551</v>
      </c>
      <c r="T38">
        <v>316676</v>
      </c>
      <c r="Z38" s="109">
        <v>39082</v>
      </c>
      <c r="AA38">
        <v>338922</v>
      </c>
      <c r="AF38" t="s">
        <v>9</v>
      </c>
      <c r="AG38" t="s">
        <v>252</v>
      </c>
      <c r="AH38" t="str">
        <f t="shared" si="2"/>
        <v>Q1 | 6/7</v>
      </c>
      <c r="AI38">
        <f t="shared" si="3"/>
        <v>338922</v>
      </c>
    </row>
    <row r="39" spans="6:35" x14ac:dyDescent="0.55000000000000004">
      <c r="F39" t="s">
        <v>12</v>
      </c>
      <c r="G39" t="s">
        <v>262</v>
      </c>
      <c r="H39" t="s">
        <v>266</v>
      </c>
      <c r="I39">
        <v>344832</v>
      </c>
      <c r="J39">
        <f t="shared" si="0"/>
        <v>9</v>
      </c>
      <c r="K39">
        <f t="shared" si="1"/>
        <v>4</v>
      </c>
      <c r="O39" t="str">
        <f t="shared" si="4"/>
        <v>12/13</v>
      </c>
      <c r="P39">
        <v>13</v>
      </c>
      <c r="Q39">
        <v>327982</v>
      </c>
      <c r="R39">
        <v>339377</v>
      </c>
      <c r="S39">
        <v>310188</v>
      </c>
      <c r="T39">
        <v>331514</v>
      </c>
      <c r="Z39" s="109">
        <v>39172</v>
      </c>
      <c r="AA39">
        <v>338495</v>
      </c>
      <c r="AF39" t="s">
        <v>10</v>
      </c>
      <c r="AG39" t="str">
        <f>AG38</f>
        <v>6/7</v>
      </c>
      <c r="AH39" t="str">
        <f t="shared" si="2"/>
        <v>Q2 | 6/7</v>
      </c>
      <c r="AI39">
        <f t="shared" si="3"/>
        <v>338495</v>
      </c>
    </row>
    <row r="40" spans="6:35" x14ac:dyDescent="0.55000000000000004">
      <c r="F40" t="s">
        <v>9</v>
      </c>
      <c r="G40" t="s">
        <v>267</v>
      </c>
      <c r="H40" t="s">
        <v>268</v>
      </c>
      <c r="I40">
        <v>351316</v>
      </c>
      <c r="J40">
        <f t="shared" si="0"/>
        <v>10</v>
      </c>
      <c r="K40">
        <f t="shared" si="1"/>
        <v>1</v>
      </c>
      <c r="O40" t="str">
        <f t="shared" si="4"/>
        <v>13/14</v>
      </c>
      <c r="P40">
        <v>14</v>
      </c>
      <c r="Q40">
        <v>348963</v>
      </c>
      <c r="R40">
        <v>343210</v>
      </c>
      <c r="S40">
        <v>308236</v>
      </c>
      <c r="T40">
        <v>327316</v>
      </c>
      <c r="Z40" s="109">
        <v>39263</v>
      </c>
      <c r="AA40">
        <v>323353</v>
      </c>
      <c r="AF40" t="s">
        <v>11</v>
      </c>
      <c r="AG40" t="str">
        <f>AG39</f>
        <v>6/7</v>
      </c>
      <c r="AH40" t="str">
        <f t="shared" si="2"/>
        <v>Q3 | 6/7</v>
      </c>
      <c r="AI40">
        <f t="shared" si="3"/>
        <v>323353</v>
      </c>
    </row>
    <row r="41" spans="6:35" x14ac:dyDescent="0.55000000000000004">
      <c r="F41" t="s">
        <v>10</v>
      </c>
      <c r="G41" t="s">
        <v>267</v>
      </c>
      <c r="H41" t="s">
        <v>269</v>
      </c>
      <c r="I41">
        <v>341096</v>
      </c>
      <c r="J41">
        <f t="shared" si="0"/>
        <v>10</v>
      </c>
      <c r="K41">
        <f t="shared" si="1"/>
        <v>2</v>
      </c>
      <c r="O41" t="str">
        <f t="shared" si="4"/>
        <v>14/15</v>
      </c>
      <c r="P41">
        <v>15</v>
      </c>
      <c r="Q41">
        <v>321935</v>
      </c>
      <c r="R41">
        <v>337425</v>
      </c>
      <c r="S41">
        <v>310158</v>
      </c>
      <c r="T41">
        <v>333002</v>
      </c>
      <c r="Z41" s="109">
        <v>39355</v>
      </c>
      <c r="AA41">
        <v>351040</v>
      </c>
      <c r="AF41" t="s">
        <v>12</v>
      </c>
      <c r="AG41" t="str">
        <f>AG40</f>
        <v>6/7</v>
      </c>
      <c r="AH41" t="str">
        <f t="shared" si="2"/>
        <v>Q4 | 6/7</v>
      </c>
      <c r="AI41">
        <f t="shared" si="3"/>
        <v>351040</v>
      </c>
    </row>
    <row r="42" spans="6:35" x14ac:dyDescent="0.55000000000000004">
      <c r="F42" t="s">
        <v>11</v>
      </c>
      <c r="G42" t="s">
        <v>267</v>
      </c>
      <c r="H42" t="s">
        <v>270</v>
      </c>
      <c r="I42">
        <v>328426</v>
      </c>
      <c r="J42">
        <f t="shared" si="0"/>
        <v>10</v>
      </c>
      <c r="K42">
        <f t="shared" si="1"/>
        <v>3</v>
      </c>
      <c r="O42" t="str">
        <f t="shared" si="4"/>
        <v>15/16</v>
      </c>
      <c r="P42">
        <v>16</v>
      </c>
      <c r="Q42">
        <v>340986</v>
      </c>
      <c r="R42">
        <v>335806</v>
      </c>
      <c r="S42">
        <v>325698</v>
      </c>
      <c r="T42">
        <v>343238</v>
      </c>
      <c r="Z42" s="109">
        <v>39447</v>
      </c>
      <c r="AA42">
        <v>348901</v>
      </c>
      <c r="AF42" t="s">
        <v>9</v>
      </c>
      <c r="AG42" t="s">
        <v>257</v>
      </c>
      <c r="AH42" t="str">
        <f t="shared" si="2"/>
        <v>Q1 | 7/8</v>
      </c>
      <c r="AI42">
        <f t="shared" si="3"/>
        <v>348901</v>
      </c>
    </row>
    <row r="43" spans="6:35" x14ac:dyDescent="0.55000000000000004">
      <c r="F43" t="s">
        <v>12</v>
      </c>
      <c r="G43" t="s">
        <v>267</v>
      </c>
      <c r="H43" t="s">
        <v>271</v>
      </c>
      <c r="I43">
        <v>330900</v>
      </c>
      <c r="J43">
        <f t="shared" si="0"/>
        <v>10</v>
      </c>
      <c r="K43">
        <f t="shared" si="1"/>
        <v>4</v>
      </c>
      <c r="Z43" s="109">
        <v>39538</v>
      </c>
      <c r="AA43">
        <v>354571</v>
      </c>
      <c r="AF43" t="s">
        <v>10</v>
      </c>
      <c r="AG43" t="str">
        <f>AG42</f>
        <v>7/8</v>
      </c>
      <c r="AH43" t="str">
        <f t="shared" si="2"/>
        <v>Q2 | 7/8</v>
      </c>
      <c r="AI43">
        <f t="shared" si="3"/>
        <v>354571</v>
      </c>
    </row>
    <row r="44" spans="6:35" x14ac:dyDescent="0.55000000000000004">
      <c r="F44" t="s">
        <v>9</v>
      </c>
      <c r="G44" t="s">
        <v>272</v>
      </c>
      <c r="H44" t="s">
        <v>273</v>
      </c>
      <c r="I44">
        <v>343243</v>
      </c>
      <c r="J44">
        <f t="shared" si="0"/>
        <v>11</v>
      </c>
      <c r="K44">
        <f t="shared" si="1"/>
        <v>1</v>
      </c>
      <c r="Z44" s="109">
        <v>39629</v>
      </c>
      <c r="AA44">
        <v>328920</v>
      </c>
      <c r="AF44" t="s">
        <v>11</v>
      </c>
      <c r="AG44" t="str">
        <f>AG43</f>
        <v>7/8</v>
      </c>
      <c r="AH44" t="str">
        <f t="shared" si="2"/>
        <v>Q3 | 7/8</v>
      </c>
      <c r="AI44">
        <f t="shared" si="3"/>
        <v>328920</v>
      </c>
    </row>
    <row r="45" spans="6:35" x14ac:dyDescent="0.55000000000000004">
      <c r="F45" t="s">
        <v>10</v>
      </c>
      <c r="G45" t="s">
        <v>272</v>
      </c>
      <c r="H45" t="s">
        <v>274</v>
      </c>
      <c r="I45">
        <v>354603</v>
      </c>
      <c r="J45">
        <f t="shared" si="0"/>
        <v>11</v>
      </c>
      <c r="K45">
        <f t="shared" si="1"/>
        <v>2</v>
      </c>
      <c r="Z45" s="109">
        <v>39721</v>
      </c>
      <c r="AA45">
        <v>348501</v>
      </c>
      <c r="AF45" t="s">
        <v>12</v>
      </c>
      <c r="AG45" t="str">
        <f>AG44</f>
        <v>7/8</v>
      </c>
      <c r="AH45" t="str">
        <f t="shared" si="2"/>
        <v>Q4 | 7/8</v>
      </c>
      <c r="AI45">
        <f t="shared" si="3"/>
        <v>348501</v>
      </c>
    </row>
    <row r="46" spans="6:35" x14ac:dyDescent="0.55000000000000004">
      <c r="F46" t="s">
        <v>11</v>
      </c>
      <c r="G46" t="s">
        <v>272</v>
      </c>
      <c r="H46" t="s">
        <v>275</v>
      </c>
      <c r="I46">
        <v>355763</v>
      </c>
      <c r="J46">
        <f t="shared" si="0"/>
        <v>11</v>
      </c>
      <c r="K46">
        <f t="shared" si="1"/>
        <v>3</v>
      </c>
      <c r="Z46" s="109">
        <v>39813</v>
      </c>
      <c r="AA46">
        <v>349351</v>
      </c>
      <c r="AF46" t="s">
        <v>9</v>
      </c>
      <c r="AG46" t="s">
        <v>262</v>
      </c>
      <c r="AH46" t="str">
        <f t="shared" ref="AH46:AH77" si="5">_xlfn.CONCAT(AF46," | ",AG46)</f>
        <v>Q1 | 8/9</v>
      </c>
      <c r="AI46">
        <f t="shared" ref="AI46:AI77" si="6">AA46</f>
        <v>349351</v>
      </c>
    </row>
    <row r="47" spans="6:35" x14ac:dyDescent="0.55000000000000004">
      <c r="F47" t="s">
        <v>12</v>
      </c>
      <c r="G47" t="s">
        <v>272</v>
      </c>
      <c r="H47" t="s">
        <v>276</v>
      </c>
      <c r="I47">
        <v>378042</v>
      </c>
      <c r="J47">
        <f t="shared" si="0"/>
        <v>11</v>
      </c>
      <c r="K47">
        <f t="shared" si="1"/>
        <v>4</v>
      </c>
      <c r="Z47" s="109">
        <v>39903</v>
      </c>
      <c r="AA47">
        <v>315177</v>
      </c>
      <c r="AF47" t="s">
        <v>10</v>
      </c>
      <c r="AG47" t="str">
        <f>AG46</f>
        <v>8/9</v>
      </c>
      <c r="AH47" t="str">
        <f t="shared" si="5"/>
        <v>Q2 | 8/9</v>
      </c>
      <c r="AI47">
        <f t="shared" si="6"/>
        <v>315177</v>
      </c>
    </row>
    <row r="48" spans="6:35" x14ac:dyDescent="0.55000000000000004">
      <c r="F48" t="s">
        <v>9</v>
      </c>
      <c r="G48" t="s">
        <v>277</v>
      </c>
      <c r="H48" t="s">
        <v>278</v>
      </c>
      <c r="I48">
        <v>349756</v>
      </c>
      <c r="J48">
        <f t="shared" si="0"/>
        <v>12</v>
      </c>
      <c r="K48">
        <f t="shared" si="1"/>
        <v>1</v>
      </c>
      <c r="Z48" s="109">
        <v>39994</v>
      </c>
      <c r="AA48">
        <v>291763</v>
      </c>
      <c r="AF48" t="s">
        <v>11</v>
      </c>
      <c r="AG48" t="str">
        <f>AG47</f>
        <v>8/9</v>
      </c>
      <c r="AH48" t="str">
        <f t="shared" si="5"/>
        <v>Q3 | 8/9</v>
      </c>
      <c r="AI48">
        <f t="shared" si="6"/>
        <v>291763</v>
      </c>
    </row>
    <row r="49" spans="6:35" x14ac:dyDescent="0.55000000000000004">
      <c r="F49" t="s">
        <v>10</v>
      </c>
      <c r="G49" t="s">
        <v>277</v>
      </c>
      <c r="H49" t="s">
        <v>279</v>
      </c>
      <c r="I49">
        <v>353311</v>
      </c>
      <c r="J49">
        <f t="shared" si="0"/>
        <v>12</v>
      </c>
      <c r="K49">
        <f t="shared" si="1"/>
        <v>2</v>
      </c>
      <c r="Z49" s="109">
        <v>40086</v>
      </c>
      <c r="AA49">
        <v>344832</v>
      </c>
      <c r="AF49" t="s">
        <v>12</v>
      </c>
      <c r="AG49" t="str">
        <f>AG48</f>
        <v>8/9</v>
      </c>
      <c r="AH49" t="str">
        <f t="shared" si="5"/>
        <v>Q4 | 8/9</v>
      </c>
      <c r="AI49">
        <f t="shared" si="6"/>
        <v>344832</v>
      </c>
    </row>
    <row r="50" spans="6:35" x14ac:dyDescent="0.55000000000000004">
      <c r="F50" t="s">
        <v>11</v>
      </c>
      <c r="G50" t="s">
        <v>277</v>
      </c>
      <c r="H50" t="s">
        <v>280</v>
      </c>
      <c r="I50">
        <v>292551</v>
      </c>
      <c r="J50">
        <f t="shared" si="0"/>
        <v>12</v>
      </c>
      <c r="K50">
        <f t="shared" si="1"/>
        <v>3</v>
      </c>
      <c r="Z50" s="109">
        <v>40178</v>
      </c>
      <c r="AA50">
        <v>351316</v>
      </c>
      <c r="AF50" t="s">
        <v>9</v>
      </c>
      <c r="AG50" t="s">
        <v>267</v>
      </c>
      <c r="AH50" t="str">
        <f t="shared" si="5"/>
        <v>Q1 | 9/10</v>
      </c>
      <c r="AI50">
        <f t="shared" si="6"/>
        <v>351316</v>
      </c>
    </row>
    <row r="51" spans="6:35" x14ac:dyDescent="0.55000000000000004">
      <c r="F51" t="s">
        <v>12</v>
      </c>
      <c r="G51" t="s">
        <v>277</v>
      </c>
      <c r="H51" t="s">
        <v>281</v>
      </c>
      <c r="I51">
        <v>316676</v>
      </c>
      <c r="J51">
        <f t="shared" si="0"/>
        <v>12</v>
      </c>
      <c r="K51">
        <f t="shared" si="1"/>
        <v>4</v>
      </c>
      <c r="Z51" s="109">
        <v>40268</v>
      </c>
      <c r="AA51">
        <v>341096</v>
      </c>
      <c r="AF51" t="s">
        <v>10</v>
      </c>
      <c r="AG51" t="str">
        <f>AG50</f>
        <v>9/10</v>
      </c>
      <c r="AH51" t="str">
        <f t="shared" si="5"/>
        <v>Q2 | 9/10</v>
      </c>
      <c r="AI51">
        <f t="shared" si="6"/>
        <v>341096</v>
      </c>
    </row>
    <row r="52" spans="6:35" x14ac:dyDescent="0.55000000000000004">
      <c r="F52" t="s">
        <v>9</v>
      </c>
      <c r="G52" t="s">
        <v>282</v>
      </c>
      <c r="H52" t="s">
        <v>283</v>
      </c>
      <c r="I52">
        <v>327982</v>
      </c>
      <c r="J52">
        <f t="shared" si="0"/>
        <v>13</v>
      </c>
      <c r="K52">
        <f t="shared" si="1"/>
        <v>1</v>
      </c>
      <c r="Z52" s="109">
        <v>40359</v>
      </c>
      <c r="AA52">
        <v>328426</v>
      </c>
      <c r="AF52" t="s">
        <v>11</v>
      </c>
      <c r="AG52" t="str">
        <f>AG51</f>
        <v>9/10</v>
      </c>
      <c r="AH52" t="str">
        <f t="shared" si="5"/>
        <v>Q3 | 9/10</v>
      </c>
      <c r="AI52">
        <f t="shared" si="6"/>
        <v>328426</v>
      </c>
    </row>
    <row r="53" spans="6:35" x14ac:dyDescent="0.55000000000000004">
      <c r="F53" t="s">
        <v>10</v>
      </c>
      <c r="G53" t="s">
        <v>282</v>
      </c>
      <c r="H53" t="s">
        <v>284</v>
      </c>
      <c r="I53">
        <v>339377</v>
      </c>
      <c r="J53">
        <f t="shared" si="0"/>
        <v>13</v>
      </c>
      <c r="K53">
        <f t="shared" si="1"/>
        <v>2</v>
      </c>
      <c r="Z53" s="109">
        <v>40451</v>
      </c>
      <c r="AA53">
        <v>330900</v>
      </c>
      <c r="AF53" t="s">
        <v>12</v>
      </c>
      <c r="AG53" t="str">
        <f>AG52</f>
        <v>9/10</v>
      </c>
      <c r="AH53" t="str">
        <f t="shared" si="5"/>
        <v>Q4 | 9/10</v>
      </c>
      <c r="AI53">
        <f t="shared" si="6"/>
        <v>330900</v>
      </c>
    </row>
    <row r="54" spans="6:35" x14ac:dyDescent="0.55000000000000004">
      <c r="F54" t="s">
        <v>11</v>
      </c>
      <c r="G54" t="s">
        <v>282</v>
      </c>
      <c r="H54" t="s">
        <v>285</v>
      </c>
      <c r="I54">
        <v>310188</v>
      </c>
      <c r="J54">
        <f t="shared" si="0"/>
        <v>13</v>
      </c>
      <c r="K54">
        <f t="shared" si="1"/>
        <v>3</v>
      </c>
      <c r="Z54" s="109">
        <v>40543</v>
      </c>
      <c r="AA54">
        <v>343243</v>
      </c>
      <c r="AF54" t="s">
        <v>9</v>
      </c>
      <c r="AG54" t="s">
        <v>272</v>
      </c>
      <c r="AH54" t="str">
        <f t="shared" si="5"/>
        <v>Q1 | 10/11</v>
      </c>
      <c r="AI54">
        <f t="shared" si="6"/>
        <v>343243</v>
      </c>
    </row>
    <row r="55" spans="6:35" x14ac:dyDescent="0.55000000000000004">
      <c r="F55" t="s">
        <v>12</v>
      </c>
      <c r="G55" t="s">
        <v>282</v>
      </c>
      <c r="H55" t="s">
        <v>286</v>
      </c>
      <c r="I55">
        <v>331514</v>
      </c>
      <c r="J55">
        <f t="shared" si="0"/>
        <v>13</v>
      </c>
      <c r="K55">
        <f t="shared" si="1"/>
        <v>4</v>
      </c>
      <c r="Z55" s="109">
        <v>40633</v>
      </c>
      <c r="AA55">
        <v>354603</v>
      </c>
      <c r="AF55" t="s">
        <v>10</v>
      </c>
      <c r="AG55" t="str">
        <f>AG54</f>
        <v>10/11</v>
      </c>
      <c r="AH55" t="str">
        <f t="shared" si="5"/>
        <v>Q2 | 10/11</v>
      </c>
      <c r="AI55">
        <f t="shared" si="6"/>
        <v>354603</v>
      </c>
    </row>
    <row r="56" spans="6:35" x14ac:dyDescent="0.55000000000000004">
      <c r="F56" t="s">
        <v>9</v>
      </c>
      <c r="G56" t="s">
        <v>287</v>
      </c>
      <c r="H56" t="s">
        <v>288</v>
      </c>
      <c r="I56">
        <v>348963</v>
      </c>
      <c r="J56">
        <f t="shared" si="0"/>
        <v>14</v>
      </c>
      <c r="K56">
        <f t="shared" si="1"/>
        <v>1</v>
      </c>
      <c r="Z56" s="109">
        <v>40724</v>
      </c>
      <c r="AA56">
        <v>355763</v>
      </c>
      <c r="AF56" t="s">
        <v>11</v>
      </c>
      <c r="AG56" t="str">
        <f>AG55</f>
        <v>10/11</v>
      </c>
      <c r="AH56" t="str">
        <f t="shared" si="5"/>
        <v>Q3 | 10/11</v>
      </c>
      <c r="AI56">
        <f t="shared" si="6"/>
        <v>355763</v>
      </c>
    </row>
    <row r="57" spans="6:35" x14ac:dyDescent="0.55000000000000004">
      <c r="F57" t="s">
        <v>10</v>
      </c>
      <c r="G57" t="s">
        <v>287</v>
      </c>
      <c r="H57" t="s">
        <v>289</v>
      </c>
      <c r="I57">
        <v>343210</v>
      </c>
      <c r="J57">
        <f t="shared" si="0"/>
        <v>14</v>
      </c>
      <c r="K57">
        <f t="shared" si="1"/>
        <v>2</v>
      </c>
      <c r="Z57" s="109">
        <v>40816</v>
      </c>
      <c r="AA57">
        <v>378042</v>
      </c>
      <c r="AF57" t="s">
        <v>12</v>
      </c>
      <c r="AG57" t="str">
        <f>AG56</f>
        <v>10/11</v>
      </c>
      <c r="AH57" t="str">
        <f t="shared" si="5"/>
        <v>Q4 | 10/11</v>
      </c>
      <c r="AI57">
        <f t="shared" si="6"/>
        <v>378042</v>
      </c>
    </row>
    <row r="58" spans="6:35" x14ac:dyDescent="0.55000000000000004">
      <c r="F58" t="s">
        <v>11</v>
      </c>
      <c r="G58" t="s">
        <v>287</v>
      </c>
      <c r="H58" t="s">
        <v>290</v>
      </c>
      <c r="I58">
        <v>308236</v>
      </c>
      <c r="J58">
        <f t="shared" si="0"/>
        <v>14</v>
      </c>
      <c r="K58">
        <f t="shared" si="1"/>
        <v>3</v>
      </c>
      <c r="Z58" s="109">
        <v>40908</v>
      </c>
      <c r="AA58">
        <v>349756</v>
      </c>
      <c r="AF58" t="s">
        <v>9</v>
      </c>
      <c r="AG58" t="s">
        <v>277</v>
      </c>
      <c r="AH58" t="str">
        <f t="shared" si="5"/>
        <v>Q1 | 11/12</v>
      </c>
      <c r="AI58">
        <f t="shared" si="6"/>
        <v>349756</v>
      </c>
    </row>
    <row r="59" spans="6:35" x14ac:dyDescent="0.55000000000000004">
      <c r="F59" t="s">
        <v>12</v>
      </c>
      <c r="G59" t="s">
        <v>287</v>
      </c>
      <c r="H59" t="s">
        <v>291</v>
      </c>
      <c r="I59">
        <v>327316</v>
      </c>
      <c r="J59">
        <f t="shared" si="0"/>
        <v>14</v>
      </c>
      <c r="K59">
        <f t="shared" si="1"/>
        <v>4</v>
      </c>
      <c r="Z59" s="109">
        <v>40999</v>
      </c>
      <c r="AA59">
        <v>353311</v>
      </c>
      <c r="AF59" t="s">
        <v>10</v>
      </c>
      <c r="AG59" t="str">
        <f>AG58</f>
        <v>11/12</v>
      </c>
      <c r="AH59" t="str">
        <f t="shared" si="5"/>
        <v>Q2 | 11/12</v>
      </c>
      <c r="AI59">
        <f t="shared" si="6"/>
        <v>353311</v>
      </c>
    </row>
    <row r="60" spans="6:35" x14ac:dyDescent="0.55000000000000004">
      <c r="F60" t="s">
        <v>9</v>
      </c>
      <c r="G60" t="s">
        <v>200</v>
      </c>
      <c r="H60" t="s">
        <v>292</v>
      </c>
      <c r="I60">
        <v>321935</v>
      </c>
      <c r="J60">
        <f t="shared" si="0"/>
        <v>15</v>
      </c>
      <c r="K60">
        <f t="shared" si="1"/>
        <v>1</v>
      </c>
      <c r="Z60" s="109">
        <v>41090</v>
      </c>
      <c r="AA60">
        <v>292551</v>
      </c>
      <c r="AF60" t="s">
        <v>11</v>
      </c>
      <c r="AG60" t="str">
        <f>AG59</f>
        <v>11/12</v>
      </c>
      <c r="AH60" t="str">
        <f t="shared" si="5"/>
        <v>Q3 | 11/12</v>
      </c>
      <c r="AI60">
        <f t="shared" si="6"/>
        <v>292551</v>
      </c>
    </row>
    <row r="61" spans="6:35" x14ac:dyDescent="0.55000000000000004">
      <c r="F61" t="s">
        <v>10</v>
      </c>
      <c r="G61" t="s">
        <v>200</v>
      </c>
      <c r="H61" t="s">
        <v>293</v>
      </c>
      <c r="I61">
        <v>337425</v>
      </c>
      <c r="J61">
        <f t="shared" si="0"/>
        <v>15</v>
      </c>
      <c r="K61">
        <f t="shared" si="1"/>
        <v>2</v>
      </c>
      <c r="Z61" s="109">
        <v>41182</v>
      </c>
      <c r="AA61">
        <v>316676</v>
      </c>
      <c r="AF61" t="s">
        <v>12</v>
      </c>
      <c r="AG61" t="str">
        <f>AG60</f>
        <v>11/12</v>
      </c>
      <c r="AH61" t="str">
        <f t="shared" si="5"/>
        <v>Q4 | 11/12</v>
      </c>
      <c r="AI61">
        <f t="shared" si="6"/>
        <v>316676</v>
      </c>
    </row>
    <row r="62" spans="6:35" x14ac:dyDescent="0.55000000000000004">
      <c r="F62" t="s">
        <v>11</v>
      </c>
      <c r="G62" t="s">
        <v>200</v>
      </c>
      <c r="H62" t="s">
        <v>294</v>
      </c>
      <c r="I62">
        <v>310158</v>
      </c>
      <c r="J62">
        <f t="shared" si="0"/>
        <v>15</v>
      </c>
      <c r="K62">
        <f t="shared" si="1"/>
        <v>3</v>
      </c>
      <c r="Z62" s="109">
        <v>41274</v>
      </c>
      <c r="AA62">
        <v>327982</v>
      </c>
      <c r="AF62" t="s">
        <v>9</v>
      </c>
      <c r="AG62" t="s">
        <v>282</v>
      </c>
      <c r="AH62" t="str">
        <f t="shared" si="5"/>
        <v>Q1 | 12/13</v>
      </c>
      <c r="AI62">
        <f t="shared" si="6"/>
        <v>327982</v>
      </c>
    </row>
    <row r="63" spans="6:35" x14ac:dyDescent="0.55000000000000004">
      <c r="F63" t="s">
        <v>12</v>
      </c>
      <c r="G63" t="s">
        <v>200</v>
      </c>
      <c r="H63" t="s">
        <v>295</v>
      </c>
      <c r="I63">
        <v>333002</v>
      </c>
      <c r="J63">
        <f t="shared" si="0"/>
        <v>15</v>
      </c>
      <c r="K63">
        <f t="shared" si="1"/>
        <v>4</v>
      </c>
      <c r="Z63" s="109">
        <v>41364</v>
      </c>
      <c r="AA63">
        <v>339377</v>
      </c>
      <c r="AF63" t="s">
        <v>10</v>
      </c>
      <c r="AG63" t="str">
        <f>AG62</f>
        <v>12/13</v>
      </c>
      <c r="AH63" t="str">
        <f t="shared" si="5"/>
        <v>Q2 | 12/13</v>
      </c>
      <c r="AI63">
        <f t="shared" si="6"/>
        <v>339377</v>
      </c>
    </row>
    <row r="64" spans="6:35" x14ac:dyDescent="0.55000000000000004">
      <c r="F64" t="s">
        <v>9</v>
      </c>
      <c r="G64" t="s">
        <v>201</v>
      </c>
      <c r="H64" t="s">
        <v>296</v>
      </c>
      <c r="I64">
        <v>340986</v>
      </c>
      <c r="J64">
        <f t="shared" si="0"/>
        <v>16</v>
      </c>
      <c r="K64">
        <f t="shared" si="1"/>
        <v>1</v>
      </c>
      <c r="Z64" s="109">
        <v>41455</v>
      </c>
      <c r="AA64">
        <v>310188</v>
      </c>
      <c r="AF64" t="s">
        <v>11</v>
      </c>
      <c r="AG64" t="str">
        <f>AG63</f>
        <v>12/13</v>
      </c>
      <c r="AH64" t="str">
        <f t="shared" si="5"/>
        <v>Q3 | 12/13</v>
      </c>
      <c r="AI64">
        <f t="shared" si="6"/>
        <v>310188</v>
      </c>
    </row>
    <row r="65" spans="6:35" x14ac:dyDescent="0.55000000000000004">
      <c r="F65" t="s">
        <v>10</v>
      </c>
      <c r="G65" t="s">
        <v>201</v>
      </c>
      <c r="H65" t="s">
        <v>297</v>
      </c>
      <c r="I65">
        <v>335806</v>
      </c>
      <c r="J65">
        <f t="shared" si="0"/>
        <v>16</v>
      </c>
      <c r="K65">
        <f t="shared" si="1"/>
        <v>2</v>
      </c>
      <c r="Z65" s="109">
        <v>41547</v>
      </c>
      <c r="AA65">
        <v>331514</v>
      </c>
      <c r="AF65" t="s">
        <v>12</v>
      </c>
      <c r="AG65" t="str">
        <f>AG64</f>
        <v>12/13</v>
      </c>
      <c r="AH65" t="str">
        <f t="shared" si="5"/>
        <v>Q4 | 12/13</v>
      </c>
      <c r="AI65">
        <f t="shared" si="6"/>
        <v>331514</v>
      </c>
    </row>
    <row r="66" spans="6:35" x14ac:dyDescent="0.55000000000000004">
      <c r="F66" t="s">
        <v>11</v>
      </c>
      <c r="G66" t="s">
        <v>201</v>
      </c>
      <c r="H66" t="s">
        <v>298</v>
      </c>
      <c r="I66">
        <v>325698</v>
      </c>
      <c r="J66">
        <f t="shared" si="0"/>
        <v>16</v>
      </c>
      <c r="K66">
        <f t="shared" si="1"/>
        <v>3</v>
      </c>
      <c r="Z66" s="109">
        <v>41639</v>
      </c>
      <c r="AA66">
        <v>348963</v>
      </c>
      <c r="AF66" t="s">
        <v>9</v>
      </c>
      <c r="AG66" t="s">
        <v>287</v>
      </c>
      <c r="AH66" t="str">
        <f t="shared" si="5"/>
        <v>Q1 | 13/14</v>
      </c>
      <c r="AI66">
        <f t="shared" si="6"/>
        <v>348963</v>
      </c>
    </row>
    <row r="67" spans="6:35" x14ac:dyDescent="0.55000000000000004">
      <c r="F67" t="s">
        <v>12</v>
      </c>
      <c r="G67" t="s">
        <v>201</v>
      </c>
      <c r="H67" t="s">
        <v>299</v>
      </c>
      <c r="I67">
        <v>343238</v>
      </c>
      <c r="J67">
        <f t="shared" si="0"/>
        <v>16</v>
      </c>
      <c r="K67">
        <f t="shared" si="1"/>
        <v>4</v>
      </c>
      <c r="Z67" s="109">
        <v>41729</v>
      </c>
      <c r="AA67">
        <v>343210</v>
      </c>
      <c r="AF67" t="s">
        <v>10</v>
      </c>
      <c r="AG67" t="str">
        <f>AG66</f>
        <v>13/14</v>
      </c>
      <c r="AH67" t="str">
        <f t="shared" si="5"/>
        <v>Q2 | 13/14</v>
      </c>
      <c r="AI67">
        <f t="shared" si="6"/>
        <v>343210</v>
      </c>
    </row>
    <row r="68" spans="6:35" x14ac:dyDescent="0.55000000000000004">
      <c r="Z68" s="109">
        <v>41820</v>
      </c>
      <c r="AA68">
        <v>308236</v>
      </c>
      <c r="AF68" t="s">
        <v>11</v>
      </c>
      <c r="AG68" t="str">
        <f>AG67</f>
        <v>13/14</v>
      </c>
      <c r="AH68" t="str">
        <f t="shared" si="5"/>
        <v>Q3 | 13/14</v>
      </c>
      <c r="AI68">
        <f t="shared" si="6"/>
        <v>308236</v>
      </c>
    </row>
    <row r="69" spans="6:35" x14ac:dyDescent="0.55000000000000004">
      <c r="Z69" s="109">
        <v>41912</v>
      </c>
      <c r="AA69">
        <v>327316</v>
      </c>
      <c r="AF69" t="s">
        <v>12</v>
      </c>
      <c r="AG69" t="str">
        <f>AG68</f>
        <v>13/14</v>
      </c>
      <c r="AH69" t="str">
        <f t="shared" si="5"/>
        <v>Q4 | 13/14</v>
      </c>
      <c r="AI69">
        <f t="shared" si="6"/>
        <v>327316</v>
      </c>
    </row>
    <row r="70" spans="6:35" x14ac:dyDescent="0.55000000000000004">
      <c r="Z70" s="109">
        <v>42004</v>
      </c>
      <c r="AA70">
        <v>321935</v>
      </c>
      <c r="AE70">
        <v>1</v>
      </c>
      <c r="AF70" t="s">
        <v>9</v>
      </c>
      <c r="AG70" t="s">
        <v>200</v>
      </c>
      <c r="AH70" t="str">
        <f t="shared" si="5"/>
        <v>Q1 | 14/15</v>
      </c>
      <c r="AI70">
        <f t="shared" si="6"/>
        <v>321935</v>
      </c>
    </row>
    <row r="71" spans="6:35" x14ac:dyDescent="0.55000000000000004">
      <c r="Z71" s="109">
        <v>42094</v>
      </c>
      <c r="AA71">
        <v>337425</v>
      </c>
      <c r="AE71">
        <v>2</v>
      </c>
      <c r="AF71" t="s">
        <v>10</v>
      </c>
      <c r="AG71" t="s">
        <v>200</v>
      </c>
      <c r="AH71" t="str">
        <f t="shared" si="5"/>
        <v>Q2 | 14/15</v>
      </c>
      <c r="AI71">
        <f t="shared" si="6"/>
        <v>337425</v>
      </c>
    </row>
    <row r="72" spans="6:35" x14ac:dyDescent="0.55000000000000004">
      <c r="Z72" s="109">
        <v>42185</v>
      </c>
      <c r="AA72">
        <v>310158</v>
      </c>
      <c r="AE72">
        <v>3</v>
      </c>
      <c r="AF72" t="s">
        <v>11</v>
      </c>
      <c r="AG72" t="s">
        <v>200</v>
      </c>
      <c r="AH72" t="str">
        <f t="shared" si="5"/>
        <v>Q3 | 14/15</v>
      </c>
      <c r="AI72">
        <f t="shared" si="6"/>
        <v>310158</v>
      </c>
    </row>
    <row r="73" spans="6:35" x14ac:dyDescent="0.55000000000000004">
      <c r="Z73" s="109">
        <v>42277</v>
      </c>
      <c r="AA73">
        <v>333002</v>
      </c>
      <c r="AE73">
        <v>4</v>
      </c>
      <c r="AF73" t="s">
        <v>12</v>
      </c>
      <c r="AG73" t="s">
        <v>200</v>
      </c>
      <c r="AH73" t="str">
        <f t="shared" si="5"/>
        <v>Q4 | 14/15</v>
      </c>
      <c r="AI73">
        <f t="shared" si="6"/>
        <v>333002</v>
      </c>
    </row>
    <row r="74" spans="6:35" x14ac:dyDescent="0.55000000000000004">
      <c r="Z74" s="109">
        <v>42369</v>
      </c>
      <c r="AA74">
        <v>340986</v>
      </c>
      <c r="AE74">
        <v>5</v>
      </c>
      <c r="AF74" t="s">
        <v>9</v>
      </c>
      <c r="AG74" t="s">
        <v>201</v>
      </c>
      <c r="AH74" t="str">
        <f t="shared" si="5"/>
        <v>Q1 | 15/16</v>
      </c>
      <c r="AI74">
        <f t="shared" si="6"/>
        <v>340986</v>
      </c>
    </row>
    <row r="75" spans="6:35" x14ac:dyDescent="0.55000000000000004">
      <c r="Z75" s="109">
        <v>42460</v>
      </c>
      <c r="AA75">
        <v>335806</v>
      </c>
      <c r="AE75">
        <v>6</v>
      </c>
      <c r="AF75" t="s">
        <v>10</v>
      </c>
      <c r="AG75" t="s">
        <v>201</v>
      </c>
      <c r="AH75" t="str">
        <f t="shared" si="5"/>
        <v>Q2 | 15/16</v>
      </c>
      <c r="AI75">
        <f t="shared" si="6"/>
        <v>335806</v>
      </c>
    </row>
    <row r="76" spans="6:35" x14ac:dyDescent="0.55000000000000004">
      <c r="Z76" s="109">
        <v>42551</v>
      </c>
      <c r="AA76">
        <v>325698</v>
      </c>
      <c r="AE76">
        <v>7</v>
      </c>
      <c r="AF76" t="s">
        <v>11</v>
      </c>
      <c r="AG76" t="s">
        <v>201</v>
      </c>
      <c r="AH76" t="str">
        <f t="shared" si="5"/>
        <v>Q3 | 15/16</v>
      </c>
      <c r="AI76">
        <f t="shared" si="6"/>
        <v>325698</v>
      </c>
    </row>
    <row r="77" spans="6:35" x14ac:dyDescent="0.55000000000000004">
      <c r="Z77" s="109">
        <v>42643</v>
      </c>
      <c r="AA77">
        <v>343238</v>
      </c>
      <c r="AC77" t="s">
        <v>7</v>
      </c>
      <c r="AD77" t="s">
        <v>8</v>
      </c>
      <c r="AE77">
        <v>8</v>
      </c>
      <c r="AF77" t="s">
        <v>12</v>
      </c>
      <c r="AG77" t="s">
        <v>201</v>
      </c>
      <c r="AH77" t="str">
        <f t="shared" si="5"/>
        <v>Q4 | 15/16</v>
      </c>
      <c r="AI77">
        <f t="shared" si="6"/>
        <v>343238</v>
      </c>
    </row>
    <row r="78" spans="6:35" x14ac:dyDescent="0.55000000000000004">
      <c r="Z78" s="109">
        <v>42735</v>
      </c>
      <c r="AA78">
        <v>338431</v>
      </c>
      <c r="AB78" t="b">
        <f t="shared" ref="AB78:AB113" si="7">AA78=AD78</f>
        <v>0</v>
      </c>
      <c r="AC78" t="s">
        <v>15</v>
      </c>
      <c r="AD78">
        <v>339741</v>
      </c>
      <c r="AE78">
        <f t="shared" ref="AE78:AE113" si="8">AA78-AD78</f>
        <v>-1310</v>
      </c>
    </row>
    <row r="79" spans="6:35" x14ac:dyDescent="0.55000000000000004">
      <c r="Z79" s="109">
        <v>42825</v>
      </c>
      <c r="AA79">
        <v>339741</v>
      </c>
      <c r="AB79" t="b">
        <f t="shared" si="7"/>
        <v>1</v>
      </c>
      <c r="AC79" t="s">
        <v>17</v>
      </c>
      <c r="AD79">
        <v>339741</v>
      </c>
      <c r="AE79">
        <f t="shared" si="8"/>
        <v>0</v>
      </c>
    </row>
    <row r="80" spans="6:35" x14ac:dyDescent="0.55000000000000004">
      <c r="Z80" s="109">
        <v>42916</v>
      </c>
      <c r="AA80">
        <v>331970</v>
      </c>
      <c r="AB80" t="b">
        <f t="shared" si="7"/>
        <v>1</v>
      </c>
      <c r="AC80" t="s">
        <v>19</v>
      </c>
      <c r="AD80">
        <v>331970</v>
      </c>
      <c r="AE80">
        <f t="shared" si="8"/>
        <v>0</v>
      </c>
    </row>
    <row r="81" spans="26:31" x14ac:dyDescent="0.55000000000000004">
      <c r="Z81" s="109">
        <v>43008</v>
      </c>
      <c r="AA81">
        <v>353544</v>
      </c>
      <c r="AB81" t="b">
        <f t="shared" si="7"/>
        <v>1</v>
      </c>
      <c r="AC81" t="s">
        <v>21</v>
      </c>
      <c r="AD81">
        <v>353544</v>
      </c>
      <c r="AE81">
        <f t="shared" si="8"/>
        <v>0</v>
      </c>
    </row>
    <row r="82" spans="26:31" x14ac:dyDescent="0.55000000000000004">
      <c r="Z82" s="109">
        <v>43100</v>
      </c>
      <c r="AA82">
        <v>353286</v>
      </c>
      <c r="AB82" t="b">
        <f t="shared" si="7"/>
        <v>1</v>
      </c>
      <c r="AC82" t="s">
        <v>23</v>
      </c>
      <c r="AD82">
        <v>353286</v>
      </c>
      <c r="AE82">
        <f t="shared" si="8"/>
        <v>0</v>
      </c>
    </row>
    <row r="83" spans="26:31" x14ac:dyDescent="0.55000000000000004">
      <c r="Z83" s="109">
        <v>43190</v>
      </c>
      <c r="AA83">
        <v>358432</v>
      </c>
      <c r="AB83" t="b">
        <f t="shared" si="7"/>
        <v>1</v>
      </c>
      <c r="AC83" t="s">
        <v>25</v>
      </c>
      <c r="AD83">
        <v>358432</v>
      </c>
      <c r="AE83">
        <f t="shared" si="8"/>
        <v>0</v>
      </c>
    </row>
    <row r="84" spans="26:31" x14ac:dyDescent="0.55000000000000004">
      <c r="Z84" s="109">
        <v>43281</v>
      </c>
      <c r="AA84">
        <v>356109</v>
      </c>
      <c r="AB84" t="b">
        <f t="shared" si="7"/>
        <v>1</v>
      </c>
      <c r="AC84" t="s">
        <v>27</v>
      </c>
      <c r="AD84">
        <v>356109</v>
      </c>
      <c r="AE84">
        <f t="shared" si="8"/>
        <v>0</v>
      </c>
    </row>
    <row r="85" spans="26:31" x14ac:dyDescent="0.55000000000000004">
      <c r="Z85" s="109">
        <v>43373</v>
      </c>
      <c r="AA85">
        <v>363122</v>
      </c>
      <c r="AB85" t="b">
        <f t="shared" si="7"/>
        <v>1</v>
      </c>
      <c r="AC85" t="s">
        <v>29</v>
      </c>
      <c r="AD85">
        <v>363122</v>
      </c>
      <c r="AE85">
        <f t="shared" si="8"/>
        <v>0</v>
      </c>
    </row>
    <row r="86" spans="26:31" x14ac:dyDescent="0.55000000000000004">
      <c r="Z86" s="109">
        <v>43465</v>
      </c>
      <c r="AA86">
        <v>359103</v>
      </c>
      <c r="AB86" t="b">
        <f t="shared" si="7"/>
        <v>1</v>
      </c>
      <c r="AC86" t="s">
        <v>31</v>
      </c>
      <c r="AD86">
        <v>359103</v>
      </c>
      <c r="AE86">
        <f t="shared" si="8"/>
        <v>0</v>
      </c>
    </row>
    <row r="87" spans="26:31" x14ac:dyDescent="0.55000000000000004">
      <c r="Z87" s="109">
        <v>43555</v>
      </c>
      <c r="AA87">
        <v>370359</v>
      </c>
      <c r="AB87" t="b">
        <f t="shared" si="7"/>
        <v>1</v>
      </c>
      <c r="AC87" t="s">
        <v>32</v>
      </c>
      <c r="AD87">
        <v>370359</v>
      </c>
      <c r="AE87">
        <f t="shared" si="8"/>
        <v>0</v>
      </c>
    </row>
    <row r="88" spans="26:31" x14ac:dyDescent="0.55000000000000004">
      <c r="Z88" s="109">
        <v>43646</v>
      </c>
      <c r="AA88">
        <v>344890</v>
      </c>
      <c r="AB88" t="b">
        <f t="shared" si="7"/>
        <v>1</v>
      </c>
      <c r="AC88" t="s">
        <v>33</v>
      </c>
      <c r="AD88">
        <v>344890</v>
      </c>
      <c r="AE88">
        <f t="shared" si="8"/>
        <v>0</v>
      </c>
    </row>
    <row r="89" spans="26:31" x14ac:dyDescent="0.55000000000000004">
      <c r="Z89" s="109">
        <v>43738</v>
      </c>
      <c r="AA89">
        <v>362940</v>
      </c>
      <c r="AB89" t="b">
        <f t="shared" si="7"/>
        <v>1</v>
      </c>
      <c r="AC89" t="s">
        <v>34</v>
      </c>
      <c r="AD89">
        <v>362940</v>
      </c>
      <c r="AE89">
        <f t="shared" si="8"/>
        <v>0</v>
      </c>
    </row>
    <row r="90" spans="26:31" x14ac:dyDescent="0.55000000000000004">
      <c r="Z90" s="109">
        <v>43830</v>
      </c>
      <c r="AA90">
        <v>355201</v>
      </c>
      <c r="AB90" t="b">
        <f t="shared" si="7"/>
        <v>1</v>
      </c>
      <c r="AC90" t="s">
        <v>37</v>
      </c>
      <c r="AD90">
        <v>355201</v>
      </c>
      <c r="AE90">
        <f t="shared" si="8"/>
        <v>0</v>
      </c>
    </row>
    <row r="91" spans="26:31" x14ac:dyDescent="0.55000000000000004">
      <c r="Z91" s="109">
        <v>43921</v>
      </c>
      <c r="AA91">
        <v>373625</v>
      </c>
      <c r="AB91" t="b">
        <f t="shared" si="7"/>
        <v>0</v>
      </c>
      <c r="AC91" t="s">
        <v>38</v>
      </c>
      <c r="AD91">
        <v>368934</v>
      </c>
      <c r="AE91">
        <f t="shared" si="8"/>
        <v>4691</v>
      </c>
    </row>
    <row r="92" spans="26:31" x14ac:dyDescent="0.55000000000000004">
      <c r="Z92" s="109">
        <v>44012</v>
      </c>
      <c r="AA92">
        <v>314108</v>
      </c>
      <c r="AB92" t="b">
        <f t="shared" si="7"/>
        <v>1</v>
      </c>
      <c r="AC92" t="s">
        <v>39</v>
      </c>
      <c r="AD92">
        <v>314108</v>
      </c>
      <c r="AE92">
        <f t="shared" si="8"/>
        <v>0</v>
      </c>
    </row>
    <row r="93" spans="26:31" x14ac:dyDescent="0.55000000000000004">
      <c r="Z93" s="109">
        <v>44104</v>
      </c>
      <c r="AA93">
        <v>345730</v>
      </c>
      <c r="AB93" t="b">
        <f t="shared" si="7"/>
        <v>1</v>
      </c>
      <c r="AC93" t="s">
        <v>40</v>
      </c>
      <c r="AD93">
        <v>345730</v>
      </c>
      <c r="AE93">
        <f t="shared" si="8"/>
        <v>0</v>
      </c>
    </row>
    <row r="94" spans="26:31" x14ac:dyDescent="0.55000000000000004">
      <c r="Z94" s="109">
        <v>44196</v>
      </c>
      <c r="AA94">
        <v>344151</v>
      </c>
      <c r="AB94" t="b">
        <f t="shared" si="7"/>
        <v>1</v>
      </c>
      <c r="AC94" t="s">
        <v>41</v>
      </c>
      <c r="AD94">
        <v>344151</v>
      </c>
      <c r="AE94">
        <f t="shared" si="8"/>
        <v>0</v>
      </c>
    </row>
    <row r="95" spans="26:31" x14ac:dyDescent="0.55000000000000004">
      <c r="Z95" s="109">
        <v>44286</v>
      </c>
      <c r="AA95">
        <v>357815</v>
      </c>
      <c r="AB95" t="b">
        <f t="shared" si="7"/>
        <v>1</v>
      </c>
      <c r="AC95" t="s">
        <v>43</v>
      </c>
      <c r="AD95">
        <v>357815</v>
      </c>
      <c r="AE95">
        <f t="shared" si="8"/>
        <v>0</v>
      </c>
    </row>
    <row r="96" spans="26:31" x14ac:dyDescent="0.55000000000000004">
      <c r="Z96" s="109">
        <v>44377</v>
      </c>
      <c r="AA96">
        <v>356854</v>
      </c>
      <c r="AB96" t="b">
        <f t="shared" si="7"/>
        <v>1</v>
      </c>
      <c r="AC96" t="s">
        <v>44</v>
      </c>
      <c r="AD96">
        <v>356854</v>
      </c>
      <c r="AE96">
        <f t="shared" si="8"/>
        <v>0</v>
      </c>
    </row>
    <row r="97" spans="26:31" x14ac:dyDescent="0.55000000000000004">
      <c r="Z97" s="109">
        <v>44469</v>
      </c>
      <c r="AA97">
        <v>375811</v>
      </c>
      <c r="AB97" t="b">
        <f t="shared" si="7"/>
        <v>1</v>
      </c>
      <c r="AC97" t="s">
        <v>45</v>
      </c>
      <c r="AD97">
        <v>375811</v>
      </c>
      <c r="AE97">
        <f t="shared" si="8"/>
        <v>0</v>
      </c>
    </row>
    <row r="98" spans="26:31" x14ac:dyDescent="0.55000000000000004">
      <c r="Z98" s="109">
        <v>44561</v>
      </c>
      <c r="AA98">
        <v>365826</v>
      </c>
      <c r="AB98" t="b">
        <f t="shared" si="7"/>
        <v>1</v>
      </c>
      <c r="AC98" t="s">
        <v>46</v>
      </c>
      <c r="AD98">
        <v>365826</v>
      </c>
      <c r="AE98">
        <f t="shared" si="8"/>
        <v>0</v>
      </c>
    </row>
    <row r="99" spans="26:31" x14ac:dyDescent="0.55000000000000004">
      <c r="Z99" s="109">
        <v>44651</v>
      </c>
      <c r="AA99">
        <v>373498</v>
      </c>
      <c r="AB99" t="b">
        <f t="shared" si="7"/>
        <v>1</v>
      </c>
      <c r="AC99" t="s">
        <v>47</v>
      </c>
      <c r="AD99">
        <v>373498</v>
      </c>
      <c r="AE99">
        <f t="shared" si="8"/>
        <v>0</v>
      </c>
    </row>
    <row r="100" spans="26:31" x14ac:dyDescent="0.55000000000000004">
      <c r="Z100" s="109">
        <v>44742</v>
      </c>
      <c r="AA100">
        <v>364081</v>
      </c>
      <c r="AB100" t="b">
        <f t="shared" si="7"/>
        <v>1</v>
      </c>
      <c r="AC100" t="s">
        <v>48</v>
      </c>
      <c r="AD100">
        <v>364081</v>
      </c>
      <c r="AE100">
        <f t="shared" si="8"/>
        <v>0</v>
      </c>
    </row>
    <row r="101" spans="26:31" x14ac:dyDescent="0.55000000000000004">
      <c r="Z101" s="109">
        <v>44834</v>
      </c>
      <c r="AA101">
        <v>369679</v>
      </c>
      <c r="AB101" t="b">
        <f t="shared" si="7"/>
        <v>1</v>
      </c>
      <c r="AC101" t="s">
        <v>49</v>
      </c>
      <c r="AD101">
        <v>369679</v>
      </c>
      <c r="AE101">
        <f t="shared" si="8"/>
        <v>0</v>
      </c>
    </row>
    <row r="102" spans="26:31" x14ac:dyDescent="0.55000000000000004">
      <c r="Z102" s="109">
        <v>44926</v>
      </c>
      <c r="AA102">
        <v>359577</v>
      </c>
      <c r="AB102" t="b">
        <f t="shared" si="7"/>
        <v>1</v>
      </c>
      <c r="AC102" t="s">
        <v>50</v>
      </c>
      <c r="AD102">
        <v>359577</v>
      </c>
      <c r="AE102">
        <f t="shared" si="8"/>
        <v>0</v>
      </c>
    </row>
    <row r="103" spans="26:31" x14ac:dyDescent="0.55000000000000004">
      <c r="Z103" s="109">
        <v>45016</v>
      </c>
      <c r="AA103">
        <v>375375</v>
      </c>
      <c r="AB103" t="b">
        <f t="shared" si="7"/>
        <v>1</v>
      </c>
      <c r="AC103" t="s">
        <v>51</v>
      </c>
      <c r="AD103">
        <v>375375</v>
      </c>
      <c r="AE103">
        <f t="shared" si="8"/>
        <v>0</v>
      </c>
    </row>
    <row r="104" spans="26:31" x14ac:dyDescent="0.55000000000000004">
      <c r="Z104" s="109">
        <v>45107</v>
      </c>
      <c r="AA104">
        <v>343283</v>
      </c>
      <c r="AB104" t="b">
        <f t="shared" si="7"/>
        <v>1</v>
      </c>
      <c r="AC104" t="s">
        <v>53</v>
      </c>
      <c r="AD104">
        <v>343283</v>
      </c>
      <c r="AE104">
        <f t="shared" si="8"/>
        <v>0</v>
      </c>
    </row>
    <row r="105" spans="26:31" x14ac:dyDescent="0.55000000000000004">
      <c r="Z105" s="109">
        <v>45199</v>
      </c>
      <c r="AA105">
        <v>366298</v>
      </c>
      <c r="AB105" t="b">
        <f t="shared" si="7"/>
        <v>1</v>
      </c>
      <c r="AC105" t="s">
        <v>54</v>
      </c>
      <c r="AD105">
        <v>366298</v>
      </c>
      <c r="AE105">
        <f t="shared" si="8"/>
        <v>0</v>
      </c>
    </row>
    <row r="106" spans="26:31" x14ac:dyDescent="0.55000000000000004">
      <c r="Z106" s="109">
        <v>45291</v>
      </c>
      <c r="AA106">
        <v>350739</v>
      </c>
      <c r="AB106" t="b">
        <f t="shared" si="7"/>
        <v>1</v>
      </c>
      <c r="AC106" t="s">
        <v>55</v>
      </c>
      <c r="AD106">
        <v>350739</v>
      </c>
      <c r="AE106">
        <f t="shared" si="8"/>
        <v>0</v>
      </c>
    </row>
    <row r="107" spans="26:31" x14ac:dyDescent="0.55000000000000004">
      <c r="Z107" s="109">
        <v>45382</v>
      </c>
      <c r="AA107">
        <v>367287</v>
      </c>
      <c r="AB107" t="b">
        <f t="shared" si="7"/>
        <v>1</v>
      </c>
      <c r="AC107" t="s">
        <v>56</v>
      </c>
      <c r="AD107">
        <v>367287</v>
      </c>
      <c r="AE107">
        <f t="shared" si="8"/>
        <v>0</v>
      </c>
    </row>
    <row r="108" spans="26:31" x14ac:dyDescent="0.55000000000000004">
      <c r="Z108" s="109">
        <v>45473</v>
      </c>
      <c r="AA108">
        <v>357502</v>
      </c>
      <c r="AB108" t="b">
        <f t="shared" si="7"/>
        <v>1</v>
      </c>
      <c r="AC108" t="s">
        <v>57</v>
      </c>
      <c r="AD108">
        <v>357502</v>
      </c>
      <c r="AE108">
        <f t="shared" si="8"/>
        <v>0</v>
      </c>
    </row>
    <row r="109" spans="26:31" x14ac:dyDescent="0.55000000000000004">
      <c r="Z109" s="109">
        <v>45565</v>
      </c>
      <c r="AA109">
        <v>354334</v>
      </c>
      <c r="AB109" t="b">
        <f t="shared" si="7"/>
        <v>1</v>
      </c>
      <c r="AC109" t="s">
        <v>58</v>
      </c>
      <c r="AD109">
        <v>354334</v>
      </c>
      <c r="AE109">
        <f t="shared" si="8"/>
        <v>0</v>
      </c>
    </row>
    <row r="110" spans="26:31" x14ac:dyDescent="0.55000000000000004">
      <c r="Z110" s="109">
        <v>45657</v>
      </c>
      <c r="AA110">
        <v>331853</v>
      </c>
      <c r="AB110" t="b">
        <f t="shared" si="7"/>
        <v>1</v>
      </c>
      <c r="AC110" t="s">
        <v>73</v>
      </c>
      <c r="AD110">
        <v>331853</v>
      </c>
      <c r="AE110">
        <f t="shared" si="8"/>
        <v>0</v>
      </c>
    </row>
    <row r="111" spans="26:31" x14ac:dyDescent="0.55000000000000004">
      <c r="Z111" s="109">
        <v>45747</v>
      </c>
      <c r="AA111">
        <v>353522</v>
      </c>
      <c r="AB111" t="b">
        <f t="shared" si="7"/>
        <v>1</v>
      </c>
      <c r="AC111" t="s">
        <v>151</v>
      </c>
      <c r="AD111">
        <v>353522</v>
      </c>
      <c r="AE111">
        <f t="shared" si="8"/>
        <v>0</v>
      </c>
    </row>
    <row r="112" spans="26:31" x14ac:dyDescent="0.55000000000000004">
      <c r="Z112" s="109">
        <v>45838</v>
      </c>
      <c r="AA112">
        <v>331762</v>
      </c>
      <c r="AB112" t="b">
        <f t="shared" si="7"/>
        <v>1</v>
      </c>
      <c r="AC112" t="s">
        <v>160</v>
      </c>
      <c r="AD112">
        <v>331762</v>
      </c>
      <c r="AE112">
        <f t="shared" si="8"/>
        <v>0</v>
      </c>
    </row>
    <row r="113" spans="26:31" x14ac:dyDescent="0.55000000000000004">
      <c r="Z113" s="109">
        <v>45930</v>
      </c>
      <c r="AA113">
        <v>337353</v>
      </c>
      <c r="AB113" t="b">
        <f t="shared" si="7"/>
        <v>1</v>
      </c>
      <c r="AC113" t="s">
        <v>162</v>
      </c>
      <c r="AD113">
        <v>337353</v>
      </c>
      <c r="AE113">
        <f t="shared" si="8"/>
        <v>0</v>
      </c>
    </row>
    <row r="114" spans="26:31" x14ac:dyDescent="0.55000000000000004">
      <c r="Z114" s="109">
        <v>46022</v>
      </c>
      <c r="AA114">
        <v>304470</v>
      </c>
    </row>
    <row r="115" spans="26:31" x14ac:dyDescent="0.55000000000000004">
      <c r="Z115" s="109">
        <v>46112</v>
      </c>
      <c r="AA115">
        <v>325895</v>
      </c>
    </row>
    <row r="116" spans="26:31" x14ac:dyDescent="0.55000000000000004">
      <c r="Z116" s="109">
        <v>46203</v>
      </c>
      <c r="AA116">
        <v>316366</v>
      </c>
    </row>
  </sheetData>
  <pageMargins left="0.7" right="0.7" top="0.75" bottom="0.75" header="0.3" footer="0.3"/>
  <customProperties>
    <customPr name="REFI_OFFICE_FUNCTION_DATA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58F7-5484-4E94-AB52-CB3E3FA79928}">
  <sheetPr codeName="Sheet13"/>
  <dimension ref="B6:O87"/>
  <sheetViews>
    <sheetView zoomScale="70" zoomScaleNormal="70" workbookViewId="0">
      <selection activeCell="Y66" sqref="Y66"/>
    </sheetView>
  </sheetViews>
  <sheetFormatPr defaultColWidth="8.83984375" defaultRowHeight="14.4" x14ac:dyDescent="0.55000000000000004"/>
  <cols>
    <col min="1" max="16384" width="8.83984375" style="29"/>
  </cols>
  <sheetData>
    <row r="6" spans="3:15" x14ac:dyDescent="0.55000000000000004">
      <c r="C6" s="29" t="s">
        <v>205</v>
      </c>
      <c r="D6" s="29" t="s">
        <v>188</v>
      </c>
      <c r="E6" s="29" t="s">
        <v>189</v>
      </c>
      <c r="F6" s="29" t="s">
        <v>190</v>
      </c>
      <c r="G6" s="29" t="s">
        <v>191</v>
      </c>
      <c r="H6" s="29" t="s">
        <v>192</v>
      </c>
      <c r="I6" s="29" t="s">
        <v>193</v>
      </c>
      <c r="J6" s="29" t="s">
        <v>194</v>
      </c>
      <c r="K6" s="29" t="s">
        <v>195</v>
      </c>
      <c r="L6" s="29" t="s">
        <v>196</v>
      </c>
      <c r="M6" s="29" t="s">
        <v>197</v>
      </c>
      <c r="N6" s="29" t="s">
        <v>198</v>
      </c>
      <c r="O6" s="29" t="s">
        <v>199</v>
      </c>
    </row>
    <row r="7" spans="3:15" x14ac:dyDescent="0.55000000000000004">
      <c r="C7" s="29" t="s">
        <v>200</v>
      </c>
      <c r="D7" s="29">
        <v>23142.399599999997</v>
      </c>
      <c r="E7" s="29">
        <v>18862.933199999999</v>
      </c>
      <c r="F7" s="29">
        <v>16195.415200000001</v>
      </c>
      <c r="G7" s="29">
        <v>22511.933000000012</v>
      </c>
      <c r="H7" s="29">
        <v>19310.61380000001</v>
      </c>
      <c r="I7" s="29">
        <v>16118.939400000003</v>
      </c>
      <c r="J7" s="29">
        <v>17962.987599999989</v>
      </c>
      <c r="K7" s="29">
        <v>20821.552200000013</v>
      </c>
      <c r="L7" s="29">
        <v>20372.2628</v>
      </c>
      <c r="M7" s="29">
        <v>19195.571799999998</v>
      </c>
      <c r="N7" s="29">
        <v>21407.888799999997</v>
      </c>
      <c r="O7" s="29">
        <v>26511.962199999994</v>
      </c>
    </row>
    <row r="8" spans="3:15" x14ac:dyDescent="0.55000000000000004">
      <c r="C8" s="29" t="s">
        <v>201</v>
      </c>
      <c r="D8" s="29">
        <v>22374.9548</v>
      </c>
      <c r="E8" s="29">
        <v>22294.134600000001</v>
      </c>
      <c r="F8" s="29">
        <v>18592.778200000008</v>
      </c>
      <c r="G8" s="29">
        <v>23166.415200000003</v>
      </c>
      <c r="H8" s="29">
        <v>17911.376400000001</v>
      </c>
      <c r="I8" s="29">
        <v>20069.948400000005</v>
      </c>
      <c r="J8" s="29">
        <v>21753.108799999998</v>
      </c>
      <c r="K8" s="29">
        <v>19448.165399999998</v>
      </c>
      <c r="L8" s="29">
        <v>19725.782399999996</v>
      </c>
      <c r="M8" s="29">
        <v>15647.211400000006</v>
      </c>
      <c r="N8" s="29">
        <v>23843.03</v>
      </c>
      <c r="O8" s="29">
        <v>22578.788599999996</v>
      </c>
    </row>
    <row r="9" spans="3:15" x14ac:dyDescent="0.55000000000000004">
      <c r="C9" s="29" t="s">
        <v>16</v>
      </c>
      <c r="D9" s="29">
        <v>24735.0046</v>
      </c>
      <c r="E9" s="29">
        <v>22755.286599999996</v>
      </c>
      <c r="F9" s="29">
        <v>20202.744400000003</v>
      </c>
      <c r="G9" s="29">
        <v>26440.743399999996</v>
      </c>
      <c r="H9" s="29">
        <v>21923.306200000003</v>
      </c>
      <c r="I9" s="29">
        <v>23023.971400000002</v>
      </c>
      <c r="J9" s="29">
        <v>18202.313799999993</v>
      </c>
      <c r="K9" s="29">
        <v>20867.630600000004</v>
      </c>
      <c r="L9" s="29">
        <v>22553.111200000007</v>
      </c>
      <c r="M9" s="29">
        <v>18300.358600000003</v>
      </c>
      <c r="N9" s="29">
        <v>24660.706000000002</v>
      </c>
      <c r="O9" s="29">
        <v>23325.639800000001</v>
      </c>
    </row>
    <row r="10" spans="3:15" x14ac:dyDescent="0.55000000000000004">
      <c r="C10" s="29" t="s">
        <v>18</v>
      </c>
      <c r="D10" s="29">
        <v>28457.67579999999</v>
      </c>
      <c r="E10" s="29">
        <v>27462.90340000001</v>
      </c>
      <c r="F10" s="29">
        <v>18254.748</v>
      </c>
      <c r="G10" s="29">
        <v>25010.507999999994</v>
      </c>
      <c r="H10" s="29">
        <v>20979.069400000008</v>
      </c>
      <c r="I10" s="29">
        <v>22351.846600000004</v>
      </c>
      <c r="J10" s="29">
        <v>24729.813200000001</v>
      </c>
      <c r="K10" s="29">
        <v>24044.405999999999</v>
      </c>
      <c r="L10" s="29">
        <v>23193.092400000001</v>
      </c>
      <c r="M10" s="29">
        <v>21990.269800000002</v>
      </c>
      <c r="N10" s="29">
        <v>23767.355999999996</v>
      </c>
      <c r="O10" s="29">
        <v>22605.181400000012</v>
      </c>
    </row>
    <row r="11" spans="3:15" x14ac:dyDescent="0.55000000000000004">
      <c r="C11" s="29" t="s">
        <v>20</v>
      </c>
      <c r="D11" s="29">
        <v>27249.050200000001</v>
      </c>
      <c r="E11" s="29">
        <v>26050.8014</v>
      </c>
      <c r="F11" s="29">
        <v>18927.666000000005</v>
      </c>
      <c r="G11" s="29">
        <v>27283.159200000009</v>
      </c>
      <c r="H11" s="29">
        <v>25042.451600000008</v>
      </c>
      <c r="I11" s="29">
        <v>24620.7598</v>
      </c>
      <c r="J11" s="29">
        <v>23374.6626</v>
      </c>
      <c r="K11" s="29">
        <v>23302.123599999995</v>
      </c>
      <c r="L11" s="29">
        <v>22117.326800000003</v>
      </c>
      <c r="M11" s="29">
        <v>24042.321800000005</v>
      </c>
      <c r="N11" s="29">
        <v>27328.927000000003</v>
      </c>
      <c r="O11" s="29">
        <v>25424.144</v>
      </c>
    </row>
    <row r="12" spans="3:15" x14ac:dyDescent="0.55000000000000004">
      <c r="C12" s="29" t="s">
        <v>22</v>
      </c>
      <c r="D12" s="29">
        <v>26646.034400000004</v>
      </c>
      <c r="E12" s="29">
        <v>23607.373000000011</v>
      </c>
      <c r="F12" s="29">
        <v>22081.431200000006</v>
      </c>
      <c r="G12" s="29">
        <v>24400.576999999997</v>
      </c>
      <c r="H12" s="29">
        <v>23742.888599999998</v>
      </c>
      <c r="I12" s="29">
        <v>24858.988799999999</v>
      </c>
      <c r="J12" s="29">
        <v>19587.232799999998</v>
      </c>
      <c r="K12" s="29">
        <v>17331.578600000001</v>
      </c>
      <c r="L12" s="29">
        <v>19222.5308</v>
      </c>
      <c r="M12" s="29">
        <v>21658.732199999991</v>
      </c>
      <c r="N12" s="29">
        <v>22298.557999999997</v>
      </c>
      <c r="O12" s="29">
        <v>25817.211600000002</v>
      </c>
    </row>
    <row r="13" spans="3:15" x14ac:dyDescent="0.55000000000000004">
      <c r="C13" s="29" t="s">
        <v>24</v>
      </c>
      <c r="D13" s="29">
        <v>26906.24500000001</v>
      </c>
      <c r="E13" s="29">
        <v>23849.104999999996</v>
      </c>
      <c r="F13" s="29">
        <v>21899.889599999999</v>
      </c>
      <c r="G13" s="29">
        <v>24483.536799999998</v>
      </c>
      <c r="H13" s="29">
        <v>23278.862400000009</v>
      </c>
      <c r="I13" s="29">
        <v>26340.377400000005</v>
      </c>
      <c r="J13" s="29">
        <v>28148.341199999992</v>
      </c>
      <c r="K13" s="29">
        <v>25094.501799999995</v>
      </c>
      <c r="L13" s="29">
        <v>27211.040999999997</v>
      </c>
      <c r="M13" s="29">
        <v>25524.227600000006</v>
      </c>
      <c r="N13" s="29">
        <v>26831.572800000002</v>
      </c>
      <c r="O13" s="29">
        <v>27430.348800000007</v>
      </c>
    </row>
    <row r="14" spans="3:15" x14ac:dyDescent="0.55000000000000004">
      <c r="C14" s="29" t="s">
        <v>26</v>
      </c>
      <c r="D14" s="29">
        <v>30153.316999999999</v>
      </c>
      <c r="E14" s="29">
        <v>30490.376400000005</v>
      </c>
      <c r="F14" s="29">
        <v>25383.274799999999</v>
      </c>
      <c r="G14" s="29">
        <v>28093.378599999996</v>
      </c>
      <c r="H14" s="29">
        <v>26084.453400000006</v>
      </c>
      <c r="I14" s="29">
        <v>23422.006400000002</v>
      </c>
      <c r="J14" s="29">
        <v>19821.983</v>
      </c>
      <c r="K14" s="29">
        <v>24603.741400000003</v>
      </c>
      <c r="L14" s="29">
        <v>26102.791400000006</v>
      </c>
      <c r="M14" s="29">
        <v>23601.491600000005</v>
      </c>
      <c r="N14" s="29">
        <v>29022.673399999996</v>
      </c>
      <c r="O14" s="29">
        <v>31840.027400000003</v>
      </c>
    </row>
    <row r="15" spans="3:15" x14ac:dyDescent="0.55000000000000004">
      <c r="C15" s="29" t="s">
        <v>28</v>
      </c>
      <c r="D15" s="29">
        <v>30550.925400000004</v>
      </c>
      <c r="E15" s="29">
        <v>33782.82620000001</v>
      </c>
      <c r="F15" s="29">
        <v>26061.218000000001</v>
      </c>
      <c r="G15" s="29">
        <v>32581.749000000007</v>
      </c>
      <c r="H15" s="29">
        <v>27094.766</v>
      </c>
      <c r="I15" s="29">
        <v>26542.536799999998</v>
      </c>
      <c r="J15" s="29">
        <v>24240.888199999998</v>
      </c>
      <c r="K15" s="29">
        <v>26915.962199999994</v>
      </c>
      <c r="L15" s="29">
        <v>26432.764800000012</v>
      </c>
      <c r="M15" s="29">
        <v>26040.944399999997</v>
      </c>
      <c r="N15" s="29">
        <v>29372.778200000012</v>
      </c>
      <c r="O15" s="29">
        <v>27632.200200000003</v>
      </c>
    </row>
    <row r="16" spans="3:15" x14ac:dyDescent="0.55000000000000004">
      <c r="C16" s="29" t="s">
        <v>30</v>
      </c>
      <c r="D16" s="29">
        <v>28427.2212</v>
      </c>
      <c r="E16" s="29">
        <v>28568.687399999999</v>
      </c>
      <c r="F16" s="29">
        <v>22337.981999999993</v>
      </c>
      <c r="G16" s="29">
        <v>31698.361600000007</v>
      </c>
      <c r="H16" s="29">
        <v>27890.011600000005</v>
      </c>
      <c r="I16" s="29">
        <v>26876.204800000003</v>
      </c>
      <c r="J16" s="29">
        <v>34586.270000000011</v>
      </c>
      <c r="K16" s="29">
        <v>31974.557000000004</v>
      </c>
      <c r="L16" s="29">
        <v>28628.108199999995</v>
      </c>
      <c r="M16" s="29">
        <v>31821.069999999996</v>
      </c>
      <c r="N16" s="29">
        <v>28969.558999999997</v>
      </c>
      <c r="O16" s="29">
        <v>31506.052599999995</v>
      </c>
    </row>
    <row r="17" spans="2:15" x14ac:dyDescent="0.55000000000000004">
      <c r="C17" s="29" t="s">
        <v>74</v>
      </c>
      <c r="D17" s="29">
        <v>31781.338800000005</v>
      </c>
      <c r="E17" s="29">
        <v>25241.930800000002</v>
      </c>
      <c r="F17" s="29">
        <v>18967.825799999999</v>
      </c>
      <c r="G17" s="29">
        <v>31160.240200000011</v>
      </c>
      <c r="H17" s="29">
        <v>30563.817800000004</v>
      </c>
      <c r="I17" s="29">
        <v>28781.7212</v>
      </c>
      <c r="J17" s="29">
        <v>23296.361800000013</v>
      </c>
      <c r="K17" s="29">
        <v>28736.412400000001</v>
      </c>
      <c r="L17" s="29">
        <v>24454.928200000006</v>
      </c>
      <c r="M17" s="29">
        <v>23172.831799999996</v>
      </c>
      <c r="N17" s="29">
        <v>24759.482800000005</v>
      </c>
      <c r="O17" s="29">
        <v>26268.497200000002</v>
      </c>
    </row>
    <row r="18" spans="2:15" x14ac:dyDescent="0.55000000000000004">
      <c r="C18" s="29" t="s">
        <v>165</v>
      </c>
      <c r="D18" s="29">
        <v>31141.410400000001</v>
      </c>
      <c r="E18" s="29" t="s">
        <v>202</v>
      </c>
      <c r="F18" s="29" t="s">
        <v>202</v>
      </c>
      <c r="G18" s="29" t="s">
        <v>202</v>
      </c>
      <c r="H18" s="29" t="s">
        <v>202</v>
      </c>
      <c r="I18" s="29" t="s">
        <v>202</v>
      </c>
      <c r="J18" s="29" t="s">
        <v>202</v>
      </c>
      <c r="K18" s="29" t="s">
        <v>202</v>
      </c>
      <c r="L18" s="29" t="s">
        <v>202</v>
      </c>
      <c r="M18" s="29" t="s">
        <v>202</v>
      </c>
      <c r="N18" s="29" t="s">
        <v>202</v>
      </c>
      <c r="O18" s="29" t="s">
        <v>202</v>
      </c>
    </row>
    <row r="21" spans="2:15" x14ac:dyDescent="0.55000000000000004">
      <c r="C21" s="91" t="s">
        <v>203</v>
      </c>
      <c r="D21" s="29">
        <v>1</v>
      </c>
      <c r="E21" s="29">
        <v>2</v>
      </c>
      <c r="F21" s="29">
        <v>3</v>
      </c>
      <c r="G21" s="29">
        <v>4</v>
      </c>
      <c r="K21" s="91" t="s">
        <v>203</v>
      </c>
      <c r="L21" s="29">
        <v>1</v>
      </c>
      <c r="M21" s="29">
        <v>2</v>
      </c>
      <c r="N21" s="29">
        <v>3</v>
      </c>
      <c r="O21" s="29">
        <v>4</v>
      </c>
    </row>
    <row r="22" spans="2:15" x14ac:dyDescent="0.55000000000000004">
      <c r="B22" s="29" t="str">
        <f>C7</f>
        <v>14/15</v>
      </c>
      <c r="C22" s="29">
        <v>1</v>
      </c>
      <c r="D22" s="29">
        <f>SUM(D7:F7)</f>
        <v>58200.748</v>
      </c>
      <c r="E22" s="29">
        <f>SUM(G7:I7)</f>
        <v>57941.486200000028</v>
      </c>
      <c r="F22" s="29">
        <f>SUM(J7:L7)</f>
        <v>59156.802599999995</v>
      </c>
      <c r="G22" s="29">
        <f>SUM(M7:O7)</f>
        <v>67115.422799999986</v>
      </c>
      <c r="J22" s="29" t="s">
        <v>200</v>
      </c>
      <c r="K22" s="29">
        <v>1</v>
      </c>
    </row>
    <row r="23" spans="2:15" x14ac:dyDescent="0.55000000000000004">
      <c r="B23" s="29" t="str">
        <f t="shared" ref="B23:B33" si="0">C8</f>
        <v>15/16</v>
      </c>
      <c r="C23" s="29">
        <v>2</v>
      </c>
      <c r="D23" s="29">
        <f t="shared" ref="D23:D33" si="1">SUM(D8:F8)</f>
        <v>63261.867600000005</v>
      </c>
      <c r="E23" s="29">
        <f t="shared" ref="E23:E32" si="2">SUM(G8:I8)</f>
        <v>61147.740000000005</v>
      </c>
      <c r="F23" s="29">
        <f t="shared" ref="F23:F32" si="3">SUM(J8:L8)</f>
        <v>60927.056599999996</v>
      </c>
      <c r="G23" s="29">
        <f t="shared" ref="G23:G32" si="4">SUM(M8:O8)</f>
        <v>62069.03</v>
      </c>
      <c r="J23" s="29" t="s">
        <v>201</v>
      </c>
      <c r="K23" s="29">
        <v>2</v>
      </c>
      <c r="L23" s="68">
        <f>D23/D22-1</f>
        <v>8.6959700243027793E-2</v>
      </c>
      <c r="M23" s="68">
        <f t="shared" ref="M23:O32" si="5">E23/E22-1</f>
        <v>5.5336064196433554E-2</v>
      </c>
      <c r="N23" s="68">
        <f t="shared" si="5"/>
        <v>2.9924774872805537E-2</v>
      </c>
      <c r="O23" s="68">
        <f t="shared" si="5"/>
        <v>-7.5189763983726121E-2</v>
      </c>
    </row>
    <row r="24" spans="2:15" x14ac:dyDescent="0.55000000000000004">
      <c r="B24" s="29" t="str">
        <f t="shared" si="0"/>
        <v>16/17</v>
      </c>
      <c r="C24" s="29">
        <v>3</v>
      </c>
      <c r="D24" s="29">
        <f t="shared" si="1"/>
        <v>67693.035600000003</v>
      </c>
      <c r="E24" s="29">
        <f t="shared" si="2"/>
        <v>71388.021000000008</v>
      </c>
      <c r="F24" s="29">
        <f t="shared" si="3"/>
        <v>61623.0556</v>
      </c>
      <c r="G24" s="29">
        <f t="shared" si="4"/>
        <v>66286.704400000002</v>
      </c>
      <c r="J24" s="29" t="s">
        <v>16</v>
      </c>
      <c r="K24" s="29">
        <v>3</v>
      </c>
      <c r="L24" s="68">
        <f t="shared" ref="L24:L33" si="6">D24/D23-1</f>
        <v>7.0044849576966994E-2</v>
      </c>
      <c r="M24" s="68">
        <f t="shared" si="5"/>
        <v>0.16746785735662506</v>
      </c>
      <c r="N24" s="68">
        <f t="shared" si="5"/>
        <v>1.1423479794361313E-2</v>
      </c>
      <c r="O24" s="68">
        <f t="shared" si="5"/>
        <v>6.7951350294986224E-2</v>
      </c>
    </row>
    <row r="25" spans="2:15" x14ac:dyDescent="0.55000000000000004">
      <c r="B25" s="29" t="str">
        <f t="shared" si="0"/>
        <v>17/18</v>
      </c>
      <c r="C25" s="29">
        <v>4</v>
      </c>
      <c r="D25" s="29">
        <f t="shared" si="1"/>
        <v>74175.3272</v>
      </c>
      <c r="E25" s="29">
        <f t="shared" si="2"/>
        <v>68341.423999999999</v>
      </c>
      <c r="F25" s="29">
        <f t="shared" si="3"/>
        <v>71967.311600000001</v>
      </c>
      <c r="G25" s="29">
        <f t="shared" si="4"/>
        <v>68362.80720000001</v>
      </c>
      <c r="J25" s="29" t="s">
        <v>18</v>
      </c>
      <c r="K25" s="29">
        <v>4</v>
      </c>
      <c r="L25" s="68">
        <f t="shared" si="6"/>
        <v>9.5760096183365562E-2</v>
      </c>
      <c r="M25" s="68">
        <f t="shared" si="5"/>
        <v>-4.2676585753792073E-2</v>
      </c>
      <c r="N25" s="68">
        <f t="shared" si="5"/>
        <v>0.16786340598144567</v>
      </c>
      <c r="O25" s="68">
        <f t="shared" si="5"/>
        <v>3.1320048549585255E-2</v>
      </c>
    </row>
    <row r="26" spans="2:15" x14ac:dyDescent="0.55000000000000004">
      <c r="B26" s="29" t="str">
        <f t="shared" si="0"/>
        <v>18/19</v>
      </c>
      <c r="C26" s="29">
        <v>5</v>
      </c>
      <c r="D26" s="29">
        <f t="shared" si="1"/>
        <v>72227.517600000006</v>
      </c>
      <c r="E26" s="29">
        <f t="shared" si="2"/>
        <v>76946.370600000024</v>
      </c>
      <c r="F26" s="29">
        <f t="shared" si="3"/>
        <v>68794.112999999998</v>
      </c>
      <c r="G26" s="29">
        <f t="shared" si="4"/>
        <v>76795.392800000001</v>
      </c>
      <c r="J26" s="29" t="s">
        <v>20</v>
      </c>
      <c r="K26" s="29">
        <v>5</v>
      </c>
      <c r="L26" s="68">
        <f t="shared" si="6"/>
        <v>-2.6259534989958144E-2</v>
      </c>
      <c r="M26" s="68">
        <f t="shared" si="5"/>
        <v>0.12591113992591119</v>
      </c>
      <c r="N26" s="68">
        <f t="shared" si="5"/>
        <v>-4.4092220891019163E-2</v>
      </c>
      <c r="O26" s="68">
        <f t="shared" si="5"/>
        <v>0.12335048757330713</v>
      </c>
    </row>
    <row r="27" spans="2:15" x14ac:dyDescent="0.55000000000000004">
      <c r="B27" s="29" t="str">
        <f t="shared" si="0"/>
        <v>19/20</v>
      </c>
      <c r="C27" s="29">
        <v>6</v>
      </c>
      <c r="D27" s="29">
        <f t="shared" si="1"/>
        <v>72334.838600000017</v>
      </c>
      <c r="E27" s="29">
        <f t="shared" si="2"/>
        <v>73002.454399999988</v>
      </c>
      <c r="F27" s="29">
        <f t="shared" si="3"/>
        <v>56141.342199999999</v>
      </c>
      <c r="G27" s="29">
        <f t="shared" si="4"/>
        <v>69774.501799999998</v>
      </c>
      <c r="J27" s="29" t="s">
        <v>22</v>
      </c>
      <c r="K27" s="29">
        <v>6</v>
      </c>
      <c r="L27" s="68">
        <f t="shared" si="6"/>
        <v>1.4858741317174129E-3</v>
      </c>
      <c r="M27" s="68">
        <f t="shared" si="5"/>
        <v>-5.1255389555697084E-2</v>
      </c>
      <c r="N27" s="68">
        <f t="shared" si="5"/>
        <v>-0.18392228997850435</v>
      </c>
      <c r="O27" s="68">
        <f t="shared" si="5"/>
        <v>-9.1423336010334255E-2</v>
      </c>
    </row>
    <row r="28" spans="2:15" x14ac:dyDescent="0.55000000000000004">
      <c r="B28" s="29" t="str">
        <f t="shared" si="0"/>
        <v>20/21</v>
      </c>
      <c r="C28" s="29">
        <v>7</v>
      </c>
      <c r="D28" s="29">
        <f t="shared" si="1"/>
        <v>72655.239600000001</v>
      </c>
      <c r="E28" s="29">
        <f t="shared" si="2"/>
        <v>74102.776600000012</v>
      </c>
      <c r="F28" s="29">
        <f t="shared" si="3"/>
        <v>80453.883999999991</v>
      </c>
      <c r="G28" s="29">
        <f t="shared" si="4"/>
        <v>79786.149200000014</v>
      </c>
      <c r="J28" s="29" t="s">
        <v>24</v>
      </c>
      <c r="K28" s="29">
        <v>7</v>
      </c>
      <c r="L28" s="68">
        <f t="shared" si="6"/>
        <v>4.4294147357091251E-3</v>
      </c>
      <c r="M28" s="68">
        <f t="shared" si="5"/>
        <v>1.5072400086318494E-2</v>
      </c>
      <c r="N28" s="68">
        <f t="shared" si="5"/>
        <v>0.4330595038748466</v>
      </c>
      <c r="O28" s="68">
        <f t="shared" si="5"/>
        <v>0.14348575972204247</v>
      </c>
    </row>
    <row r="29" spans="2:15" x14ac:dyDescent="0.55000000000000004">
      <c r="B29" s="29" t="str">
        <f t="shared" si="0"/>
        <v>21/22</v>
      </c>
      <c r="C29" s="29">
        <v>8</v>
      </c>
      <c r="D29" s="29">
        <f t="shared" si="1"/>
        <v>86026.968200000003</v>
      </c>
      <c r="E29" s="29">
        <f t="shared" si="2"/>
        <v>77599.838400000008</v>
      </c>
      <c r="F29" s="29">
        <f t="shared" si="3"/>
        <v>70528.515800000008</v>
      </c>
      <c r="G29" s="29">
        <f t="shared" si="4"/>
        <v>84464.1924</v>
      </c>
      <c r="J29" s="29" t="s">
        <v>26</v>
      </c>
      <c r="K29" s="29">
        <v>8</v>
      </c>
      <c r="L29" s="68">
        <f t="shared" si="6"/>
        <v>0.18404355520148896</v>
      </c>
      <c r="M29" s="68">
        <f t="shared" si="5"/>
        <v>4.7192048131702524E-2</v>
      </c>
      <c r="N29" s="68">
        <f t="shared" si="5"/>
        <v>-0.12336717267745567</v>
      </c>
      <c r="O29" s="68">
        <f t="shared" si="5"/>
        <v>5.8632271978354744E-2</v>
      </c>
    </row>
    <row r="30" spans="2:15" x14ac:dyDescent="0.55000000000000004">
      <c r="B30" s="29" t="str">
        <f t="shared" si="0"/>
        <v>22/23</v>
      </c>
      <c r="C30" s="29">
        <v>9</v>
      </c>
      <c r="D30" s="29">
        <f t="shared" si="1"/>
        <v>90394.969600000011</v>
      </c>
      <c r="E30" s="29">
        <f t="shared" si="2"/>
        <v>86219.051800000001</v>
      </c>
      <c r="F30" s="29">
        <f t="shared" si="3"/>
        <v>77589.6152</v>
      </c>
      <c r="G30" s="29">
        <f t="shared" si="4"/>
        <v>83045.922800000015</v>
      </c>
      <c r="J30" s="29" t="s">
        <v>28</v>
      </c>
      <c r="K30" s="29">
        <v>9</v>
      </c>
      <c r="L30" s="68">
        <f t="shared" si="6"/>
        <v>5.0774791805344721E-2</v>
      </c>
      <c r="M30" s="68">
        <f t="shared" si="5"/>
        <v>0.11107256893462791</v>
      </c>
      <c r="N30" s="68">
        <f t="shared" si="5"/>
        <v>0.10011694305354979</v>
      </c>
      <c r="O30" s="68">
        <f t="shared" si="5"/>
        <v>-1.6791371108876962E-2</v>
      </c>
    </row>
    <row r="31" spans="2:15" x14ac:dyDescent="0.55000000000000004">
      <c r="B31" s="29" t="str">
        <f t="shared" si="0"/>
        <v>23/24</v>
      </c>
      <c r="C31" s="29">
        <v>10</v>
      </c>
      <c r="D31" s="29">
        <f t="shared" si="1"/>
        <v>79333.890599999984</v>
      </c>
      <c r="E31" s="29">
        <f t="shared" si="2"/>
        <v>86464.578000000023</v>
      </c>
      <c r="F31" s="29">
        <f t="shared" si="3"/>
        <v>95188.935200000007</v>
      </c>
      <c r="G31" s="29">
        <f t="shared" si="4"/>
        <v>92296.681599999982</v>
      </c>
      <c r="J31" s="29" t="s">
        <v>30</v>
      </c>
      <c r="K31" s="29">
        <v>10</v>
      </c>
      <c r="L31" s="68">
        <f t="shared" si="6"/>
        <v>-0.12236387764657231</v>
      </c>
      <c r="M31" s="68">
        <f t="shared" si="5"/>
        <v>2.847702391457041E-3</v>
      </c>
      <c r="N31" s="68">
        <f t="shared" si="5"/>
        <v>0.22682571571768806</v>
      </c>
      <c r="O31" s="68">
        <f t="shared" si="5"/>
        <v>0.11139329286855681</v>
      </c>
    </row>
    <row r="32" spans="2:15" x14ac:dyDescent="0.55000000000000004">
      <c r="B32" s="29" t="str">
        <f t="shared" si="0"/>
        <v>24/25</v>
      </c>
      <c r="C32" s="29">
        <v>11</v>
      </c>
      <c r="D32" s="29">
        <f t="shared" si="1"/>
        <v>75991.095400000006</v>
      </c>
      <c r="E32" s="29">
        <f t="shared" si="2"/>
        <v>90505.779200000019</v>
      </c>
      <c r="F32" s="29">
        <f t="shared" si="3"/>
        <v>76487.702400000024</v>
      </c>
      <c r="G32" s="29">
        <f t="shared" si="4"/>
        <v>74200.811799999996</v>
      </c>
      <c r="J32" s="29" t="s">
        <v>74</v>
      </c>
      <c r="K32" s="29">
        <v>11</v>
      </c>
      <c r="L32" s="68">
        <f t="shared" si="6"/>
        <v>-4.2135777972295507E-2</v>
      </c>
      <c r="M32" s="68">
        <f t="shared" si="5"/>
        <v>4.6738228456975728E-2</v>
      </c>
      <c r="N32" s="68">
        <f t="shared" si="5"/>
        <v>-0.19646435544958152</v>
      </c>
      <c r="O32" s="68">
        <f t="shared" si="5"/>
        <v>-0.19606197629536437</v>
      </c>
    </row>
    <row r="33" spans="2:15" x14ac:dyDescent="0.55000000000000004">
      <c r="B33" s="29" t="str">
        <f t="shared" si="0"/>
        <v>25/26</v>
      </c>
      <c r="C33" s="29">
        <v>12</v>
      </c>
      <c r="D33" s="29">
        <f t="shared" si="1"/>
        <v>31141.410400000001</v>
      </c>
      <c r="J33" s="29" t="s">
        <v>165</v>
      </c>
      <c r="K33" s="29">
        <v>12</v>
      </c>
      <c r="L33" s="68">
        <f t="shared" si="6"/>
        <v>-0.59019658505935957</v>
      </c>
      <c r="M33" s="68"/>
      <c r="N33" s="68"/>
      <c r="O33" s="68"/>
    </row>
    <row r="39" spans="2:15" x14ac:dyDescent="0.55000000000000004">
      <c r="D39" s="91"/>
    </row>
    <row r="41" spans="2:15" x14ac:dyDescent="0.55000000000000004">
      <c r="D41" s="29" t="s">
        <v>206</v>
      </c>
      <c r="E41" s="29">
        <v>1</v>
      </c>
      <c r="F41" s="29">
        <v>2</v>
      </c>
      <c r="G41" s="29">
        <v>3</v>
      </c>
      <c r="H41" s="29">
        <v>4</v>
      </c>
      <c r="J41" s="29" t="s">
        <v>8</v>
      </c>
    </row>
    <row r="42" spans="2:15" x14ac:dyDescent="0.55000000000000004">
      <c r="C42" s="29">
        <v>1</v>
      </c>
      <c r="D42" s="29" t="s">
        <v>18</v>
      </c>
      <c r="E42" s="68">
        <f>L25</f>
        <v>9.5760096183365562E-2</v>
      </c>
      <c r="F42" s="68">
        <f t="shared" ref="F42:H42" si="7">M25</f>
        <v>-4.2676585753792073E-2</v>
      </c>
      <c r="G42" s="68">
        <f t="shared" si="7"/>
        <v>0.16786340598144567</v>
      </c>
      <c r="H42" s="68">
        <f t="shared" si="7"/>
        <v>3.1320048549585255E-2</v>
      </c>
      <c r="J42" s="68">
        <v>3.9868605790881917E-2</v>
      </c>
      <c r="K42" s="68">
        <v>5.5015438230887614E-2</v>
      </c>
      <c r="L42" s="68">
        <v>7.2714401903786419E-2</v>
      </c>
      <c r="M42" s="68">
        <v>2.7091394564750182E-2</v>
      </c>
    </row>
    <row r="43" spans="2:15" x14ac:dyDescent="0.55000000000000004">
      <c r="C43" s="29">
        <v>2</v>
      </c>
      <c r="D43" s="29" t="s">
        <v>20</v>
      </c>
      <c r="E43" s="68">
        <f t="shared" ref="E43:E49" si="8">L26</f>
        <v>-2.6259534989958144E-2</v>
      </c>
      <c r="F43" s="68">
        <f t="shared" ref="F43:F49" si="9">M26</f>
        <v>0.12591113992591119</v>
      </c>
      <c r="G43" s="68">
        <f t="shared" ref="G43:G49" si="10">N26</f>
        <v>-4.4092220891019163E-2</v>
      </c>
      <c r="H43" s="68">
        <f t="shared" ref="H43:H49" si="11">O26</f>
        <v>0.12335048757330713</v>
      </c>
      <c r="J43" s="68">
        <v>1.6465413291214537E-2</v>
      </c>
      <c r="K43" s="68">
        <v>3.3275488795643238E-2</v>
      </c>
      <c r="L43" s="68">
        <v>-3.1504398934034228E-2</v>
      </c>
      <c r="M43" s="68">
        <v>-5.0120896007399551E-4</v>
      </c>
    </row>
    <row r="44" spans="2:15" x14ac:dyDescent="0.55000000000000004">
      <c r="C44" s="29">
        <v>3</v>
      </c>
      <c r="D44" s="29" t="s">
        <v>22</v>
      </c>
      <c r="E44" s="68">
        <f t="shared" si="8"/>
        <v>1.4858741317174129E-3</v>
      </c>
      <c r="F44" s="68">
        <f t="shared" si="9"/>
        <v>-5.1255389555697084E-2</v>
      </c>
      <c r="G44" s="68">
        <f t="shared" si="10"/>
        <v>-0.18392228997850435</v>
      </c>
      <c r="H44" s="68">
        <f t="shared" si="11"/>
        <v>-9.1423336010334255E-2</v>
      </c>
      <c r="J44" s="68">
        <v>-1.0865963247313482E-2</v>
      </c>
      <c r="K44" s="68">
        <v>-3.847618121876395E-3</v>
      </c>
      <c r="L44" s="68">
        <v>-8.9251645452173123E-2</v>
      </c>
      <c r="M44" s="68">
        <v>-4.7418306056097426E-2</v>
      </c>
    </row>
    <row r="45" spans="2:15" x14ac:dyDescent="0.55000000000000004">
      <c r="C45" s="29">
        <v>4</v>
      </c>
      <c r="D45" s="29" t="s">
        <v>24</v>
      </c>
      <c r="E45" s="68">
        <f t="shared" si="8"/>
        <v>4.4294147357091251E-3</v>
      </c>
      <c r="F45" s="68">
        <f t="shared" si="9"/>
        <v>1.5072400086318494E-2</v>
      </c>
      <c r="G45" s="68">
        <f t="shared" si="10"/>
        <v>0.4330595038748466</v>
      </c>
      <c r="H45" s="68">
        <f t="shared" si="11"/>
        <v>0.14348575972204247</v>
      </c>
      <c r="J45" s="68">
        <v>-3.1109146652177233E-2</v>
      </c>
      <c r="K45" s="68">
        <v>-3.0138181897033101E-2</v>
      </c>
      <c r="L45" s="68">
        <v>0.13608695098501156</v>
      </c>
      <c r="M45" s="68">
        <v>8.7007202151968333E-2</v>
      </c>
    </row>
    <row r="46" spans="2:15" x14ac:dyDescent="0.55000000000000004">
      <c r="C46" s="29">
        <v>5</v>
      </c>
      <c r="D46" s="29" t="s">
        <v>26</v>
      </c>
      <c r="E46" s="68">
        <f t="shared" si="8"/>
        <v>0.18404355520148896</v>
      </c>
      <c r="F46" s="68">
        <f t="shared" si="9"/>
        <v>4.7192048131702524E-2</v>
      </c>
      <c r="G46" s="68">
        <f t="shared" si="10"/>
        <v>-0.12336717267745567</v>
      </c>
      <c r="H46" s="68">
        <f t="shared" si="11"/>
        <v>5.8632271978354744E-2</v>
      </c>
      <c r="J46" s="68">
        <v>6.2981075167586331E-2</v>
      </c>
      <c r="K46" s="68">
        <v>4.3829912105417534E-2</v>
      </c>
      <c r="L46" s="68">
        <v>2.0251979801263253E-2</v>
      </c>
      <c r="M46" s="68">
        <v>-1.631671239000454E-2</v>
      </c>
    </row>
    <row r="47" spans="2:15" x14ac:dyDescent="0.55000000000000004">
      <c r="C47" s="29">
        <v>6</v>
      </c>
      <c r="D47" s="29" t="s">
        <v>28</v>
      </c>
      <c r="E47" s="68">
        <f t="shared" si="8"/>
        <v>5.0774791805344721E-2</v>
      </c>
      <c r="F47" s="68">
        <f t="shared" si="9"/>
        <v>0.11107256893462791</v>
      </c>
      <c r="G47" s="68">
        <f t="shared" si="10"/>
        <v>0.10011694305354979</v>
      </c>
      <c r="H47" s="68">
        <f t="shared" si="11"/>
        <v>-1.6791371108876962E-2</v>
      </c>
      <c r="J47" s="68">
        <v>-1.7081891390989146E-2</v>
      </c>
      <c r="K47" s="68">
        <v>5.0254619837322156E-3</v>
      </c>
      <c r="L47" s="68">
        <v>-5.7124650833193735E-2</v>
      </c>
      <c r="M47" s="68">
        <v>-9.1457724133640061E-3</v>
      </c>
    </row>
    <row r="48" spans="2:15" x14ac:dyDescent="0.55000000000000004">
      <c r="C48" s="29">
        <v>7</v>
      </c>
      <c r="D48" s="29" t="s">
        <v>30</v>
      </c>
      <c r="E48" s="68">
        <f t="shared" si="8"/>
        <v>-0.12236387764657231</v>
      </c>
      <c r="F48" s="68">
        <f t="shared" si="9"/>
        <v>2.847702391457041E-3</v>
      </c>
      <c r="G48" s="68">
        <f t="shared" si="10"/>
        <v>0.22682571571768806</v>
      </c>
      <c r="H48" s="68">
        <f t="shared" si="11"/>
        <v>0.11139329286855681</v>
      </c>
      <c r="J48" s="68">
        <v>-2.4578880184216501E-2</v>
      </c>
      <c r="K48" s="68">
        <v>-2.154645354645357E-2</v>
      </c>
      <c r="L48" s="68">
        <v>4.1420635452381838E-2</v>
      </c>
      <c r="M48" s="68">
        <v>-3.2661930996074284E-2</v>
      </c>
    </row>
    <row r="49" spans="3:13" x14ac:dyDescent="0.55000000000000004">
      <c r="C49" s="29">
        <v>8</v>
      </c>
      <c r="D49" s="29" t="s">
        <v>74</v>
      </c>
      <c r="E49" s="68">
        <f t="shared" si="8"/>
        <v>-4.2135777972295507E-2</v>
      </c>
      <c r="F49" s="68">
        <f t="shared" si="9"/>
        <v>4.6738228456975728E-2</v>
      </c>
      <c r="G49" s="68">
        <f t="shared" si="10"/>
        <v>-0.19646435544958152</v>
      </c>
      <c r="H49" s="68">
        <f t="shared" si="11"/>
        <v>-0.19606197629536437</v>
      </c>
      <c r="J49" s="68">
        <v>-5.3846307368156987E-2</v>
      </c>
      <c r="K49" s="68">
        <v>-3.7477503968286419E-2</v>
      </c>
      <c r="L49" s="68">
        <v>-7.1999597205050558E-2</v>
      </c>
      <c r="M49" s="68">
        <v>-4.7923710397534514E-2</v>
      </c>
    </row>
    <row r="50" spans="3:13" x14ac:dyDescent="0.55000000000000004">
      <c r="D50" s="29" t="s">
        <v>165</v>
      </c>
    </row>
    <row r="54" spans="3:13" x14ac:dyDescent="0.55000000000000004">
      <c r="G54" s="29" t="s">
        <v>203</v>
      </c>
      <c r="H54" s="29" t="s">
        <v>8</v>
      </c>
    </row>
    <row r="55" spans="3:13" x14ac:dyDescent="0.55000000000000004">
      <c r="E55" s="29">
        <v>1</v>
      </c>
      <c r="F55" s="29">
        <v>1</v>
      </c>
      <c r="G55" s="68">
        <f>INDEX($E$42:$H$49,MATCH(E55,$C$42:$C$49),MATCH(F55,$E$41:$H$41))</f>
        <v>9.5760096183365562E-2</v>
      </c>
      <c r="H55" s="68">
        <f>INDEX($J$42:$M$49,MATCH(E55,$C$42:$C$49),MATCH(F55,$E$41:$H$41))</f>
        <v>3.9868605790881917E-2</v>
      </c>
    </row>
    <row r="56" spans="3:13" x14ac:dyDescent="0.55000000000000004">
      <c r="E56" s="29">
        <v>1</v>
      </c>
      <c r="F56" s="29">
        <v>2</v>
      </c>
      <c r="G56" s="68">
        <f t="shared" ref="G56:G86" si="12">INDEX($E$42:$H$49,MATCH(E56,$C$42:$C$49),MATCH(F56,$E$41:$H$41))</f>
        <v>-4.2676585753792073E-2</v>
      </c>
      <c r="H56" s="68">
        <f t="shared" ref="H56:H86" si="13">INDEX($J$42:$M$49,MATCH(E56,$C$42:$C$49),MATCH(F56,$E$41:$H$41))</f>
        <v>5.5015438230887614E-2</v>
      </c>
    </row>
    <row r="57" spans="3:13" x14ac:dyDescent="0.55000000000000004">
      <c r="E57" s="29">
        <v>1</v>
      </c>
      <c r="F57" s="29">
        <v>3</v>
      </c>
      <c r="G57" s="68">
        <f t="shared" si="12"/>
        <v>0.16786340598144567</v>
      </c>
      <c r="H57" s="68">
        <f t="shared" si="13"/>
        <v>7.2714401903786419E-2</v>
      </c>
    </row>
    <row r="58" spans="3:13" x14ac:dyDescent="0.55000000000000004">
      <c r="E58" s="29">
        <v>1</v>
      </c>
      <c r="F58" s="29">
        <v>4</v>
      </c>
      <c r="G58" s="68">
        <f t="shared" si="12"/>
        <v>3.1320048549585255E-2</v>
      </c>
      <c r="H58" s="68">
        <f t="shared" si="13"/>
        <v>2.7091394564750182E-2</v>
      </c>
    </row>
    <row r="59" spans="3:13" x14ac:dyDescent="0.55000000000000004">
      <c r="E59" s="29">
        <f>E55+1</f>
        <v>2</v>
      </c>
      <c r="F59" s="29">
        <f>F55</f>
        <v>1</v>
      </c>
      <c r="G59" s="68">
        <f t="shared" si="12"/>
        <v>-2.6259534989958144E-2</v>
      </c>
      <c r="H59" s="68">
        <f t="shared" si="13"/>
        <v>1.6465413291214537E-2</v>
      </c>
    </row>
    <row r="60" spans="3:13" x14ac:dyDescent="0.55000000000000004">
      <c r="E60" s="29">
        <f t="shared" ref="E60:E86" si="14">E56+1</f>
        <v>2</v>
      </c>
      <c r="F60" s="29">
        <f t="shared" ref="F60:F86" si="15">F56</f>
        <v>2</v>
      </c>
      <c r="G60" s="68">
        <f t="shared" si="12"/>
        <v>0.12591113992591119</v>
      </c>
      <c r="H60" s="68">
        <f t="shared" si="13"/>
        <v>3.3275488795643238E-2</v>
      </c>
    </row>
    <row r="61" spans="3:13" x14ac:dyDescent="0.55000000000000004">
      <c r="E61" s="29">
        <f t="shared" si="14"/>
        <v>2</v>
      </c>
      <c r="F61" s="29">
        <f t="shared" si="15"/>
        <v>3</v>
      </c>
      <c r="G61" s="68">
        <f t="shared" si="12"/>
        <v>-4.4092220891019163E-2</v>
      </c>
      <c r="H61" s="68">
        <f t="shared" si="13"/>
        <v>-3.1504398934034228E-2</v>
      </c>
    </row>
    <row r="62" spans="3:13" x14ac:dyDescent="0.55000000000000004">
      <c r="E62" s="29">
        <f t="shared" si="14"/>
        <v>2</v>
      </c>
      <c r="F62" s="29">
        <f t="shared" si="15"/>
        <v>4</v>
      </c>
      <c r="G62" s="68">
        <f t="shared" si="12"/>
        <v>0.12335048757330713</v>
      </c>
      <c r="H62" s="68">
        <f t="shared" si="13"/>
        <v>-5.0120896007399551E-4</v>
      </c>
    </row>
    <row r="63" spans="3:13" x14ac:dyDescent="0.55000000000000004">
      <c r="E63" s="29">
        <f t="shared" si="14"/>
        <v>3</v>
      </c>
      <c r="F63" s="29">
        <f t="shared" si="15"/>
        <v>1</v>
      </c>
      <c r="G63" s="68">
        <f t="shared" si="12"/>
        <v>1.4858741317174129E-3</v>
      </c>
      <c r="H63" s="68">
        <f t="shared" si="13"/>
        <v>-1.0865963247313482E-2</v>
      </c>
    </row>
    <row r="64" spans="3:13" x14ac:dyDescent="0.55000000000000004">
      <c r="E64" s="29">
        <f t="shared" si="14"/>
        <v>3</v>
      </c>
      <c r="F64" s="29">
        <f t="shared" si="15"/>
        <v>2</v>
      </c>
      <c r="G64" s="68">
        <f t="shared" si="12"/>
        <v>-5.1255389555697084E-2</v>
      </c>
      <c r="H64" s="68">
        <f t="shared" si="13"/>
        <v>-3.847618121876395E-3</v>
      </c>
    </row>
    <row r="65" spans="5:8" x14ac:dyDescent="0.55000000000000004">
      <c r="E65" s="29">
        <f t="shared" si="14"/>
        <v>3</v>
      </c>
      <c r="F65" s="29">
        <f t="shared" si="15"/>
        <v>3</v>
      </c>
      <c r="G65" s="68">
        <f t="shared" si="12"/>
        <v>-0.18392228997850435</v>
      </c>
      <c r="H65" s="68">
        <f t="shared" si="13"/>
        <v>-8.9251645452173123E-2</v>
      </c>
    </row>
    <row r="66" spans="5:8" x14ac:dyDescent="0.55000000000000004">
      <c r="E66" s="29">
        <f t="shared" si="14"/>
        <v>3</v>
      </c>
      <c r="F66" s="29">
        <f t="shared" si="15"/>
        <v>4</v>
      </c>
      <c r="G66" s="68">
        <f t="shared" si="12"/>
        <v>-9.1423336010334255E-2</v>
      </c>
      <c r="H66" s="68">
        <f t="shared" si="13"/>
        <v>-4.7418306056097426E-2</v>
      </c>
    </row>
    <row r="67" spans="5:8" x14ac:dyDescent="0.55000000000000004">
      <c r="E67" s="29">
        <f t="shared" si="14"/>
        <v>4</v>
      </c>
      <c r="F67" s="29">
        <f t="shared" si="15"/>
        <v>1</v>
      </c>
      <c r="G67" s="68">
        <f t="shared" si="12"/>
        <v>4.4294147357091251E-3</v>
      </c>
      <c r="H67" s="68">
        <f t="shared" si="13"/>
        <v>-3.1109146652177233E-2</v>
      </c>
    </row>
    <row r="68" spans="5:8" x14ac:dyDescent="0.55000000000000004">
      <c r="E68" s="29">
        <f t="shared" si="14"/>
        <v>4</v>
      </c>
      <c r="F68" s="29">
        <f t="shared" si="15"/>
        <v>2</v>
      </c>
      <c r="G68" s="68">
        <f t="shared" si="12"/>
        <v>1.5072400086318494E-2</v>
      </c>
      <c r="H68" s="68">
        <f t="shared" si="13"/>
        <v>-3.0138181897033101E-2</v>
      </c>
    </row>
    <row r="69" spans="5:8" x14ac:dyDescent="0.55000000000000004">
      <c r="E69" s="29">
        <f t="shared" si="14"/>
        <v>4</v>
      </c>
      <c r="F69" s="29">
        <f t="shared" si="15"/>
        <v>3</v>
      </c>
      <c r="G69" s="68">
        <f t="shared" si="12"/>
        <v>0.4330595038748466</v>
      </c>
      <c r="H69" s="68">
        <f t="shared" si="13"/>
        <v>0.13608695098501156</v>
      </c>
    </row>
    <row r="70" spans="5:8" x14ac:dyDescent="0.55000000000000004">
      <c r="E70" s="29">
        <f t="shared" si="14"/>
        <v>4</v>
      </c>
      <c r="F70" s="29">
        <f t="shared" si="15"/>
        <v>4</v>
      </c>
      <c r="G70" s="68">
        <f t="shared" si="12"/>
        <v>0.14348575972204247</v>
      </c>
      <c r="H70" s="68">
        <f t="shared" si="13"/>
        <v>8.7007202151968333E-2</v>
      </c>
    </row>
    <row r="71" spans="5:8" x14ac:dyDescent="0.55000000000000004">
      <c r="E71" s="29">
        <f t="shared" si="14"/>
        <v>5</v>
      </c>
      <c r="F71" s="29">
        <f t="shared" si="15"/>
        <v>1</v>
      </c>
      <c r="G71" s="68">
        <f t="shared" si="12"/>
        <v>0.18404355520148896</v>
      </c>
      <c r="H71" s="68">
        <f t="shared" si="13"/>
        <v>6.2981075167586331E-2</v>
      </c>
    </row>
    <row r="72" spans="5:8" x14ac:dyDescent="0.55000000000000004">
      <c r="E72" s="29">
        <f t="shared" si="14"/>
        <v>5</v>
      </c>
      <c r="F72" s="29">
        <f t="shared" si="15"/>
        <v>2</v>
      </c>
      <c r="G72" s="68">
        <f t="shared" si="12"/>
        <v>4.7192048131702524E-2</v>
      </c>
      <c r="H72" s="68">
        <f t="shared" si="13"/>
        <v>4.3829912105417534E-2</v>
      </c>
    </row>
    <row r="73" spans="5:8" x14ac:dyDescent="0.55000000000000004">
      <c r="E73" s="29">
        <f t="shared" si="14"/>
        <v>5</v>
      </c>
      <c r="F73" s="29">
        <f t="shared" si="15"/>
        <v>3</v>
      </c>
      <c r="G73" s="68">
        <f t="shared" si="12"/>
        <v>-0.12336717267745567</v>
      </c>
      <c r="H73" s="68">
        <f t="shared" si="13"/>
        <v>2.0251979801263253E-2</v>
      </c>
    </row>
    <row r="74" spans="5:8" x14ac:dyDescent="0.55000000000000004">
      <c r="E74" s="29">
        <f t="shared" si="14"/>
        <v>5</v>
      </c>
      <c r="F74" s="29">
        <f t="shared" si="15"/>
        <v>4</v>
      </c>
      <c r="G74" s="68">
        <f t="shared" si="12"/>
        <v>5.8632271978354744E-2</v>
      </c>
      <c r="H74" s="68">
        <f t="shared" si="13"/>
        <v>-1.631671239000454E-2</v>
      </c>
    </row>
    <row r="75" spans="5:8" x14ac:dyDescent="0.55000000000000004">
      <c r="E75" s="29">
        <f t="shared" si="14"/>
        <v>6</v>
      </c>
      <c r="F75" s="29">
        <f t="shared" si="15"/>
        <v>1</v>
      </c>
      <c r="G75" s="68">
        <f t="shared" si="12"/>
        <v>5.0774791805344721E-2</v>
      </c>
      <c r="H75" s="68">
        <f t="shared" si="13"/>
        <v>-1.7081891390989146E-2</v>
      </c>
    </row>
    <row r="76" spans="5:8" x14ac:dyDescent="0.55000000000000004">
      <c r="E76" s="29">
        <f t="shared" si="14"/>
        <v>6</v>
      </c>
      <c r="F76" s="29">
        <f t="shared" si="15"/>
        <v>2</v>
      </c>
      <c r="G76" s="68">
        <f t="shared" si="12"/>
        <v>0.11107256893462791</v>
      </c>
      <c r="H76" s="68">
        <f t="shared" si="13"/>
        <v>5.0254619837322156E-3</v>
      </c>
    </row>
    <row r="77" spans="5:8" x14ac:dyDescent="0.55000000000000004">
      <c r="E77" s="29">
        <f t="shared" si="14"/>
        <v>6</v>
      </c>
      <c r="F77" s="29">
        <f t="shared" si="15"/>
        <v>3</v>
      </c>
      <c r="G77" s="68">
        <f t="shared" si="12"/>
        <v>0.10011694305354979</v>
      </c>
      <c r="H77" s="68">
        <f t="shared" si="13"/>
        <v>-5.7124650833193735E-2</v>
      </c>
    </row>
    <row r="78" spans="5:8" x14ac:dyDescent="0.55000000000000004">
      <c r="E78" s="29">
        <f t="shared" si="14"/>
        <v>6</v>
      </c>
      <c r="F78" s="29">
        <f t="shared" si="15"/>
        <v>4</v>
      </c>
      <c r="G78" s="68">
        <f t="shared" si="12"/>
        <v>-1.6791371108876962E-2</v>
      </c>
      <c r="H78" s="68">
        <f t="shared" si="13"/>
        <v>-9.1457724133640061E-3</v>
      </c>
    </row>
    <row r="79" spans="5:8" x14ac:dyDescent="0.55000000000000004">
      <c r="E79" s="29">
        <f t="shared" si="14"/>
        <v>7</v>
      </c>
      <c r="F79" s="29">
        <f t="shared" si="15"/>
        <v>1</v>
      </c>
      <c r="G79" s="68">
        <f t="shared" si="12"/>
        <v>-0.12236387764657231</v>
      </c>
      <c r="H79" s="68">
        <f t="shared" si="13"/>
        <v>-2.4578880184216501E-2</v>
      </c>
    </row>
    <row r="80" spans="5:8" x14ac:dyDescent="0.55000000000000004">
      <c r="E80" s="29">
        <f>E76+1</f>
        <v>7</v>
      </c>
      <c r="F80" s="29">
        <f>F76</f>
        <v>2</v>
      </c>
      <c r="G80" s="68">
        <f t="shared" si="12"/>
        <v>2.847702391457041E-3</v>
      </c>
      <c r="H80" s="68">
        <f t="shared" si="13"/>
        <v>-2.154645354645357E-2</v>
      </c>
    </row>
    <row r="81" spans="5:11" x14ac:dyDescent="0.55000000000000004">
      <c r="E81" s="29">
        <f t="shared" si="14"/>
        <v>7</v>
      </c>
      <c r="F81" s="29">
        <f t="shared" si="15"/>
        <v>3</v>
      </c>
      <c r="G81" s="68">
        <f t="shared" si="12"/>
        <v>0.22682571571768806</v>
      </c>
      <c r="H81" s="68">
        <f t="shared" si="13"/>
        <v>4.1420635452381838E-2</v>
      </c>
    </row>
    <row r="82" spans="5:11" x14ac:dyDescent="0.55000000000000004">
      <c r="E82" s="29">
        <f t="shared" si="14"/>
        <v>7</v>
      </c>
      <c r="F82" s="29">
        <f t="shared" si="15"/>
        <v>4</v>
      </c>
      <c r="G82" s="68">
        <f t="shared" si="12"/>
        <v>0.11139329286855681</v>
      </c>
      <c r="H82" s="68">
        <f t="shared" si="13"/>
        <v>-3.2661930996074284E-2</v>
      </c>
      <c r="J82" s="29" cm="1">
        <f t="array" ref="J82:K82">LINEST(H55:H86,G55:G86)</f>
        <v>0.27507809857741167</v>
      </c>
      <c r="K82" s="29">
        <v>-7.9104394673796229E-3</v>
      </c>
    </row>
    <row r="83" spans="5:11" x14ac:dyDescent="0.55000000000000004">
      <c r="E83" s="29">
        <f t="shared" si="14"/>
        <v>8</v>
      </c>
      <c r="F83" s="29">
        <f t="shared" si="15"/>
        <v>1</v>
      </c>
      <c r="G83" s="68">
        <f t="shared" si="12"/>
        <v>-4.2135777972295507E-2</v>
      </c>
      <c r="H83" s="68">
        <f t="shared" si="13"/>
        <v>-5.3846307368156987E-2</v>
      </c>
    </row>
    <row r="84" spans="5:11" x14ac:dyDescent="0.55000000000000004">
      <c r="E84" s="29">
        <f t="shared" si="14"/>
        <v>8</v>
      </c>
      <c r="F84" s="29">
        <f t="shared" si="15"/>
        <v>2</v>
      </c>
      <c r="G84" s="68">
        <f t="shared" si="12"/>
        <v>4.6738228456975728E-2</v>
      </c>
      <c r="H84" s="68">
        <f t="shared" si="13"/>
        <v>-3.7477503968286419E-2</v>
      </c>
    </row>
    <row r="85" spans="5:11" x14ac:dyDescent="0.55000000000000004">
      <c r="E85" s="29">
        <f t="shared" si="14"/>
        <v>8</v>
      </c>
      <c r="F85" s="29">
        <f t="shared" si="15"/>
        <v>3</v>
      </c>
      <c r="G85" s="68">
        <f>INDEX($E$42:$H$49,MATCH(E85,$C$42:$C$49),MATCH(F85,$E$41:$H$41))</f>
        <v>-0.19646435544958152</v>
      </c>
      <c r="H85" s="68">
        <f t="shared" si="13"/>
        <v>-7.1999597205050558E-2</v>
      </c>
    </row>
    <row r="86" spans="5:11" x14ac:dyDescent="0.55000000000000004">
      <c r="E86" s="29">
        <f t="shared" si="14"/>
        <v>8</v>
      </c>
      <c r="F86" s="29">
        <f t="shared" si="15"/>
        <v>4</v>
      </c>
      <c r="G86" s="68">
        <f t="shared" si="12"/>
        <v>-0.19606197629536437</v>
      </c>
      <c r="H86" s="68">
        <f t="shared" si="13"/>
        <v>-4.7923710397534514E-2</v>
      </c>
    </row>
    <row r="87" spans="5:11" x14ac:dyDescent="0.55000000000000004">
      <c r="G87" s="68">
        <v>-0.02</v>
      </c>
      <c r="H87" s="41">
        <f>G87*J82+K82</f>
        <v>-1.3412001438927856E-2</v>
      </c>
    </row>
  </sheetData>
  <conditionalFormatting sqref="E42:H4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{F559E4AE-A8E0-4700-91A2-1CDD54DF2EEE}</x14:id>
        </ext>
      </extLst>
    </cfRule>
  </conditionalFormatting>
  <conditionalFormatting sqref="J42:M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{5097BDBE-A41B-4D62-8048-A0A050BD31C8}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59E4AE-A8E0-4700-91A2-1CDD54DF2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E42:H49</xm:sqref>
        </x14:conditionalFormatting>
        <x14:conditionalFormatting xmlns:xm="http://schemas.microsoft.com/office/excel/2006/main">
          <x14:cfRule type="dataBar" id="{5097BDBE-A41B-4D62-8048-A0A050BD3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J42:M48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A24B-47A7-42B1-92EC-9A924926C656}">
  <dimension ref="A1:AM145"/>
  <sheetViews>
    <sheetView showGridLines="0" topLeftCell="B1" zoomScale="55" zoomScaleNormal="55" workbookViewId="0">
      <selection activeCell="G74" sqref="G74"/>
    </sheetView>
  </sheetViews>
  <sheetFormatPr defaultColWidth="9.15625" defaultRowHeight="14.4" x14ac:dyDescent="0.55000000000000004"/>
  <cols>
    <col min="1" max="1" width="9.15625" style="29" hidden="1" customWidth="1"/>
    <col min="2" max="2" width="9.68359375" style="29" bestFit="1" customWidth="1"/>
    <col min="3" max="3" width="13.578125" style="29" bestFit="1" customWidth="1"/>
    <col min="4" max="4" width="9.5234375" style="29" customWidth="1"/>
    <col min="5" max="5" width="10.1015625" style="29" customWidth="1"/>
    <col min="6" max="6" width="11.15625" style="29" bestFit="1" customWidth="1"/>
    <col min="7" max="7" width="13" style="29" bestFit="1" customWidth="1"/>
    <col min="8" max="8" width="11.3125" style="29" customWidth="1"/>
    <col min="9" max="9" width="9.83984375" style="29" customWidth="1"/>
    <col min="10" max="11" width="9.15625" style="29" customWidth="1"/>
    <col min="12" max="12" width="5.578125" style="29" customWidth="1"/>
    <col min="13" max="19" width="9.15625" style="29"/>
    <col min="20" max="20" width="3.578125" style="29" customWidth="1"/>
    <col min="21" max="21" width="9.15625" style="29"/>
    <col min="22" max="23" width="11.41796875" style="29" bestFit="1" customWidth="1"/>
    <col min="24" max="24" width="12.26171875" style="29" customWidth="1"/>
    <col min="25" max="25" width="11.41796875" style="29" bestFit="1" customWidth="1"/>
    <col min="26" max="26" width="11.41796875" style="29" customWidth="1"/>
    <col min="27" max="27" width="8.26171875" style="29" customWidth="1"/>
    <col min="28" max="28" width="2.15625" style="29" customWidth="1"/>
    <col min="29" max="29" width="3.578125" style="29" customWidth="1"/>
    <col min="30" max="30" width="9.578125" style="29" customWidth="1"/>
    <col min="31" max="31" width="12.68359375" style="29" bestFit="1" customWidth="1"/>
    <col min="32" max="32" width="10.83984375" style="29" bestFit="1" customWidth="1"/>
    <col min="33" max="16384" width="9.15625" style="29"/>
  </cols>
  <sheetData>
    <row r="1" spans="1:39" s="1" customFormat="1" ht="55.5" customHeight="1" x14ac:dyDescent="0.55000000000000004">
      <c r="A1" s="148" t="s">
        <v>150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pans="1:39" s="32" customFormat="1" ht="5.25" customHeight="1" x14ac:dyDescent="0.6"/>
    <row r="3" spans="1:39" x14ac:dyDescent="0.55000000000000004">
      <c r="AD3" s="20">
        <f>COUNT(V16:Y16)</f>
        <v>4</v>
      </c>
      <c r="AE3" s="33" t="str">
        <f ca="1">OFFSET(U6,0,$AD$3,1,1)</f>
        <v>Q4</v>
      </c>
    </row>
    <row r="4" spans="1:39" x14ac:dyDescent="0.55000000000000004">
      <c r="AD4" s="20"/>
      <c r="AE4" s="33"/>
    </row>
    <row r="5" spans="1:39" ht="14.7" thickBot="1" x14ac:dyDescent="0.6">
      <c r="V5" s="29">
        <v>1</v>
      </c>
      <c r="W5" s="29">
        <v>2</v>
      </c>
      <c r="X5" s="29">
        <v>3</v>
      </c>
      <c r="Y5" s="29">
        <v>4</v>
      </c>
    </row>
    <row r="6" spans="1:39" ht="15.6" x14ac:dyDescent="0.6">
      <c r="B6" s="34" t="s">
        <v>7</v>
      </c>
      <c r="C6" s="34" t="s">
        <v>62</v>
      </c>
      <c r="D6" s="34" t="s">
        <v>1</v>
      </c>
      <c r="E6" s="34" t="s">
        <v>3</v>
      </c>
      <c r="F6" s="34" t="s">
        <v>2</v>
      </c>
      <c r="G6" s="34" t="s">
        <v>65</v>
      </c>
      <c r="H6" s="34" t="s">
        <v>66</v>
      </c>
      <c r="V6" s="24" t="s">
        <v>9</v>
      </c>
      <c r="W6" s="24" t="s">
        <v>10</v>
      </c>
      <c r="X6" s="24" t="s">
        <v>11</v>
      </c>
      <c r="Y6" s="24" t="s">
        <v>12</v>
      </c>
      <c r="Z6" s="93" t="s">
        <v>208</v>
      </c>
      <c r="AA6" s="94" t="s">
        <v>14</v>
      </c>
      <c r="AB6" s="24"/>
      <c r="AD6" s="35" t="s">
        <v>13</v>
      </c>
      <c r="AE6" s="35" t="str">
        <f ca="1">_xlfn.CONCAT("YTD (Q1 to ",AE3,")")</f>
        <v>YTD (Q1 to Q4)</v>
      </c>
      <c r="AF6" s="35" t="s">
        <v>14</v>
      </c>
      <c r="AJ6" s="15" t="s">
        <v>9</v>
      </c>
      <c r="AK6" s="15" t="s">
        <v>10</v>
      </c>
      <c r="AL6" s="15" t="s">
        <v>11</v>
      </c>
      <c r="AM6" s="15" t="s">
        <v>12</v>
      </c>
    </row>
    <row r="7" spans="1:39" x14ac:dyDescent="0.55000000000000004">
      <c r="B7" s="36" t="s">
        <v>15</v>
      </c>
      <c r="C7" s="67">
        <f>SUM(D7:H7)</f>
        <v>822589</v>
      </c>
      <c r="D7" s="40">
        <f>IF(ECA!C7=0,NA(),ECA!C7)</f>
        <v>339741</v>
      </c>
      <c r="E7" s="40">
        <f>IF(CAA!C7=0,NA(),CAA!C7)</f>
        <v>177450</v>
      </c>
      <c r="F7" s="40">
        <f>IF(NCA!C7=0,NA(),NCA!C7)</f>
        <v>120152</v>
      </c>
      <c r="G7" s="40">
        <f>IF(IVC!C7=0,NA(),IVC!C7)</f>
        <v>127000</v>
      </c>
      <c r="H7" s="40">
        <f>IF(BR!C7=0,NA(),BR!C7)</f>
        <v>58246</v>
      </c>
      <c r="U7" s="28" t="s">
        <v>16</v>
      </c>
      <c r="V7" s="39">
        <f>C7</f>
        <v>822589</v>
      </c>
      <c r="W7" s="39">
        <f>C8</f>
        <v>822589</v>
      </c>
      <c r="X7" s="39">
        <f>C9</f>
        <v>798014</v>
      </c>
      <c r="Y7" s="39">
        <f>C10</f>
        <v>850839</v>
      </c>
      <c r="Z7" s="95">
        <f>SUM(V7:Y7)</f>
        <v>3294031</v>
      </c>
      <c r="AA7" s="96"/>
      <c r="AB7" s="39"/>
      <c r="AD7" s="28" t="s">
        <v>16</v>
      </c>
      <c r="AE7" s="39">
        <f ca="1">SUM(OFFSET(V7,0,0,1,$AD$3))</f>
        <v>3294031</v>
      </c>
      <c r="AI7" s="28">
        <v>2017</v>
      </c>
      <c r="AJ7" s="38">
        <f>V7</f>
        <v>822589</v>
      </c>
      <c r="AK7" s="38">
        <f>AJ7+W7</f>
        <v>1645178</v>
      </c>
      <c r="AL7" s="38">
        <f>AK7+X7</f>
        <v>2443192</v>
      </c>
      <c r="AM7" s="38">
        <f>AL7+Y7</f>
        <v>3294031</v>
      </c>
    </row>
    <row r="8" spans="1:39" x14ac:dyDescent="0.55000000000000004">
      <c r="B8" s="36" t="s">
        <v>17</v>
      </c>
      <c r="C8" s="67">
        <f t="shared" ref="C8:C44" si="0">SUM(D8:H8)</f>
        <v>822589</v>
      </c>
      <c r="D8" s="40">
        <f>IF(ECA!C8=0,NA(),ECA!C8)</f>
        <v>339741</v>
      </c>
      <c r="E8" s="40">
        <f>IF(CAA!C8=0,NA(),CAA!C8)</f>
        <v>177450</v>
      </c>
      <c r="F8" s="40">
        <f>IF(NCA!C8=0,NA(),NCA!C8)</f>
        <v>120152</v>
      </c>
      <c r="G8" s="40">
        <f>IF(IVC!C8=0,NA(),IVC!C8)</f>
        <v>127000</v>
      </c>
      <c r="H8" s="40">
        <f>IF(BR!C8=0,NA(),BR!C8)</f>
        <v>58246</v>
      </c>
      <c r="U8" s="28" t="s">
        <v>18</v>
      </c>
      <c r="V8" s="39">
        <f>C11</f>
        <v>850107</v>
      </c>
      <c r="W8" s="39">
        <f>C12</f>
        <v>855759</v>
      </c>
      <c r="X8" s="39">
        <f>C13</f>
        <v>837530</v>
      </c>
      <c r="Y8" s="39">
        <f>C14</f>
        <v>874536</v>
      </c>
      <c r="Z8" s="95">
        <f t="shared" ref="Z8:Z16" si="1">SUM(V8:Y8)</f>
        <v>3417932</v>
      </c>
      <c r="AA8" s="97">
        <f>Z8/Z7-1</f>
        <v>3.7613792948518077E-2</v>
      </c>
      <c r="AB8" s="39"/>
      <c r="AD8" s="28" t="s">
        <v>18</v>
      </c>
      <c r="AE8" s="39">
        <f t="shared" ref="AE8:AE16" ca="1" si="2">SUM(OFFSET(V8,0,0,1,$AD$3))</f>
        <v>3417932</v>
      </c>
      <c r="AF8" s="41">
        <f ca="1">AE8/AE7-1</f>
        <v>3.7613792948518077E-2</v>
      </c>
      <c r="AI8" s="28">
        <v>2018</v>
      </c>
      <c r="AJ8" s="38">
        <f t="shared" ref="AJ8:AJ14" si="3">V8</f>
        <v>850107</v>
      </c>
      <c r="AK8" s="38">
        <f t="shared" ref="AK8:AM13" si="4">AJ8+W8</f>
        <v>1705866</v>
      </c>
      <c r="AL8" s="38">
        <f t="shared" si="4"/>
        <v>2543396</v>
      </c>
      <c r="AM8" s="38">
        <f t="shared" si="4"/>
        <v>3417932</v>
      </c>
    </row>
    <row r="9" spans="1:39" x14ac:dyDescent="0.55000000000000004">
      <c r="B9" s="36" t="s">
        <v>19</v>
      </c>
      <c r="C9" s="67">
        <f t="shared" si="0"/>
        <v>798014</v>
      </c>
      <c r="D9" s="40">
        <f>IF(ECA!C9=0,NA(),ECA!C9)</f>
        <v>331970</v>
      </c>
      <c r="E9" s="40">
        <f>IF(CAA!C9=0,NA(),CAA!C9)</f>
        <v>160878</v>
      </c>
      <c r="F9" s="40">
        <f>IF(NCA!C9=0,NA(),NCA!C9)</f>
        <v>123125</v>
      </c>
      <c r="G9" s="40">
        <f>IF(IVC!C9=0,NA(),IVC!C9)</f>
        <v>127000</v>
      </c>
      <c r="H9" s="40">
        <f>IF(BR!C9=0,NA(),BR!C9)</f>
        <v>55041</v>
      </c>
      <c r="U9" s="28" t="s">
        <v>20</v>
      </c>
      <c r="V9" s="39">
        <f>C15</f>
        <v>881322</v>
      </c>
      <c r="W9" s="39">
        <f>C16</f>
        <v>890013</v>
      </c>
      <c r="X9" s="39">
        <f>C17</f>
        <v>882822</v>
      </c>
      <c r="Y9" s="39">
        <f>C18</f>
        <v>910769</v>
      </c>
      <c r="Z9" s="95">
        <f t="shared" si="1"/>
        <v>3564926</v>
      </c>
      <c r="AA9" s="97">
        <f t="shared" ref="AA9:AA15" si="5">Z9/Z8-1</f>
        <v>4.300670697954212E-2</v>
      </c>
      <c r="AB9" s="39"/>
      <c r="AD9" s="28" t="s">
        <v>20</v>
      </c>
      <c r="AE9" s="39">
        <f t="shared" ca="1" si="2"/>
        <v>3564926</v>
      </c>
      <c r="AF9" s="41">
        <f t="shared" ref="AF9:AF16" ca="1" si="6">AE9/AE8-1</f>
        <v>4.300670697954212E-2</v>
      </c>
      <c r="AI9" s="28">
        <v>2019</v>
      </c>
      <c r="AJ9" s="38">
        <f t="shared" si="3"/>
        <v>881322</v>
      </c>
      <c r="AK9" s="38">
        <f t="shared" si="4"/>
        <v>1771335</v>
      </c>
      <c r="AL9" s="38">
        <f t="shared" si="4"/>
        <v>2654157</v>
      </c>
      <c r="AM9" s="38">
        <f t="shared" si="4"/>
        <v>3564926</v>
      </c>
    </row>
    <row r="10" spans="1:39" x14ac:dyDescent="0.55000000000000004">
      <c r="B10" s="42" t="s">
        <v>21</v>
      </c>
      <c r="C10" s="67">
        <f t="shared" si="0"/>
        <v>850839</v>
      </c>
      <c r="D10" s="40">
        <f>IF(ECA!C10=0,NA(),ECA!C10)</f>
        <v>353544</v>
      </c>
      <c r="E10" s="40">
        <f>IF(CAA!C10=0,NA(),CAA!C10)</f>
        <v>189407</v>
      </c>
      <c r="F10" s="40">
        <f>IF(NCA!C10=0,NA(),NCA!C10)</f>
        <v>125323</v>
      </c>
      <c r="G10" s="40">
        <f>IF(IVC!C10=0,NA(),IVC!C10)</f>
        <v>128000</v>
      </c>
      <c r="H10" s="40">
        <f>IF(BR!C10=0,NA(),BR!C10)</f>
        <v>54565</v>
      </c>
      <c r="U10" s="28" t="s">
        <v>22</v>
      </c>
      <c r="V10" s="39">
        <f>C19</f>
        <v>894393</v>
      </c>
      <c r="W10" s="39">
        <f>C20</f>
        <v>891865</v>
      </c>
      <c r="X10" s="39">
        <f>C21</f>
        <v>812601</v>
      </c>
      <c r="Y10" s="39">
        <f>C22</f>
        <v>860903</v>
      </c>
      <c r="Z10" s="95">
        <f t="shared" si="1"/>
        <v>3459762</v>
      </c>
      <c r="AA10" s="97">
        <f t="shared" si="5"/>
        <v>-2.9499630567366597E-2</v>
      </c>
      <c r="AB10" s="39"/>
      <c r="AD10" s="28" t="s">
        <v>22</v>
      </c>
      <c r="AE10" s="39">
        <f t="shared" ca="1" si="2"/>
        <v>3459762</v>
      </c>
      <c r="AF10" s="41">
        <f t="shared" ca="1" si="6"/>
        <v>-2.9499630567366597E-2</v>
      </c>
      <c r="AI10" s="28">
        <v>2020</v>
      </c>
      <c r="AJ10" s="38">
        <f t="shared" si="3"/>
        <v>894393</v>
      </c>
      <c r="AK10" s="38">
        <f t="shared" si="4"/>
        <v>1786258</v>
      </c>
      <c r="AL10" s="38">
        <f t="shared" si="4"/>
        <v>2598859</v>
      </c>
      <c r="AM10" s="38">
        <f t="shared" si="4"/>
        <v>3459762</v>
      </c>
    </row>
    <row r="11" spans="1:39" x14ac:dyDescent="0.55000000000000004">
      <c r="B11" s="36" t="s">
        <v>23</v>
      </c>
      <c r="C11" s="67">
        <f t="shared" si="0"/>
        <v>850107</v>
      </c>
      <c r="D11" s="40">
        <f>IF(ECA!C11=0,NA(),ECA!C11)</f>
        <v>353286</v>
      </c>
      <c r="E11" s="40">
        <f>IF(CAA!C11=0,NA(),CAA!C11)</f>
        <v>196476</v>
      </c>
      <c r="F11" s="40">
        <f>IF(NCA!C11=0,NA(),NCA!C11)</f>
        <v>116080</v>
      </c>
      <c r="G11" s="40">
        <f>IF(IVC!C11=0,NA(),IVC!C11)</f>
        <v>124000</v>
      </c>
      <c r="H11" s="40">
        <f>IF(BR!C11=0,NA(),BR!C11)</f>
        <v>60265</v>
      </c>
      <c r="U11" s="28" t="s">
        <v>24</v>
      </c>
      <c r="V11" s="39">
        <f>C23</f>
        <v>890571</v>
      </c>
      <c r="W11" s="39">
        <f>C24</f>
        <v>900134</v>
      </c>
      <c r="X11" s="39">
        <f>C25</f>
        <v>865508</v>
      </c>
      <c r="Y11" s="39">
        <f>C26</f>
        <v>920397</v>
      </c>
      <c r="Z11" s="95">
        <f t="shared" si="1"/>
        <v>3576610</v>
      </c>
      <c r="AA11" s="97">
        <f t="shared" si="5"/>
        <v>3.3773421408755944E-2</v>
      </c>
      <c r="AB11" s="39"/>
      <c r="AD11" s="28" t="s">
        <v>24</v>
      </c>
      <c r="AE11" s="39">
        <f t="shared" ca="1" si="2"/>
        <v>3576610</v>
      </c>
      <c r="AF11" s="41">
        <f t="shared" ca="1" si="6"/>
        <v>3.3773421408755944E-2</v>
      </c>
      <c r="AI11" s="28">
        <v>2021</v>
      </c>
      <c r="AJ11" s="38">
        <f t="shared" si="3"/>
        <v>890571</v>
      </c>
      <c r="AK11" s="38">
        <f t="shared" si="4"/>
        <v>1790705</v>
      </c>
      <c r="AL11" s="38">
        <f t="shared" si="4"/>
        <v>2656213</v>
      </c>
      <c r="AM11" s="38">
        <f t="shared" si="4"/>
        <v>3576610</v>
      </c>
    </row>
    <row r="12" spans="1:39" x14ac:dyDescent="0.55000000000000004">
      <c r="B12" s="36" t="s">
        <v>25</v>
      </c>
      <c r="C12" s="67">
        <f t="shared" si="0"/>
        <v>855759</v>
      </c>
      <c r="D12" s="40">
        <f>IF(ECA!C12=0,NA(),ECA!C12)</f>
        <v>358432</v>
      </c>
      <c r="E12" s="40">
        <f>IF(CAA!C12=0,NA(),CAA!C12)</f>
        <v>190244</v>
      </c>
      <c r="F12" s="40">
        <f>IF(NCA!C12=0,NA(),NCA!C12)</f>
        <v>118778</v>
      </c>
      <c r="G12" s="40">
        <f>IF(IVC!C12=0,NA(),IVC!C12)</f>
        <v>130000</v>
      </c>
      <c r="H12" s="40">
        <f>IF(BR!C12=0,NA(),BR!C12)</f>
        <v>58305</v>
      </c>
      <c r="U12" s="28" t="s">
        <v>26</v>
      </c>
      <c r="V12" s="39">
        <f>C27</f>
        <v>929248</v>
      </c>
      <c r="W12" s="39">
        <f>C28</f>
        <v>912398</v>
      </c>
      <c r="X12" s="39">
        <f>C29</f>
        <v>916242</v>
      </c>
      <c r="Y12" s="39">
        <f>C30</f>
        <v>950094</v>
      </c>
      <c r="Z12" s="95">
        <f t="shared" si="1"/>
        <v>3707982</v>
      </c>
      <c r="AA12" s="97">
        <f t="shared" si="5"/>
        <v>3.6730870852567099E-2</v>
      </c>
      <c r="AB12" s="39"/>
      <c r="AD12" s="28" t="s">
        <v>26</v>
      </c>
      <c r="AE12" s="39">
        <f t="shared" ca="1" si="2"/>
        <v>3707982</v>
      </c>
      <c r="AF12" s="41">
        <f t="shared" ca="1" si="6"/>
        <v>3.6730870852567099E-2</v>
      </c>
      <c r="AI12" s="28">
        <v>2022</v>
      </c>
      <c r="AJ12" s="38">
        <f t="shared" si="3"/>
        <v>929248</v>
      </c>
      <c r="AK12" s="38">
        <f t="shared" si="4"/>
        <v>1841646</v>
      </c>
      <c r="AL12" s="38">
        <f t="shared" si="4"/>
        <v>2757888</v>
      </c>
      <c r="AM12" s="38">
        <f t="shared" si="4"/>
        <v>3707982</v>
      </c>
    </row>
    <row r="13" spans="1:39" x14ac:dyDescent="0.55000000000000004">
      <c r="B13" s="36" t="s">
        <v>27</v>
      </c>
      <c r="C13" s="67">
        <f t="shared" si="0"/>
        <v>837530</v>
      </c>
      <c r="D13" s="40">
        <f>IF(ECA!C13=0,NA(),ECA!C13)</f>
        <v>356109</v>
      </c>
      <c r="E13" s="40">
        <f>IF(CAA!C13=0,NA(),CAA!C13)</f>
        <v>185394</v>
      </c>
      <c r="F13" s="40">
        <f>IF(NCA!C13=0,NA(),NCA!C13)</f>
        <v>119301</v>
      </c>
      <c r="G13" s="40">
        <f>IF(IVC!C13=0,NA(),IVC!C13)</f>
        <v>125000</v>
      </c>
      <c r="H13" s="40">
        <f>IF(BR!C13=0,NA(),BR!C13)</f>
        <v>51726</v>
      </c>
      <c r="U13" s="28" t="s">
        <v>28</v>
      </c>
      <c r="V13" s="39">
        <f>IF(C31=0,"",C31)</f>
        <v>930529</v>
      </c>
      <c r="W13" s="39">
        <f>IF(C32=0,"",C32)</f>
        <v>960085</v>
      </c>
      <c r="X13" s="39">
        <f>IF(C33=0,"",C33)</f>
        <v>884179</v>
      </c>
      <c r="Y13" s="39">
        <f>IF(C34=0,NA(),C34)</f>
        <v>922671</v>
      </c>
      <c r="Z13" s="95">
        <f t="shared" si="1"/>
        <v>3697464</v>
      </c>
      <c r="AA13" s="97">
        <f t="shared" si="5"/>
        <v>-2.8365833491100778E-3</v>
      </c>
      <c r="AB13" s="39"/>
      <c r="AD13" s="28" t="s">
        <v>28</v>
      </c>
      <c r="AE13" s="39">
        <f t="shared" ca="1" si="2"/>
        <v>3697464</v>
      </c>
      <c r="AF13" s="41">
        <f t="shared" ca="1" si="6"/>
        <v>-2.8365833491100778E-3</v>
      </c>
      <c r="AI13" s="28">
        <v>2023</v>
      </c>
      <c r="AJ13" s="38">
        <f t="shared" si="3"/>
        <v>930529</v>
      </c>
      <c r="AK13" s="38">
        <f t="shared" si="4"/>
        <v>1890614</v>
      </c>
      <c r="AL13" s="38">
        <f t="shared" si="4"/>
        <v>2774793</v>
      </c>
      <c r="AM13" s="38">
        <f t="shared" si="4"/>
        <v>3697464</v>
      </c>
    </row>
    <row r="14" spans="1:39" x14ac:dyDescent="0.55000000000000004">
      <c r="B14" s="42" t="s">
        <v>29</v>
      </c>
      <c r="C14" s="67">
        <f t="shared" si="0"/>
        <v>874536</v>
      </c>
      <c r="D14" s="40">
        <f>IF(ECA!C14=0,NA(),ECA!C14)</f>
        <v>363122</v>
      </c>
      <c r="E14" s="40">
        <f>IF(CAA!C14=0,NA(),CAA!C14)</f>
        <v>196418</v>
      </c>
      <c r="F14" s="40">
        <f>IF(NCA!C14=0,NA(),NCA!C14)</f>
        <v>128494</v>
      </c>
      <c r="G14" s="40">
        <f>IF(IVC!C14=0,NA(),IVC!C14)</f>
        <v>126347</v>
      </c>
      <c r="H14" s="40">
        <f>IF(BR!C14=0,NA(),BR!C14)</f>
        <v>60155</v>
      </c>
      <c r="U14" s="28" t="s">
        <v>30</v>
      </c>
      <c r="V14" s="39">
        <f>IF(C35=0,"",C35)</f>
        <v>898937</v>
      </c>
      <c r="W14" s="39">
        <f>C36</f>
        <v>935533</v>
      </c>
      <c r="X14" s="39">
        <f>IF(C37=0,"",C37)</f>
        <v>862065</v>
      </c>
      <c r="Y14" s="39">
        <f>C38</f>
        <v>913855</v>
      </c>
      <c r="Z14" s="95">
        <f t="shared" si="1"/>
        <v>3610390</v>
      </c>
      <c r="AA14" s="97">
        <f t="shared" si="5"/>
        <v>-2.3549654574054002E-2</v>
      </c>
      <c r="AB14" s="39"/>
      <c r="AD14" s="28" t="s">
        <v>30</v>
      </c>
      <c r="AE14" s="39">
        <f t="shared" ca="1" si="2"/>
        <v>3610390</v>
      </c>
      <c r="AF14" s="41">
        <f t="shared" ca="1" si="6"/>
        <v>-2.3549654574054002E-2</v>
      </c>
      <c r="AI14" s="28">
        <v>2024</v>
      </c>
      <c r="AJ14" s="38">
        <f t="shared" si="3"/>
        <v>898937</v>
      </c>
      <c r="AK14" s="38"/>
      <c r="AL14" s="38"/>
      <c r="AM14" s="38"/>
    </row>
    <row r="15" spans="1:39" x14ac:dyDescent="0.55000000000000004">
      <c r="B15" s="36" t="s">
        <v>31</v>
      </c>
      <c r="C15" s="67">
        <f t="shared" si="0"/>
        <v>881322</v>
      </c>
      <c r="D15" s="40">
        <f>IF(ECA!C15=0,NA(),ECA!C15)</f>
        <v>359103</v>
      </c>
      <c r="E15" s="40">
        <f>IF(CAA!C15=0,NA(),CAA!C15)</f>
        <v>208900</v>
      </c>
      <c r="F15" s="40">
        <f>IF(NCA!C15=0,NA(),NCA!C15)</f>
        <v>117222</v>
      </c>
      <c r="G15" s="40">
        <f>IF(IVC!C15=0,NA(),IVC!C15)</f>
        <v>135510</v>
      </c>
      <c r="H15" s="40">
        <f>IF(BR!C15=0,NA(),BR!C15)</f>
        <v>60587</v>
      </c>
      <c r="U15" s="28" t="s">
        <v>74</v>
      </c>
      <c r="V15" s="39">
        <f>C39</f>
        <v>894012</v>
      </c>
      <c r="W15" s="39">
        <f>C40</f>
        <v>905164</v>
      </c>
      <c r="X15" s="39">
        <f>C41</f>
        <v>788079</v>
      </c>
      <c r="Y15" s="39">
        <f>C42</f>
        <v>794361</v>
      </c>
      <c r="Z15" s="95">
        <f t="shared" si="1"/>
        <v>3381616</v>
      </c>
      <c r="AA15" s="97">
        <f t="shared" si="5"/>
        <v>-6.3365453593656085E-2</v>
      </c>
      <c r="AB15" s="38"/>
      <c r="AD15" s="29" t="s">
        <v>74</v>
      </c>
      <c r="AE15" s="39">
        <f t="shared" ca="1" si="2"/>
        <v>3381616</v>
      </c>
      <c r="AF15" s="41">
        <f t="shared" ca="1" si="6"/>
        <v>-6.3365453593656085E-2</v>
      </c>
    </row>
    <row r="16" spans="1:39" ht="14.7" thickBot="1" x14ac:dyDescent="0.6">
      <c r="B16" s="36" t="s">
        <v>32</v>
      </c>
      <c r="C16" s="67">
        <f t="shared" si="0"/>
        <v>890013</v>
      </c>
      <c r="D16" s="40">
        <f>IF(ECA!C16=0,NA(),ECA!C16)</f>
        <v>370359</v>
      </c>
      <c r="E16" s="40">
        <f>IF(CAA!C16=0,NA(),CAA!C16)</f>
        <v>208388</v>
      </c>
      <c r="F16" s="40">
        <f>IF(NCA!C16=0,NA(),NCA!C16)</f>
        <v>121801</v>
      </c>
      <c r="G16" s="40">
        <f>IF(IVC!C16=0,NA(),IVC!C16)</f>
        <v>133000</v>
      </c>
      <c r="H16" s="40">
        <f>IF(BR!C16=0,NA(),BR!C16)</f>
        <v>56465</v>
      </c>
      <c r="U16" s="28" t="s">
        <v>165</v>
      </c>
      <c r="V16" s="39">
        <f>C43</f>
        <v>824574</v>
      </c>
      <c r="W16" s="39">
        <f>C44</f>
        <v>878999</v>
      </c>
      <c r="X16" s="39">
        <f>C45</f>
        <v>788079</v>
      </c>
      <c r="Y16" s="39">
        <f>C46</f>
        <v>794361</v>
      </c>
      <c r="Z16" s="95">
        <f t="shared" si="1"/>
        <v>3286013</v>
      </c>
      <c r="AA16" s="99"/>
      <c r="AD16" s="28" t="s">
        <v>165</v>
      </c>
      <c r="AE16" s="39">
        <f t="shared" ca="1" si="2"/>
        <v>3286013</v>
      </c>
      <c r="AF16" s="41">
        <f t="shared" ca="1" si="6"/>
        <v>-2.8271394504875813E-2</v>
      </c>
    </row>
    <row r="17" spans="2:34" x14ac:dyDescent="0.55000000000000004">
      <c r="B17" s="36" t="s">
        <v>33</v>
      </c>
      <c r="C17" s="67">
        <f t="shared" si="0"/>
        <v>882822</v>
      </c>
      <c r="D17" s="40">
        <f>IF(ECA!C17=0,NA(),ECA!C17)</f>
        <v>344890</v>
      </c>
      <c r="E17" s="40">
        <f>IF(CAA!C17=0,NA(),CAA!C17)</f>
        <v>215574</v>
      </c>
      <c r="F17" s="40">
        <f>IF(NCA!C17=0,NA(),NCA!C17)</f>
        <v>124050</v>
      </c>
      <c r="G17" s="40">
        <f>IF(IVC!C17=0,NA(),IVC!C17)</f>
        <v>139000</v>
      </c>
      <c r="H17" s="40">
        <f>IF(BR!C17=0,NA(),BR!C17)</f>
        <v>59308</v>
      </c>
    </row>
    <row r="18" spans="2:34" ht="15.6" x14ac:dyDescent="0.6">
      <c r="B18" s="42" t="s">
        <v>34</v>
      </c>
      <c r="C18" s="67">
        <f t="shared" si="0"/>
        <v>910769</v>
      </c>
      <c r="D18" s="40">
        <f>IF(ECA!C18=0,NA(),ECA!C18)</f>
        <v>362940</v>
      </c>
      <c r="E18" s="40">
        <f>IF(CAA!C18=0,NA(),CAA!C18)</f>
        <v>225356</v>
      </c>
      <c r="F18" s="40">
        <f>IF(NCA!C18=0,NA(),NCA!C18)</f>
        <v>123208</v>
      </c>
      <c r="G18" s="40">
        <f>IF(IVC!C18=0,NA(),IVC!C18)</f>
        <v>140473</v>
      </c>
      <c r="H18" s="40">
        <f>IF(BR!C18=0,NA(),BR!C18)</f>
        <v>58792</v>
      </c>
      <c r="U18" s="149" t="s">
        <v>35</v>
      </c>
      <c r="V18" s="149"/>
      <c r="W18" s="149"/>
      <c r="X18" s="149"/>
      <c r="Y18" s="149"/>
      <c r="Z18" s="92"/>
      <c r="AA18" s="92"/>
      <c r="AB18" s="92"/>
      <c r="AD18" s="150" t="s">
        <v>36</v>
      </c>
      <c r="AE18" s="150"/>
      <c r="AF18" s="25" t="s">
        <v>12</v>
      </c>
    </row>
    <row r="19" spans="2:34" x14ac:dyDescent="0.55000000000000004">
      <c r="B19" s="36" t="s">
        <v>37</v>
      </c>
      <c r="C19" s="67">
        <f t="shared" si="0"/>
        <v>894393</v>
      </c>
      <c r="D19" s="40">
        <f>IF(ECA!C19=0,NA(),ECA!C19)</f>
        <v>355201</v>
      </c>
      <c r="E19" s="40">
        <f>IF(CAA!C19=0,NA(),CAA!C19)</f>
        <v>227013</v>
      </c>
      <c r="F19" s="40">
        <f>IF(NCA!C19=0,NA(),NCA!C19)</f>
        <v>110371</v>
      </c>
      <c r="G19" s="40">
        <f>IF(IVC!C19=0,NA(),IVC!C19)</f>
        <v>144314</v>
      </c>
      <c r="H19" s="40">
        <f>IF(BR!C19=0,NA(),BR!C19)</f>
        <v>57494</v>
      </c>
      <c r="V19" s="18" t="s">
        <v>9</v>
      </c>
      <c r="W19" s="18" t="s">
        <v>10</v>
      </c>
      <c r="X19" s="18" t="s">
        <v>11</v>
      </c>
      <c r="Y19" s="18" t="s">
        <v>12</v>
      </c>
      <c r="Z19" s="18"/>
      <c r="AA19" s="18"/>
      <c r="AB19" s="18"/>
    </row>
    <row r="20" spans="2:34" x14ac:dyDescent="0.55000000000000004">
      <c r="B20" s="36" t="s">
        <v>38</v>
      </c>
      <c r="C20" s="67">
        <f t="shared" si="0"/>
        <v>891865</v>
      </c>
      <c r="D20" s="40">
        <f>IF(ECA!C20=0,NA(),ECA!C20)</f>
        <v>368934</v>
      </c>
      <c r="E20" s="40">
        <f>IF(CAA!C20=0,NA(),CAA!C20)</f>
        <v>207356</v>
      </c>
      <c r="F20" s="40">
        <f>IF(NCA!C20=0,NA(),NCA!C20)</f>
        <v>115591</v>
      </c>
      <c r="G20" s="40">
        <f>IF(IVC!C20=0,NA(),IVC!C20)</f>
        <v>139821</v>
      </c>
      <c r="H20" s="40">
        <f>IF(BR!C20=0,NA(),BR!C20)</f>
        <v>60163</v>
      </c>
      <c r="U20" s="28" t="s">
        <v>16</v>
      </c>
      <c r="V20" s="38"/>
      <c r="W20" s="38"/>
      <c r="X20" s="38"/>
      <c r="Y20" s="38"/>
      <c r="Z20" s="38"/>
      <c r="AA20" s="38"/>
      <c r="AB20" s="38"/>
    </row>
    <row r="21" spans="2:34" x14ac:dyDescent="0.55000000000000004">
      <c r="B21" s="36" t="s">
        <v>39</v>
      </c>
      <c r="C21" s="67">
        <f t="shared" si="0"/>
        <v>812601</v>
      </c>
      <c r="D21" s="40">
        <f>IF(ECA!C21=0,NA(),ECA!C21)</f>
        <v>314108</v>
      </c>
      <c r="E21" s="40">
        <f>IF(CAA!C21=0,NA(),CAA!C21)</f>
        <v>202674</v>
      </c>
      <c r="F21" s="40">
        <f>IF(NCA!C21=0,NA(),NCA!C21)</f>
        <v>110776</v>
      </c>
      <c r="G21" s="40">
        <f>IF(IVC!C21=0,NA(),IVC!C21)</f>
        <v>139559</v>
      </c>
      <c r="H21" s="40">
        <f>IF(BR!C21=0,NA(),BR!C21)</f>
        <v>45484</v>
      </c>
      <c r="U21" s="28" t="s">
        <v>18</v>
      </c>
      <c r="V21" s="41">
        <f t="shared" ref="V21:Y29" si="7">IFERROR(V8/V7-1,"")</f>
        <v>3.3452915125293359E-2</v>
      </c>
      <c r="W21" s="41">
        <f t="shared" si="7"/>
        <v>4.0323904161130297E-2</v>
      </c>
      <c r="X21" s="41">
        <f t="shared" si="7"/>
        <v>4.9517928256897825E-2</v>
      </c>
      <c r="Y21" s="41">
        <f t="shared" si="7"/>
        <v>2.785133262579631E-2</v>
      </c>
      <c r="Z21" s="41"/>
      <c r="AA21" s="41"/>
      <c r="AB21" s="41"/>
    </row>
    <row r="22" spans="2:34" x14ac:dyDescent="0.55000000000000004">
      <c r="B22" s="42" t="s">
        <v>40</v>
      </c>
      <c r="C22" s="67">
        <f t="shared" si="0"/>
        <v>860903</v>
      </c>
      <c r="D22" s="40">
        <f>IF(ECA!C22=0,NA(),ECA!C22)</f>
        <v>345730</v>
      </c>
      <c r="E22" s="40">
        <f>IF(CAA!C22=0,NA(),CAA!C22)</f>
        <v>202665</v>
      </c>
      <c r="F22" s="40">
        <f>IF(NCA!C22=0,NA(),NCA!C22)</f>
        <v>118260</v>
      </c>
      <c r="G22" s="40">
        <f>IF(IVC!C22=0,NA(),IVC!C22)</f>
        <v>135954</v>
      </c>
      <c r="H22" s="40">
        <f>IF(BR!C22=0,NA(),BR!C22)</f>
        <v>58294</v>
      </c>
      <c r="U22" s="28" t="s">
        <v>20</v>
      </c>
      <c r="V22" s="41">
        <f t="shared" si="7"/>
        <v>3.6718907149335234E-2</v>
      </c>
      <c r="W22" s="41">
        <f t="shared" si="7"/>
        <v>4.0027624599916489E-2</v>
      </c>
      <c r="X22" s="41">
        <f t="shared" si="7"/>
        <v>5.4078062875359656E-2</v>
      </c>
      <c r="Y22" s="41">
        <f t="shared" si="7"/>
        <v>4.1431113184591695E-2</v>
      </c>
      <c r="Z22" s="41"/>
      <c r="AA22" s="41"/>
      <c r="AB22" s="41"/>
      <c r="AE22" s="29">
        <f>_xlfn.XLOOKUP(AF18,V6:Y6,V5:Y5)</f>
        <v>4</v>
      </c>
    </row>
    <row r="23" spans="2:34" x14ac:dyDescent="0.55000000000000004">
      <c r="B23" s="36" t="s">
        <v>41</v>
      </c>
      <c r="C23" s="67">
        <f t="shared" si="0"/>
        <v>890571</v>
      </c>
      <c r="D23" s="40">
        <f>IF(ECA!C23=0,NA(),ECA!C23)</f>
        <v>344151</v>
      </c>
      <c r="E23" s="40">
        <f>IF(CAA!C23=0,NA(),CAA!C23)</f>
        <v>217546</v>
      </c>
      <c r="F23" s="40">
        <f>IF(NCA!C23=0,NA(),NCA!C23)</f>
        <v>118043</v>
      </c>
      <c r="G23" s="40">
        <f>IF(IVC!C23=0,NA(),IVC!C23)</f>
        <v>150241</v>
      </c>
      <c r="H23" s="40">
        <f>IF(BR!C23=0,NA(),BR!C23)</f>
        <v>60590</v>
      </c>
      <c r="U23" s="28" t="s">
        <v>22</v>
      </c>
      <c r="V23" s="41">
        <f t="shared" si="7"/>
        <v>1.4831128690762307E-2</v>
      </c>
      <c r="W23" s="41">
        <f t="shared" si="7"/>
        <v>2.0808684816964185E-3</v>
      </c>
      <c r="X23" s="41">
        <f t="shared" si="7"/>
        <v>-7.9541515730237822E-2</v>
      </c>
      <c r="Y23" s="41">
        <f t="shared" si="7"/>
        <v>-5.4751534143125169E-2</v>
      </c>
      <c r="Z23" s="41"/>
      <c r="AA23" s="41"/>
      <c r="AB23" s="41"/>
      <c r="AE23" s="29" t="s">
        <v>42</v>
      </c>
    </row>
    <row r="24" spans="2:34" x14ac:dyDescent="0.55000000000000004">
      <c r="B24" s="36" t="s">
        <v>43</v>
      </c>
      <c r="C24" s="67">
        <f t="shared" si="0"/>
        <v>900134</v>
      </c>
      <c r="D24" s="40">
        <f>IF(ECA!C24=0,NA(),ECA!C24)</f>
        <v>357815</v>
      </c>
      <c r="E24" s="40">
        <f>IF(CAA!C24=0,NA(),CAA!C24)</f>
        <v>213858</v>
      </c>
      <c r="F24" s="40">
        <f>IF(NCA!C24=0,NA(),NCA!C24)</f>
        <v>117956</v>
      </c>
      <c r="G24" s="40">
        <f>IF(IVC!C24=0,NA(),IVC!C24)</f>
        <v>150593</v>
      </c>
      <c r="H24" s="40">
        <f>IF(BR!C24=0,NA(),BR!C24)</f>
        <v>59912</v>
      </c>
      <c r="U24" s="28" t="s">
        <v>24</v>
      </c>
      <c r="V24" s="41">
        <f t="shared" si="7"/>
        <v>-4.2732892587487026E-3</v>
      </c>
      <c r="W24" s="41">
        <f t="shared" si="7"/>
        <v>9.2715825825657738E-3</v>
      </c>
      <c r="X24" s="41">
        <f t="shared" si="7"/>
        <v>6.5108214240445106E-2</v>
      </c>
      <c r="Y24" s="41">
        <f t="shared" si="7"/>
        <v>6.9106507934111105E-2</v>
      </c>
      <c r="Z24" s="41"/>
      <c r="AA24" s="41"/>
      <c r="AB24" s="41"/>
      <c r="AE24" s="28" t="s">
        <v>16</v>
      </c>
      <c r="AF24" s="39" cm="1">
        <f t="array" aca="1" ref="AF24:AF33" ca="1">OFFSET(U7,0,$AE$22,COUNT($V$7:$V$16),1)</f>
        <v>850839</v>
      </c>
    </row>
    <row r="25" spans="2:34" x14ac:dyDescent="0.55000000000000004">
      <c r="B25" s="36" t="s">
        <v>44</v>
      </c>
      <c r="C25" s="67">
        <f t="shared" si="0"/>
        <v>865508</v>
      </c>
      <c r="D25" s="40">
        <f>IF(ECA!C25=0,NA(),ECA!C25)</f>
        <v>356854</v>
      </c>
      <c r="E25" s="40">
        <f>IF(CAA!C25=0,NA(),CAA!C25)</f>
        <v>220865</v>
      </c>
      <c r="F25" s="40">
        <f>IF(NCA!C25=0,NA(),NCA!C25)</f>
        <v>123719</v>
      </c>
      <c r="G25" s="40">
        <f>IF(IVC!C25=0,NA(),IVC!C25)</f>
        <v>109471</v>
      </c>
      <c r="H25" s="40">
        <f>IF(BR!C25=0,NA(),BR!C25)</f>
        <v>54599</v>
      </c>
      <c r="U25" s="28" t="s">
        <v>26</v>
      </c>
      <c r="V25" s="41">
        <f t="shared" si="7"/>
        <v>4.342944021307682E-2</v>
      </c>
      <c r="W25" s="41">
        <f t="shared" si="7"/>
        <v>1.3624638109437148E-2</v>
      </c>
      <c r="X25" s="41">
        <f t="shared" si="7"/>
        <v>5.8617597988695591E-2</v>
      </c>
      <c r="Y25" s="41">
        <f t="shared" si="7"/>
        <v>3.226542459395243E-2</v>
      </c>
      <c r="Z25" s="41"/>
      <c r="AA25" s="41"/>
      <c r="AB25" s="41"/>
      <c r="AE25" s="28" t="s">
        <v>18</v>
      </c>
      <c r="AF25" s="39">
        <f ca="1"/>
        <v>874536</v>
      </c>
      <c r="AH25" s="29" t="str">
        <f>_xlfn.CONCAT(A1," ",AF18," across Years")</f>
        <v>All Reported Grind : ECA + CAA + NCA + IVC (Gepex)  + BR  Q4 across Years</v>
      </c>
    </row>
    <row r="26" spans="2:34" x14ac:dyDescent="0.55000000000000004">
      <c r="B26" s="42" t="s">
        <v>45</v>
      </c>
      <c r="C26" s="67">
        <f t="shared" si="0"/>
        <v>920397</v>
      </c>
      <c r="D26" s="40">
        <f>IF(ECA!C26=0,NA(),ECA!C26)</f>
        <v>375811</v>
      </c>
      <c r="E26" s="40">
        <f>IF(CAA!C26=0,NA(),CAA!C26)</f>
        <v>210970</v>
      </c>
      <c r="F26" s="40">
        <f>IF(NCA!C26=0,NA(),NCA!C26)</f>
        <v>123399</v>
      </c>
      <c r="G26" s="40">
        <f>IF(IVC!C26=0,NA(),IVC!C26)</f>
        <v>154121</v>
      </c>
      <c r="H26" s="40">
        <f>IF(BR!C26=0,NA(),BR!C26)</f>
        <v>56096</v>
      </c>
      <c r="U26" s="28" t="s">
        <v>28</v>
      </c>
      <c r="V26" s="41">
        <f t="shared" si="7"/>
        <v>1.3785340404284252E-3</v>
      </c>
      <c r="W26" s="41">
        <f t="shared" si="7"/>
        <v>5.226556831558149E-2</v>
      </c>
      <c r="X26" s="41">
        <f>IFERROR(X13/X12-1,"")</f>
        <v>-3.4994029961516682E-2</v>
      </c>
      <c r="Y26" s="41">
        <f t="shared" si="7"/>
        <v>-2.8863459826080407E-2</v>
      </c>
      <c r="Z26" s="41"/>
      <c r="AA26" s="41"/>
      <c r="AB26" s="41"/>
      <c r="AE26" s="28" t="s">
        <v>20</v>
      </c>
      <c r="AF26" s="39">
        <f ca="1"/>
        <v>910769</v>
      </c>
    </row>
    <row r="27" spans="2:34" x14ac:dyDescent="0.55000000000000004">
      <c r="B27" s="36" t="s">
        <v>46</v>
      </c>
      <c r="C27" s="67">
        <f t="shared" si="0"/>
        <v>929248</v>
      </c>
      <c r="D27" s="40">
        <f>IF(ECA!C27=0,NA(),ECA!C27)</f>
        <v>365826</v>
      </c>
      <c r="E27" s="40">
        <f>IF(CAA!C27=0,NA(),CAA!C27)</f>
        <v>231309</v>
      </c>
      <c r="F27" s="40">
        <f>IF(NCA!C27=0,NA(),NCA!C27)</f>
        <v>116641</v>
      </c>
      <c r="G27" s="40">
        <f>IF(IVC!C27=0,NA(),IVC!C27)</f>
        <v>158272</v>
      </c>
      <c r="H27" s="40">
        <f>IF(BR!C27=0,NA(),BR!C27)</f>
        <v>57200</v>
      </c>
      <c r="U27" s="28" t="s">
        <v>30</v>
      </c>
      <c r="V27" s="41">
        <f t="shared" si="7"/>
        <v>-3.3950580798663976E-2</v>
      </c>
      <c r="W27" s="41">
        <f t="shared" si="7"/>
        <v>-2.5572735747355746E-2</v>
      </c>
      <c r="X27" s="41">
        <f t="shared" si="7"/>
        <v>-2.5010772705526874E-2</v>
      </c>
      <c r="Y27" s="41">
        <f t="shared" si="7"/>
        <v>-9.5548684200543743E-3</v>
      </c>
      <c r="Z27" s="41"/>
      <c r="AA27" s="41"/>
      <c r="AB27" s="41"/>
      <c r="AE27" s="28" t="s">
        <v>22</v>
      </c>
      <c r="AF27" s="39">
        <f ca="1"/>
        <v>860903</v>
      </c>
    </row>
    <row r="28" spans="2:34" x14ac:dyDescent="0.55000000000000004">
      <c r="B28" s="36" t="s">
        <v>47</v>
      </c>
      <c r="C28" s="67">
        <f t="shared" si="0"/>
        <v>912398</v>
      </c>
      <c r="D28" s="40">
        <f>IF(ECA!C28=0,NA(),ECA!C28)</f>
        <v>373498</v>
      </c>
      <c r="E28" s="40">
        <f>IF(CAA!C28=0,NA(),CAA!C28)</f>
        <v>213313</v>
      </c>
      <c r="F28" s="40">
        <f>IF(NCA!C28=0,NA(),NCA!C28)</f>
        <v>114694</v>
      </c>
      <c r="G28" s="40">
        <f>IF(IVC!C28=0,NA(),IVC!C28)</f>
        <v>155454</v>
      </c>
      <c r="H28" s="40">
        <f>IF(BR!C28=0,NA(),BR!C28)</f>
        <v>55439</v>
      </c>
      <c r="U28" s="28" t="s">
        <v>74</v>
      </c>
      <c r="V28" s="41">
        <f t="shared" si="7"/>
        <v>-5.4786931675968598E-3</v>
      </c>
      <c r="W28" s="41">
        <f t="shared" si="7"/>
        <v>-3.2461708993696603E-2</v>
      </c>
      <c r="X28" s="41">
        <f t="shared" si="7"/>
        <v>-8.5824154791112051E-2</v>
      </c>
      <c r="Y28" s="41">
        <f t="shared" si="7"/>
        <v>-0.13075816185281031</v>
      </c>
      <c r="Z28" s="41"/>
      <c r="AA28" s="41"/>
      <c r="AB28" s="41"/>
      <c r="AE28" s="28" t="s">
        <v>24</v>
      </c>
      <c r="AF28" s="39">
        <f ca="1"/>
        <v>920397</v>
      </c>
    </row>
    <row r="29" spans="2:34" x14ac:dyDescent="0.55000000000000004">
      <c r="B29" s="36" t="s">
        <v>48</v>
      </c>
      <c r="C29" s="67">
        <f t="shared" si="0"/>
        <v>916242</v>
      </c>
      <c r="D29" s="40">
        <f>IF(ECA!C29=0,NA(),ECA!C29)</f>
        <v>364081</v>
      </c>
      <c r="E29" s="40">
        <f>IF(CAA!C29=0,NA(),CAA!C29)</f>
        <v>228895</v>
      </c>
      <c r="F29" s="40">
        <f>IF(NCA!C29=0,NA(),NCA!C29)</f>
        <v>115899</v>
      </c>
      <c r="G29" s="40">
        <f>IF(IVC!C29=0,NA(),IVC!C29)</f>
        <v>156723</v>
      </c>
      <c r="H29" s="40">
        <f>IF(BR!C29=0,NA(),BR!C29)</f>
        <v>50644</v>
      </c>
      <c r="U29" s="28" t="s">
        <v>165</v>
      </c>
      <c r="V29" s="41">
        <f t="shared" si="7"/>
        <v>-7.7670098387941144E-2</v>
      </c>
      <c r="W29" s="41">
        <f t="shared" si="7"/>
        <v>-2.8906363929630419E-2</v>
      </c>
      <c r="X29" s="41">
        <f t="shared" si="7"/>
        <v>0</v>
      </c>
      <c r="Y29" s="41">
        <f t="shared" si="7"/>
        <v>0</v>
      </c>
      <c r="AE29" s="28" t="s">
        <v>26</v>
      </c>
      <c r="AF29" s="39">
        <f ca="1"/>
        <v>950094</v>
      </c>
    </row>
    <row r="30" spans="2:34" x14ac:dyDescent="0.55000000000000004">
      <c r="B30" s="42" t="s">
        <v>49</v>
      </c>
      <c r="C30" s="67">
        <f t="shared" si="0"/>
        <v>950094</v>
      </c>
      <c r="D30" s="40">
        <f>IF(ECA!C30=0,NA(),ECA!C30)</f>
        <v>369679</v>
      </c>
      <c r="E30" s="40">
        <f>IF(CAA!C30=0,NA(),CAA!C30)</f>
        <v>231080</v>
      </c>
      <c r="F30" s="40">
        <f>IF(NCA!C30=0,NA(),NCA!C30)</f>
        <v>119244</v>
      </c>
      <c r="G30" s="40">
        <f>IF(IVC!C30=0,NA(),IVC!C30)</f>
        <v>171000</v>
      </c>
      <c r="H30" s="40">
        <f>IF(BR!C30=0,NA(),BR!C30)</f>
        <v>59091</v>
      </c>
      <c r="AE30" s="28" t="s">
        <v>28</v>
      </c>
      <c r="AF30" s="39">
        <f ca="1"/>
        <v>922671</v>
      </c>
    </row>
    <row r="31" spans="2:34" x14ac:dyDescent="0.55000000000000004">
      <c r="B31" s="36" t="s">
        <v>50</v>
      </c>
      <c r="C31" s="67">
        <f t="shared" si="0"/>
        <v>930529</v>
      </c>
      <c r="D31" s="40">
        <f>IF(ECA!C31=0,NA(),ECA!C31)</f>
        <v>359577</v>
      </c>
      <c r="E31" s="40">
        <f>IF(CAA!C31=0,NA(),CAA!C31)</f>
        <v>230806</v>
      </c>
      <c r="F31" s="40">
        <f>IF(NCA!C31=0,NA(),NCA!C31)</f>
        <v>107130</v>
      </c>
      <c r="G31" s="40">
        <f>IF(IVC!C31=0,NA(),IVC!C31)</f>
        <v>172357</v>
      </c>
      <c r="H31" s="40">
        <f>IF(BR!C31=0,NA(),BR!C31)</f>
        <v>60659</v>
      </c>
      <c r="AE31" s="28" t="s">
        <v>30</v>
      </c>
      <c r="AF31" s="39">
        <f ca="1"/>
        <v>913855</v>
      </c>
    </row>
    <row r="32" spans="2:34" ht="15.6" x14ac:dyDescent="0.6">
      <c r="B32" s="36" t="s">
        <v>51</v>
      </c>
      <c r="C32" s="67">
        <f t="shared" si="0"/>
        <v>960085</v>
      </c>
      <c r="D32" s="40">
        <f>IF(ECA!C32=0,NA(),ECA!C32)</f>
        <v>375375</v>
      </c>
      <c r="E32" s="40">
        <f>IF(CAA!C32=0,NA(),CAA!C32)</f>
        <v>222028</v>
      </c>
      <c r="F32" s="40">
        <f>IF(NCA!C32=0,NA(),NCA!C32)</f>
        <v>109666</v>
      </c>
      <c r="G32" s="40">
        <f>IF(IVC!C32=0,NA(),IVC!C32)</f>
        <v>189000</v>
      </c>
      <c r="H32" s="40">
        <f>IF(BR!C32=0,NA(),BR!C32)</f>
        <v>64016</v>
      </c>
      <c r="I32" s="38"/>
      <c r="U32" s="149" t="s">
        <v>52</v>
      </c>
      <c r="V32" s="149"/>
      <c r="W32" s="149"/>
      <c r="X32" s="149"/>
      <c r="Y32" s="149"/>
      <c r="Z32" s="92"/>
      <c r="AA32" s="92"/>
      <c r="AB32" s="92"/>
      <c r="AE32" s="29" t="s">
        <v>74</v>
      </c>
      <c r="AF32" s="39">
        <f ca="1"/>
        <v>794361</v>
      </c>
    </row>
    <row r="33" spans="2:32" x14ac:dyDescent="0.55000000000000004">
      <c r="B33" s="36" t="s">
        <v>53</v>
      </c>
      <c r="C33" s="67">
        <f t="shared" si="0"/>
        <v>884179</v>
      </c>
      <c r="D33" s="40">
        <f>IF(ECA!C33=0,NA(),ECA!C33)</f>
        <v>343283</v>
      </c>
      <c r="E33" s="40">
        <f>IF(CAA!C33=0,NA(),CAA!C33)</f>
        <v>213977</v>
      </c>
      <c r="F33" s="40">
        <f>IF(NCA!C33=0,NA(),NCA!C33)</f>
        <v>102493</v>
      </c>
      <c r="G33" s="40">
        <f>IF(IVC!C33=0,NA(),IVC!C33)</f>
        <v>162000</v>
      </c>
      <c r="H33" s="40">
        <f>IF(BR!C33=0,NA(),BR!C33)</f>
        <v>62426</v>
      </c>
      <c r="V33" s="18" t="s">
        <v>9</v>
      </c>
      <c r="W33" s="18" t="s">
        <v>10</v>
      </c>
      <c r="X33" s="18" t="s">
        <v>11</v>
      </c>
      <c r="Y33" s="18" t="s">
        <v>12</v>
      </c>
      <c r="Z33" s="18"/>
      <c r="AA33" s="18"/>
      <c r="AB33" s="18"/>
      <c r="AE33" s="29" t="s">
        <v>165</v>
      </c>
      <c r="AF33" s="39">
        <f ca="1"/>
        <v>794361</v>
      </c>
    </row>
    <row r="34" spans="2:32" x14ac:dyDescent="0.55000000000000004">
      <c r="B34" s="42" t="s">
        <v>54</v>
      </c>
      <c r="C34" s="67">
        <f t="shared" si="0"/>
        <v>922671</v>
      </c>
      <c r="D34" s="40">
        <f>IF(ECA!C34=0,NA(),ECA!C34)</f>
        <v>366298</v>
      </c>
      <c r="E34" s="40">
        <f>IF(CAA!C34=0,NA(),CAA!C34)</f>
        <v>211468</v>
      </c>
      <c r="F34" s="40">
        <f>IF(NCA!C34=0,NA(),NCA!C34)</f>
        <v>97881</v>
      </c>
      <c r="G34" s="40">
        <f>IF(IVC!C34=0,NA(),IVC!C34)</f>
        <v>183000</v>
      </c>
      <c r="H34" s="40">
        <f>IF(BR!C34=0,NA(),BR!C34)</f>
        <v>64024</v>
      </c>
      <c r="U34" s="28" t="s">
        <v>16</v>
      </c>
      <c r="V34" s="41"/>
      <c r="W34" s="41">
        <f t="shared" ref="W34:Y43" si="8">IFERROR(W7/V7-1,"")</f>
        <v>0</v>
      </c>
      <c r="X34" s="41">
        <f t="shared" si="8"/>
        <v>-2.9875186757907013E-2</v>
      </c>
      <c r="Y34" s="41">
        <f t="shared" si="8"/>
        <v>6.6195580528662479E-2</v>
      </c>
      <c r="Z34" s="41"/>
      <c r="AA34" s="41"/>
      <c r="AB34" s="41"/>
    </row>
    <row r="35" spans="2:32" x14ac:dyDescent="0.55000000000000004">
      <c r="B35" s="36" t="s">
        <v>55</v>
      </c>
      <c r="C35" s="67">
        <f t="shared" si="0"/>
        <v>898937</v>
      </c>
      <c r="D35" s="40">
        <f>IF(ECA!C35=0,NA(),ECA!C35)</f>
        <v>350739</v>
      </c>
      <c r="E35" s="40">
        <f>IF(CAA!C35=0,NA(),CAA!C35)</f>
        <v>211202</v>
      </c>
      <c r="F35" s="40">
        <f>IF(NCA!C35=0,NA(),NCA!C35)</f>
        <v>103971</v>
      </c>
      <c r="G35" s="40">
        <f>IF(IVC!C35=0,NA(),IVC!C35)</f>
        <v>170000</v>
      </c>
      <c r="H35" s="40">
        <f>IF(BR!C35=0,NA(),BR!C35)</f>
        <v>63025</v>
      </c>
      <c r="U35" s="28" t="s">
        <v>18</v>
      </c>
      <c r="V35" s="41">
        <f t="shared" ref="V35:V43" si="9">IFERROR(V8/Y7-1,"")</f>
        <v>-8.6032727695839473E-4</v>
      </c>
      <c r="W35" s="41">
        <f t="shared" si="8"/>
        <v>6.6485748264630828E-3</v>
      </c>
      <c r="X35" s="41">
        <f t="shared" si="8"/>
        <v>-2.1301558032109535E-2</v>
      </c>
      <c r="Y35" s="41">
        <f t="shared" si="8"/>
        <v>4.418468592169833E-2</v>
      </c>
      <c r="Z35" s="41"/>
      <c r="AA35" s="41"/>
      <c r="AB35" s="41"/>
    </row>
    <row r="36" spans="2:32" x14ac:dyDescent="0.55000000000000004">
      <c r="B36" s="36" t="s">
        <v>56</v>
      </c>
      <c r="C36" s="67">
        <f t="shared" si="0"/>
        <v>935533</v>
      </c>
      <c r="D36" s="40">
        <f>IF(ECA!C36=0,NA(),ECA!C36)</f>
        <v>367287</v>
      </c>
      <c r="E36" s="40">
        <f>IF(CAA!C36=0,NA(),CAA!C36)</f>
        <v>225562</v>
      </c>
      <c r="F36" s="40">
        <f>IF(NCA!C36=0,NA(),NCA!C36)</f>
        <v>113683</v>
      </c>
      <c r="G36" s="40">
        <f>IF(IVC!C36=0,NA(),IVC!C36)</f>
        <v>169059</v>
      </c>
      <c r="H36" s="40">
        <f>IF(BR!C36=0,NA(),BR!C36)</f>
        <v>59942</v>
      </c>
      <c r="U36" s="28" t="s">
        <v>20</v>
      </c>
      <c r="V36" s="41">
        <f t="shared" si="9"/>
        <v>7.7595433464145991E-3</v>
      </c>
      <c r="W36" s="41">
        <f t="shared" si="8"/>
        <v>9.8613219685881326E-3</v>
      </c>
      <c r="X36" s="41">
        <f t="shared" si="8"/>
        <v>-8.079657263433182E-3</v>
      </c>
      <c r="Y36" s="41">
        <f t="shared" si="8"/>
        <v>3.1656438104170403E-2</v>
      </c>
      <c r="Z36" s="41"/>
      <c r="AA36" s="41"/>
      <c r="AB36" s="41"/>
    </row>
    <row r="37" spans="2:32" x14ac:dyDescent="0.55000000000000004">
      <c r="B37" s="36" t="s">
        <v>57</v>
      </c>
      <c r="C37" s="67">
        <f t="shared" si="0"/>
        <v>862065</v>
      </c>
      <c r="D37" s="40">
        <f>IF(ECA!C37=0,NA(),ECA!C37)</f>
        <v>357502</v>
      </c>
      <c r="E37" s="40">
        <f>IF(CAA!C37=0,NA(),CAA!C37)</f>
        <v>215528</v>
      </c>
      <c r="F37" s="40">
        <f>IF(NCA!C37=0,NA(),NCA!C37)</f>
        <v>104781</v>
      </c>
      <c r="G37" s="40">
        <f>IF(IVC!C37=0,NA(),IVC!C37)</f>
        <v>129819</v>
      </c>
      <c r="H37" s="40">
        <f>IF(BR!C37=0,NA(),BR!C37)</f>
        <v>54435</v>
      </c>
      <c r="U37" s="28" t="s">
        <v>22</v>
      </c>
      <c r="V37" s="41">
        <f t="shared" si="9"/>
        <v>-1.7980409961252497E-2</v>
      </c>
      <c r="W37" s="41">
        <f t="shared" si="8"/>
        <v>-2.8264979712497862E-3</v>
      </c>
      <c r="X37" s="41">
        <f t="shared" si="8"/>
        <v>-8.887443727469968E-2</v>
      </c>
      <c r="Y37" s="41">
        <f t="shared" si="8"/>
        <v>5.9441226382935808E-2</v>
      </c>
      <c r="Z37" s="41"/>
      <c r="AA37" s="41"/>
      <c r="AB37" s="41"/>
    </row>
    <row r="38" spans="2:32" x14ac:dyDescent="0.55000000000000004">
      <c r="B38" s="42" t="s">
        <v>58</v>
      </c>
      <c r="C38" s="67">
        <f t="shared" si="0"/>
        <v>913855</v>
      </c>
      <c r="D38" s="40">
        <f>IF(ECA!C38=0,NA(),ECA!C38)</f>
        <v>354334</v>
      </c>
      <c r="E38" s="40">
        <f>IF(CAA!C38=0,NA(),CAA!C38)</f>
        <v>221205</v>
      </c>
      <c r="F38" s="40">
        <f>IF(NCA!C38=0,NA(),NCA!C38)</f>
        <v>109264</v>
      </c>
      <c r="G38" s="40">
        <f>IF(IVC!C38=0,NA(),IVC!C38)</f>
        <v>173684</v>
      </c>
      <c r="H38" s="40">
        <f>IF(BR!C38=0,NA(),BR!C38)</f>
        <v>55368</v>
      </c>
      <c r="U38" s="28" t="s">
        <v>24</v>
      </c>
      <c r="V38" s="41">
        <f t="shared" si="9"/>
        <v>3.4461489854257676E-2</v>
      </c>
      <c r="W38" s="41">
        <f t="shared" si="8"/>
        <v>1.0738054573975475E-2</v>
      </c>
      <c r="X38" s="41">
        <f t="shared" si="8"/>
        <v>-3.84676059342276E-2</v>
      </c>
      <c r="Y38" s="41">
        <f t="shared" si="8"/>
        <v>6.3418246856181471E-2</v>
      </c>
      <c r="Z38" s="41"/>
      <c r="AA38" s="41"/>
      <c r="AB38" s="41"/>
    </row>
    <row r="39" spans="2:32" x14ac:dyDescent="0.55000000000000004">
      <c r="B39" s="36" t="s">
        <v>73</v>
      </c>
      <c r="C39" s="67">
        <f t="shared" si="0"/>
        <v>894012</v>
      </c>
      <c r="D39" s="40">
        <f>IF(ECA!C39=0,NA(),ECA!C39)</f>
        <v>331853</v>
      </c>
      <c r="E39" s="40">
        <f>IF(CAA!C39=0,NA(),CAA!C39)</f>
        <v>214505</v>
      </c>
      <c r="F39" s="40">
        <f>IF(NCA!C39=0,NA(),NCA!C39)</f>
        <v>102761</v>
      </c>
      <c r="G39" s="40">
        <f>IF(IVC!C39=0,NA(),IVC!C39)</f>
        <v>182325</v>
      </c>
      <c r="H39" s="40">
        <f>IF(BR!C39=0,NA(),BR!C39)</f>
        <v>62568</v>
      </c>
      <c r="U39" s="28" t="s">
        <v>26</v>
      </c>
      <c r="V39" s="41">
        <f t="shared" si="9"/>
        <v>9.616502444053987E-3</v>
      </c>
      <c r="W39" s="41">
        <f t="shared" si="8"/>
        <v>-1.8132941905713018E-2</v>
      </c>
      <c r="X39" s="41">
        <f t="shared" si="8"/>
        <v>4.2130736805647828E-3</v>
      </c>
      <c r="Y39" s="41">
        <f t="shared" si="8"/>
        <v>3.6946570884111463E-2</v>
      </c>
      <c r="Z39" s="41"/>
      <c r="AA39" s="41"/>
      <c r="AB39" s="41"/>
    </row>
    <row r="40" spans="2:32" x14ac:dyDescent="0.55000000000000004">
      <c r="B40" s="36" t="s">
        <v>151</v>
      </c>
      <c r="C40" s="67">
        <f t="shared" si="0"/>
        <v>905164</v>
      </c>
      <c r="D40" s="40">
        <f>IF(ECA!C40=0,NA(),ECA!C40)</f>
        <v>353522</v>
      </c>
      <c r="E40" s="40">
        <f>IF(CAA!C40=0,NA(),CAA!C40)</f>
        <v>217459</v>
      </c>
      <c r="F40" s="40">
        <f>IF(NCA!C40=0,NA(),NCA!C40)</f>
        <v>110278</v>
      </c>
      <c r="G40" s="40">
        <f>IF(IVC!C40=0,NA(),IVC!C40)</f>
        <v>169163</v>
      </c>
      <c r="H40" s="40">
        <f>IF(BR!C40=0,NA(),BR!C40)</f>
        <v>54742</v>
      </c>
      <c r="U40" s="28" t="s">
        <v>28</v>
      </c>
      <c r="V40" s="41">
        <f t="shared" si="9"/>
        <v>-2.0592699248705881E-2</v>
      </c>
      <c r="W40" s="41">
        <f t="shared" si="8"/>
        <v>3.1762578060436697E-2</v>
      </c>
      <c r="X40" s="41">
        <f t="shared" si="8"/>
        <v>-7.9061749740908405E-2</v>
      </c>
      <c r="Y40" s="41">
        <f t="shared" si="8"/>
        <v>4.3534171248129638E-2</v>
      </c>
      <c r="Z40" s="41"/>
      <c r="AA40" s="41"/>
      <c r="AB40" s="41"/>
    </row>
    <row r="41" spans="2:32" x14ac:dyDescent="0.55000000000000004">
      <c r="B41" s="36" t="s">
        <v>160</v>
      </c>
      <c r="C41" s="67">
        <f t="shared" si="0"/>
        <v>788079</v>
      </c>
      <c r="D41" s="40">
        <f>IF(ECA!C41=0,NA(),ECA!C41)</f>
        <v>331762</v>
      </c>
      <c r="E41" s="40">
        <f>IF(CAA!C41=0,NA(),CAA!C41)</f>
        <v>182118</v>
      </c>
      <c r="F41" s="40">
        <f>IF(NCA!C41=0,NA(),NCA!C41)</f>
        <v>101865</v>
      </c>
      <c r="G41" s="40">
        <f>IF(IVC!C41=0,NA(),IVC!C41)</f>
        <v>124277</v>
      </c>
      <c r="H41" s="40">
        <f>IF(BR!C41=0,NA(),BR!C41)</f>
        <v>48057</v>
      </c>
      <c r="U41" s="28" t="s">
        <v>30</v>
      </c>
      <c r="V41" s="41">
        <f t="shared" si="9"/>
        <v>-2.5723145086385069E-2</v>
      </c>
      <c r="W41" s="41">
        <f t="shared" si="8"/>
        <v>4.0710305616522557E-2</v>
      </c>
      <c r="X41" s="41">
        <f t="shared" si="8"/>
        <v>-7.8530634408406796E-2</v>
      </c>
      <c r="Y41" s="41">
        <f t="shared" si="8"/>
        <v>6.0076676352711189E-2</v>
      </c>
      <c r="Z41" s="41"/>
      <c r="AA41" s="41"/>
      <c r="AB41" s="41"/>
    </row>
    <row r="42" spans="2:32" x14ac:dyDescent="0.55000000000000004">
      <c r="B42" s="36" t="s">
        <v>162</v>
      </c>
      <c r="C42" s="67">
        <f t="shared" si="0"/>
        <v>794361</v>
      </c>
      <c r="D42" s="40">
        <f>IF(ECA!C42=0,NA(),ECA!C42)</f>
        <v>337353</v>
      </c>
      <c r="E42" s="40">
        <f>IF(CAA!C42=0,NA(),CAA!C42)</f>
        <v>183413</v>
      </c>
      <c r="F42" s="40">
        <f>IF(NCA!C42=0,NA(),NCA!C42)</f>
        <v>112784</v>
      </c>
      <c r="G42" s="40">
        <f>IF(IVC!C42=0,NA(),IVC!C42)</f>
        <v>112341</v>
      </c>
      <c r="H42" s="40">
        <f>IF(BR!C42=0,NA(),BR!C42)</f>
        <v>48470</v>
      </c>
      <c r="U42" s="28" t="s">
        <v>74</v>
      </c>
      <c r="V42" s="41">
        <f t="shared" si="9"/>
        <v>-2.171351034901603E-2</v>
      </c>
      <c r="W42" s="41">
        <f t="shared" si="8"/>
        <v>1.2474105492991105E-2</v>
      </c>
      <c r="X42" s="41">
        <f t="shared" si="8"/>
        <v>-0.12935224997900929</v>
      </c>
      <c r="Y42" s="41">
        <f t="shared" si="8"/>
        <v>7.9712820668993434E-3</v>
      </c>
      <c r="Z42" s="41"/>
      <c r="AA42" s="41"/>
      <c r="AB42" s="41"/>
    </row>
    <row r="43" spans="2:32" x14ac:dyDescent="0.55000000000000004">
      <c r="B43" s="36" t="s">
        <v>187</v>
      </c>
      <c r="C43" s="67">
        <f t="shared" si="0"/>
        <v>824574</v>
      </c>
      <c r="D43" s="40">
        <f>IF(ECA!C43=0,NA(),ECA!C43)</f>
        <v>304470</v>
      </c>
      <c r="E43" s="40">
        <f>IF(CAA!C43=0,NA(),CAA!C43)</f>
        <v>197022</v>
      </c>
      <c r="F43" s="40">
        <f>IF(NCA!C43=0,NA(),NCA!C43)</f>
        <v>103117</v>
      </c>
      <c r="G43" s="40">
        <f>IF(IVC!C43=0,NA(),IVC!C43)</f>
        <v>165558</v>
      </c>
      <c r="H43" s="40">
        <f>IF(BR!C43=0,NA(),BR!C43)</f>
        <v>54407</v>
      </c>
      <c r="U43" s="28" t="s">
        <v>165</v>
      </c>
      <c r="V43" s="41">
        <f t="shared" si="9"/>
        <v>3.8034344586403313E-2</v>
      </c>
      <c r="W43" s="41">
        <f t="shared" si="8"/>
        <v>6.6003778920994405E-2</v>
      </c>
      <c r="X43" s="41">
        <f t="shared" si="8"/>
        <v>-0.10343584008627993</v>
      </c>
      <c r="Y43" s="41">
        <f t="shared" si="8"/>
        <v>7.9712820668993434E-3</v>
      </c>
    </row>
    <row r="44" spans="2:32" x14ac:dyDescent="0.55000000000000004">
      <c r="B44" s="36" t="s">
        <v>209</v>
      </c>
      <c r="C44" s="67">
        <f t="shared" si="0"/>
        <v>878999</v>
      </c>
      <c r="D44" s="40">
        <f>IF(ECA!C44=0,NA(),ECA!C44)</f>
        <v>325895</v>
      </c>
      <c r="E44" s="40">
        <f>IF(CAA!C44=0,NA(),CAA!C44)</f>
        <v>223503</v>
      </c>
      <c r="F44" s="40">
        <f>IF(NCA!C44=0,NA(),NCA!C44)</f>
        <v>106087</v>
      </c>
      <c r="G44" s="40">
        <f>IF(IVC!C44=0,NA(),IVC!C44)</f>
        <v>169213</v>
      </c>
      <c r="H44" s="40">
        <f>IF(BR!C44=0,NA(),BR!C44)</f>
        <v>54301</v>
      </c>
    </row>
    <row r="45" spans="2:32" x14ac:dyDescent="0.55000000000000004">
      <c r="B45" s="143" t="s">
        <v>210</v>
      </c>
      <c r="C45" s="144">
        <f>C41*(1+$C$49)</f>
        <v>788079</v>
      </c>
      <c r="D45" s="145">
        <f t="shared" ref="D45:H45" si="10">D41*(1+$C$49)</f>
        <v>331762</v>
      </c>
      <c r="E45" s="145">
        <f t="shared" si="10"/>
        <v>182118</v>
      </c>
      <c r="F45" s="145">
        <f t="shared" si="10"/>
        <v>101865</v>
      </c>
      <c r="G45" s="145">
        <f t="shared" si="10"/>
        <v>124277</v>
      </c>
      <c r="H45" s="145">
        <f t="shared" si="10"/>
        <v>48057</v>
      </c>
      <c r="AD45" s="38"/>
    </row>
    <row r="46" spans="2:32" x14ac:dyDescent="0.55000000000000004">
      <c r="B46" s="143" t="s">
        <v>211</v>
      </c>
      <c r="C46" s="144">
        <f>C42*(1+$C$49)</f>
        <v>794361</v>
      </c>
      <c r="D46" s="145">
        <f t="shared" ref="D46:H46" si="11">D42*(1+$C$49)</f>
        <v>337353</v>
      </c>
      <c r="E46" s="145">
        <f t="shared" si="11"/>
        <v>183413</v>
      </c>
      <c r="F46" s="145">
        <f t="shared" si="11"/>
        <v>112784</v>
      </c>
      <c r="G46" s="145">
        <f t="shared" si="11"/>
        <v>112341</v>
      </c>
      <c r="H46" s="145">
        <f t="shared" si="11"/>
        <v>48470</v>
      </c>
      <c r="AD46" s="38"/>
    </row>
    <row r="49" spans="2:28" x14ac:dyDescent="0.55000000000000004">
      <c r="B49" s="141" t="s">
        <v>312</v>
      </c>
      <c r="C49" s="142">
        <v>0</v>
      </c>
      <c r="M49" s="131" t="s">
        <v>62</v>
      </c>
      <c r="N49" s="34" t="s">
        <v>1</v>
      </c>
      <c r="O49" s="34" t="s">
        <v>3</v>
      </c>
      <c r="P49" s="34" t="s">
        <v>2</v>
      </c>
      <c r="Q49" s="34" t="s">
        <v>65</v>
      </c>
      <c r="R49" s="34" t="s">
        <v>66</v>
      </c>
    </row>
    <row r="50" spans="2:28" x14ac:dyDescent="0.55000000000000004">
      <c r="L50" s="29" t="s">
        <v>161</v>
      </c>
      <c r="M50" s="132">
        <f>AVERAGE(C7:C42)</f>
        <v>880853.13888888888</v>
      </c>
      <c r="N50" s="38">
        <f>AVERAGE(D7:D43)</f>
        <v>352926.48648648651</v>
      </c>
      <c r="O50" s="38">
        <f t="shared" ref="O50:R50" si="12">AVERAGE(E7:E43)</f>
        <v>207723.56756756757</v>
      </c>
      <c r="P50" s="38">
        <f t="shared" si="12"/>
        <v>114647.37837837837</v>
      </c>
      <c r="Q50" s="38">
        <f t="shared" si="12"/>
        <v>146768.54054054053</v>
      </c>
      <c r="R50" s="38">
        <f t="shared" si="12"/>
        <v>57266.108108108107</v>
      </c>
      <c r="U50" s="65"/>
      <c r="W50" s="65"/>
      <c r="X50" s="69"/>
      <c r="Y50" s="68"/>
      <c r="Z50" s="68"/>
      <c r="AA50" s="68"/>
      <c r="AB50" s="68"/>
    </row>
    <row r="51" spans="2:28" x14ac:dyDescent="0.55000000000000004">
      <c r="M51" s="80"/>
      <c r="N51" s="81"/>
      <c r="O51" s="81"/>
      <c r="P51" s="81"/>
    </row>
    <row r="52" spans="2:28" x14ac:dyDescent="0.55000000000000004">
      <c r="M52" s="80"/>
      <c r="N52" s="34" t="s">
        <v>1</v>
      </c>
      <c r="O52" s="34" t="s">
        <v>3</v>
      </c>
      <c r="P52" s="34" t="s">
        <v>2</v>
      </c>
      <c r="Q52" s="34" t="s">
        <v>65</v>
      </c>
      <c r="R52" s="34" t="s">
        <v>66</v>
      </c>
    </row>
    <row r="53" spans="2:28" x14ac:dyDescent="0.55000000000000004">
      <c r="M53" s="80"/>
      <c r="N53" s="68">
        <f>N50/$M$50</f>
        <v>0.40066439103761287</v>
      </c>
      <c r="O53" s="68">
        <f>O50/$M$50</f>
        <v>0.23582088590794009</v>
      </c>
      <c r="P53" s="68">
        <f>P50/$M$50</f>
        <v>0.13015492971165996</v>
      </c>
      <c r="Q53" s="68">
        <f>Q50/$M$50</f>
        <v>0.16662089746955419</v>
      </c>
      <c r="R53" s="68">
        <f>R50/$M$50</f>
        <v>6.501209518347606E-2</v>
      </c>
    </row>
    <row r="54" spans="2:28" x14ac:dyDescent="0.55000000000000004">
      <c r="M54" s="80"/>
      <c r="N54" s="81"/>
      <c r="O54" s="81"/>
      <c r="P54" s="81"/>
    </row>
    <row r="55" spans="2:28" x14ac:dyDescent="0.55000000000000004">
      <c r="C55" s="80"/>
      <c r="D55" s="82"/>
      <c r="E55" s="82"/>
      <c r="F55" s="82"/>
      <c r="M55" s="80"/>
      <c r="N55" s="81"/>
      <c r="O55" s="81"/>
      <c r="P55" s="81"/>
      <c r="X55" s="45"/>
    </row>
    <row r="57" spans="2:28" x14ac:dyDescent="0.55000000000000004">
      <c r="E57" s="70"/>
    </row>
    <row r="137" spans="6:15" x14ac:dyDescent="0.55000000000000004">
      <c r="G137" s="29" t="s">
        <v>171</v>
      </c>
      <c r="H137" s="29" t="s">
        <v>172</v>
      </c>
      <c r="I137" s="29" t="s">
        <v>173</v>
      </c>
      <c r="O137" s="29">
        <v>60780</v>
      </c>
    </row>
    <row r="138" spans="6:15" x14ac:dyDescent="0.55000000000000004">
      <c r="F138" s="29" t="s">
        <v>55</v>
      </c>
      <c r="G138" s="81">
        <v>898937</v>
      </c>
      <c r="H138" s="81">
        <v>1133619</v>
      </c>
      <c r="I138" s="81">
        <f>H138-G138</f>
        <v>234682</v>
      </c>
      <c r="O138" s="29">
        <v>81866</v>
      </c>
    </row>
    <row r="139" spans="6:15" x14ac:dyDescent="0.55000000000000004">
      <c r="F139" s="29" t="s">
        <v>56</v>
      </c>
      <c r="G139" s="81">
        <v>931501</v>
      </c>
      <c r="H139" s="81">
        <v>1188932</v>
      </c>
      <c r="I139" s="81">
        <f t="shared" ref="I139:I145" si="13">H139-G139</f>
        <v>257431</v>
      </c>
      <c r="O139" s="29">
        <v>24582</v>
      </c>
    </row>
    <row r="140" spans="6:15" x14ac:dyDescent="0.55000000000000004">
      <c r="F140" s="29" t="s">
        <v>57</v>
      </c>
      <c r="G140" s="81">
        <v>857505</v>
      </c>
      <c r="H140" s="81">
        <v>1147784</v>
      </c>
      <c r="I140" s="81">
        <f t="shared" si="13"/>
        <v>290279</v>
      </c>
    </row>
    <row r="141" spans="6:15" x14ac:dyDescent="0.55000000000000004">
      <c r="F141" s="29" t="s">
        <v>58</v>
      </c>
      <c r="G141" s="81">
        <v>909648</v>
      </c>
      <c r="H141" s="81">
        <v>1139289</v>
      </c>
      <c r="I141" s="81">
        <f t="shared" si="13"/>
        <v>229641</v>
      </c>
    </row>
    <row r="142" spans="6:15" x14ac:dyDescent="0.55000000000000004">
      <c r="F142" s="29" t="s">
        <v>73</v>
      </c>
      <c r="G142" s="81">
        <v>886639</v>
      </c>
      <c r="H142" s="81">
        <v>1127894</v>
      </c>
      <c r="I142" s="81">
        <f t="shared" si="13"/>
        <v>241255</v>
      </c>
      <c r="O142" s="29">
        <f>SUM(O137:O139)</f>
        <v>167228</v>
      </c>
    </row>
    <row r="143" spans="6:15" x14ac:dyDescent="0.55000000000000004">
      <c r="F143" s="29" t="s">
        <v>151</v>
      </c>
      <c r="G143" s="81">
        <v>898996</v>
      </c>
      <c r="H143" s="81">
        <v>1198656</v>
      </c>
      <c r="I143" s="81">
        <f t="shared" si="13"/>
        <v>299660</v>
      </c>
    </row>
    <row r="144" spans="6:15" x14ac:dyDescent="0.55000000000000004">
      <c r="F144" s="29" t="s">
        <v>160</v>
      </c>
      <c r="G144" s="81">
        <v>775695</v>
      </c>
      <c r="H144" s="81">
        <v>1104060</v>
      </c>
      <c r="I144" s="81">
        <f t="shared" si="13"/>
        <v>328365</v>
      </c>
    </row>
    <row r="145" spans="6:9" x14ac:dyDescent="0.55000000000000004">
      <c r="F145" s="29" t="s">
        <v>162</v>
      </c>
      <c r="G145" s="81">
        <v>796661</v>
      </c>
      <c r="H145" s="81">
        <v>1019749</v>
      </c>
      <c r="I145" s="81">
        <f t="shared" si="13"/>
        <v>223088</v>
      </c>
    </row>
  </sheetData>
  <mergeCells count="4">
    <mergeCell ref="A1:AL1"/>
    <mergeCell ref="U18:Y18"/>
    <mergeCell ref="AD18:AE18"/>
    <mergeCell ref="U32:Y32"/>
  </mergeCells>
  <conditionalFormatting sqref="N53:R53">
    <cfRule type="colorScale" priority="4">
      <colorScale>
        <cfvo type="min"/>
        <cfvo type="max"/>
        <color rgb="FFFCFCFF"/>
        <color rgb="FF63BE7B"/>
      </colorScale>
    </cfRule>
  </conditionalFormatting>
  <conditionalFormatting sqref="P54:P55 P5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{307955FF-6F4A-4986-B879-6ED3C93AF325}</x14:id>
        </ext>
      </extLst>
    </cfRule>
  </conditionalFormatting>
  <conditionalFormatting sqref="V21:AB28 V29:Y2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{75D86C1C-EF6F-4411-A40F-A1A452801630}</x14:id>
        </ext>
      </extLst>
    </cfRule>
  </conditionalFormatting>
  <conditionalFormatting sqref="V34:AB42 V43:Y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{8790BF8F-9363-422F-82EE-74923C738D4C}</x14:id>
        </ext>
      </extLst>
    </cfRule>
  </conditionalFormatting>
  <conditionalFormatting sqref="Z7:Z1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:AA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{EA9B7176-3AE1-4D17-8B28-2BCB844AF99E}</x14:id>
        </ext>
      </extLst>
    </cfRule>
  </conditionalFormatting>
  <conditionalFormatting sqref="AA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7:AB15 V7:Y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:AE1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:AF1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{C52D7183-F606-4FE5-AD07-6D4596BD62DE}</x14:id>
        </ext>
      </extLst>
    </cfRule>
  </conditionalFormatting>
  <dataValidations disablePrompts="1" count="1">
    <dataValidation type="list" allowBlank="1" showInputMessage="1" showErrorMessage="1" sqref="AF18" xr:uid="{7C34986D-F38D-4675-8272-AB5BE5D804D0}">
      <formula1>$V$6:$Y$6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7955FF-6F4A-4986-B879-6ED3C93AF3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P54:P55 P51</xm:sqref>
        </x14:conditionalFormatting>
        <x14:conditionalFormatting xmlns:xm="http://schemas.microsoft.com/office/excel/2006/main">
          <x14:cfRule type="dataBar" id="{75D86C1C-EF6F-4411-A40F-A1A4528016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V21:AB28 V29:Y29</xm:sqref>
        </x14:conditionalFormatting>
        <x14:conditionalFormatting xmlns:xm="http://schemas.microsoft.com/office/excel/2006/main">
          <x14:cfRule type="dataBar" id="{8790BF8F-9363-422F-82EE-74923C738D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V34:AB42 V43:Y43</xm:sqref>
        </x14:conditionalFormatting>
        <x14:conditionalFormatting xmlns:xm="http://schemas.microsoft.com/office/excel/2006/main">
          <x14:cfRule type="dataBar" id="{EA9B7176-3AE1-4D17-8B28-2BCB844AF9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AA8:AA15</xm:sqref>
        </x14:conditionalFormatting>
        <x14:conditionalFormatting xmlns:xm="http://schemas.microsoft.com/office/excel/2006/main">
          <x14:cfRule type="dataBar" id="{C52D7183-F606-4FE5-AD07-6D4596BD6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AF8:AF16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9C73-440D-47DD-8005-37EDF3724577}">
  <sheetPr codeName="Sheet6"/>
  <dimension ref="A1:AH51"/>
  <sheetViews>
    <sheetView showGridLines="0" tabSelected="1" zoomScale="55" zoomScaleNormal="55" workbookViewId="0">
      <selection activeCell="L50" sqref="L50"/>
    </sheetView>
  </sheetViews>
  <sheetFormatPr defaultColWidth="9.15625" defaultRowHeight="14.4" x14ac:dyDescent="0.55000000000000004"/>
  <cols>
    <col min="1" max="1" width="9.15625" style="7"/>
    <col min="2" max="2" width="14.578125" style="7" bestFit="1" customWidth="1"/>
    <col min="3" max="3" width="11.578125" style="7" bestFit="1" customWidth="1"/>
    <col min="4" max="4" width="9.15625" style="7"/>
    <col min="5" max="5" width="3.83984375" style="7" customWidth="1"/>
    <col min="6" max="6" width="4.41796875" style="7" customWidth="1"/>
    <col min="7" max="7" width="5" style="7" customWidth="1"/>
    <col min="8" max="8" width="9.15625" style="7"/>
    <col min="9" max="9" width="3.41796875" style="7" customWidth="1"/>
    <col min="10" max="10" width="6.68359375" style="7" customWidth="1"/>
    <col min="11" max="11" width="6.15625" style="7" customWidth="1"/>
    <col min="12" max="13" width="6.83984375" style="7" customWidth="1"/>
    <col min="14" max="14" width="9.15625" style="7"/>
    <col min="15" max="15" width="3.83984375" style="7" customWidth="1"/>
    <col min="16" max="16" width="9.15625" style="7"/>
    <col min="17" max="20" width="11.578125" style="7" bestFit="1" customWidth="1"/>
    <col min="21" max="23" width="11.578125" style="7" customWidth="1"/>
    <col min="24" max="24" width="11.26171875" style="7" customWidth="1"/>
    <col min="25" max="25" width="9.15625" style="7"/>
    <col min="26" max="26" width="13.578125" style="7" customWidth="1"/>
    <col min="27" max="27" width="11.578125" style="7" bestFit="1" customWidth="1"/>
    <col min="28" max="16384" width="9.15625" style="7"/>
  </cols>
  <sheetData>
    <row r="1" spans="1:34" s="5" customFormat="1" ht="55.5" customHeight="1" x14ac:dyDescent="0.55000000000000004">
      <c r="A1" s="148" t="s">
        <v>60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4" s="6" customFormat="1" ht="5.25" customHeight="1" x14ac:dyDescent="0.6"/>
    <row r="3" spans="1:34" ht="8.25" customHeight="1" x14ac:dyDescent="0.55000000000000004">
      <c r="Y3" s="20">
        <f>COUNT(Q16:T16)</f>
        <v>3</v>
      </c>
      <c r="Z3" s="19" t="str">
        <f ca="1">OFFSET(P6,0,$Y$3,1,1)</f>
        <v>Q3</v>
      </c>
    </row>
    <row r="4" spans="1:34" x14ac:dyDescent="0.55000000000000004">
      <c r="C4" s="72"/>
      <c r="Y4" s="20"/>
      <c r="Z4" s="19"/>
    </row>
    <row r="5" spans="1:34" ht="14.7" thickBot="1" x14ac:dyDescent="0.6">
      <c r="Q5" s="7">
        <v>1</v>
      </c>
      <c r="R5" s="7">
        <v>2</v>
      </c>
      <c r="S5" s="7">
        <v>3</v>
      </c>
      <c r="T5" s="7">
        <v>4</v>
      </c>
    </row>
    <row r="6" spans="1:34" ht="15.6" x14ac:dyDescent="0.6">
      <c r="B6" s="23" t="s">
        <v>7</v>
      </c>
      <c r="C6" s="23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W6" s="24"/>
      <c r="Y6" s="16" t="s">
        <v>13</v>
      </c>
      <c r="Z6" s="16" t="str">
        <f ca="1">_xlfn.CONCAT("YTD (Q1 to ",Z3,")")</f>
        <v>YTD (Q1 to Q3)</v>
      </c>
      <c r="AA6" s="16" t="s">
        <v>14</v>
      </c>
      <c r="AE6" s="15" t="s">
        <v>9</v>
      </c>
      <c r="AF6" s="15" t="s">
        <v>10</v>
      </c>
      <c r="AG6" s="15" t="s">
        <v>11</v>
      </c>
      <c r="AH6" s="15" t="s">
        <v>12</v>
      </c>
    </row>
    <row r="7" spans="1:34" x14ac:dyDescent="0.55000000000000004">
      <c r="B7" s="21" t="s">
        <v>15</v>
      </c>
      <c r="C7" s="37">
        <v>120152</v>
      </c>
      <c r="P7" s="28" t="s">
        <v>16</v>
      </c>
      <c r="Q7" s="10">
        <f>C7</f>
        <v>120152</v>
      </c>
      <c r="R7" s="10">
        <f>C8</f>
        <v>120152</v>
      </c>
      <c r="S7" s="10">
        <f>C9</f>
        <v>123125</v>
      </c>
      <c r="T7" s="10">
        <f>C10</f>
        <v>125323</v>
      </c>
      <c r="U7" s="95">
        <f>SUM(Q7:T7)</f>
        <v>488752</v>
      </c>
      <c r="V7" s="96"/>
      <c r="W7" s="8"/>
      <c r="Y7" s="28" t="s">
        <v>16</v>
      </c>
      <c r="Z7" s="30">
        <f ca="1">SUM(OFFSET(Q7,0,0,1,$Y$3))</f>
        <v>363429</v>
      </c>
      <c r="AA7"/>
      <c r="AD7" s="9" t="str">
        <f>P7</f>
        <v>16/17</v>
      </c>
      <c r="AE7" s="12">
        <f>Q7</f>
        <v>120152</v>
      </c>
      <c r="AF7" s="12">
        <f>AE7+R7</f>
        <v>240304</v>
      </c>
      <c r="AG7" s="12">
        <f>AF7+S7</f>
        <v>363429</v>
      </c>
      <c r="AH7" s="12">
        <f>AG7+T7</f>
        <v>488752</v>
      </c>
    </row>
    <row r="8" spans="1:34" x14ac:dyDescent="0.55000000000000004">
      <c r="B8" s="21" t="s">
        <v>17</v>
      </c>
      <c r="C8" s="40">
        <v>120152</v>
      </c>
      <c r="P8" s="28" t="s">
        <v>18</v>
      </c>
      <c r="Q8" s="10">
        <f>C11</f>
        <v>116080</v>
      </c>
      <c r="R8" s="10">
        <f>C12</f>
        <v>118778</v>
      </c>
      <c r="S8" s="10">
        <f>C13</f>
        <v>119301</v>
      </c>
      <c r="T8" s="10">
        <f>C14</f>
        <v>128494</v>
      </c>
      <c r="U8" s="95">
        <f t="shared" ref="U8:U15" si="0">SUM(Q8:T8)</f>
        <v>482653</v>
      </c>
      <c r="V8" s="97">
        <f>U8/U7-1</f>
        <v>-1.2478721314695407E-2</v>
      </c>
      <c r="W8" s="8"/>
      <c r="Y8" s="28" t="s">
        <v>18</v>
      </c>
      <c r="Z8" s="30">
        <f t="shared" ref="Z8:Z12" ca="1" si="1">SUM(OFFSET(Q8,0,0,1,$Y$3))</f>
        <v>354159</v>
      </c>
      <c r="AA8" s="31">
        <f ca="1">Z8/Z7-1</f>
        <v>-2.5507045392635153E-2</v>
      </c>
      <c r="AD8" s="9" t="str">
        <f t="shared" ref="AD8:AD15" si="2">P8</f>
        <v>17/18</v>
      </c>
      <c r="AE8" s="12">
        <f t="shared" ref="AE8:AE15" si="3">Q8</f>
        <v>116080</v>
      </c>
      <c r="AF8" s="12">
        <f t="shared" ref="AF8:AF14" si="4">AE8+R8</f>
        <v>234858</v>
      </c>
      <c r="AG8" s="12">
        <f t="shared" ref="AG8:AG14" si="5">AF8+S8</f>
        <v>354159</v>
      </c>
      <c r="AH8" s="12">
        <f t="shared" ref="AH8:AH14" si="6">AG8+T8</f>
        <v>482653</v>
      </c>
    </row>
    <row r="9" spans="1:34" x14ac:dyDescent="0.55000000000000004">
      <c r="B9" s="21" t="s">
        <v>19</v>
      </c>
      <c r="C9" s="40">
        <v>123125</v>
      </c>
      <c r="P9" s="28" t="s">
        <v>20</v>
      </c>
      <c r="Q9" s="10">
        <f>C15</f>
        <v>117222</v>
      </c>
      <c r="R9" s="10">
        <f>C16</f>
        <v>121801</v>
      </c>
      <c r="S9" s="10">
        <f>C17</f>
        <v>124050</v>
      </c>
      <c r="T9" s="10">
        <f>C18</f>
        <v>123208</v>
      </c>
      <c r="U9" s="95">
        <f t="shared" si="0"/>
        <v>486281</v>
      </c>
      <c r="V9" s="97">
        <f t="shared" ref="V9:V15" si="7">U9/U8-1</f>
        <v>7.5167874228483367E-3</v>
      </c>
      <c r="W9" s="8"/>
      <c r="Y9" s="28" t="s">
        <v>20</v>
      </c>
      <c r="Z9" s="30">
        <f t="shared" ca="1" si="1"/>
        <v>363073</v>
      </c>
      <c r="AA9" s="31">
        <f t="shared" ref="AA9:AA15" ca="1" si="8">Z9/Z8-1</f>
        <v>2.5169486021815013E-2</v>
      </c>
      <c r="AD9" s="9" t="str">
        <f t="shared" si="2"/>
        <v>18/19</v>
      </c>
      <c r="AE9" s="12">
        <f t="shared" si="3"/>
        <v>117222</v>
      </c>
      <c r="AF9" s="12">
        <f t="shared" si="4"/>
        <v>239023</v>
      </c>
      <c r="AG9" s="12">
        <f t="shared" si="5"/>
        <v>363073</v>
      </c>
      <c r="AH9" s="12">
        <f t="shared" si="6"/>
        <v>486281</v>
      </c>
    </row>
    <row r="10" spans="1:34" x14ac:dyDescent="0.55000000000000004">
      <c r="B10" s="22" t="s">
        <v>21</v>
      </c>
      <c r="C10" s="43">
        <v>125323</v>
      </c>
      <c r="P10" s="28" t="s">
        <v>22</v>
      </c>
      <c r="Q10" s="10">
        <f>C19</f>
        <v>110371</v>
      </c>
      <c r="R10" s="10">
        <f>C20</f>
        <v>115591</v>
      </c>
      <c r="S10" s="10">
        <f>C21</f>
        <v>110776</v>
      </c>
      <c r="T10" s="10">
        <f>C22</f>
        <v>118260</v>
      </c>
      <c r="U10" s="95">
        <f t="shared" si="0"/>
        <v>454998</v>
      </c>
      <c r="V10" s="97">
        <f t="shared" si="7"/>
        <v>-6.4331117193556775E-2</v>
      </c>
      <c r="W10" s="8"/>
      <c r="Y10" s="28" t="s">
        <v>22</v>
      </c>
      <c r="Z10" s="30">
        <f t="shared" ca="1" si="1"/>
        <v>336738</v>
      </c>
      <c r="AA10" s="31">
        <f t="shared" ca="1" si="8"/>
        <v>-7.2533622714991197E-2</v>
      </c>
      <c r="AD10" s="9" t="str">
        <f t="shared" si="2"/>
        <v>19/20</v>
      </c>
      <c r="AE10" s="12">
        <f t="shared" si="3"/>
        <v>110371</v>
      </c>
      <c r="AF10" s="12">
        <f t="shared" si="4"/>
        <v>225962</v>
      </c>
      <c r="AG10" s="12">
        <f t="shared" si="5"/>
        <v>336738</v>
      </c>
      <c r="AH10" s="12">
        <f t="shared" si="6"/>
        <v>454998</v>
      </c>
    </row>
    <row r="11" spans="1:34" x14ac:dyDescent="0.55000000000000004">
      <c r="B11" s="21" t="s">
        <v>23</v>
      </c>
      <c r="C11" s="39">
        <v>116080</v>
      </c>
      <c r="P11" s="28" t="s">
        <v>24</v>
      </c>
      <c r="Q11" s="10">
        <f>C23</f>
        <v>118043</v>
      </c>
      <c r="R11" s="10">
        <f>C24</f>
        <v>117956</v>
      </c>
      <c r="S11" s="10">
        <f>C25</f>
        <v>123719</v>
      </c>
      <c r="T11" s="10">
        <f>C26</f>
        <v>123399</v>
      </c>
      <c r="U11" s="95">
        <f t="shared" si="0"/>
        <v>483117</v>
      </c>
      <c r="V11" s="97">
        <f t="shared" si="7"/>
        <v>6.1800271649545602E-2</v>
      </c>
      <c r="W11" s="8"/>
      <c r="Y11" s="28" t="s">
        <v>24</v>
      </c>
      <c r="Z11" s="30">
        <f t="shared" ca="1" si="1"/>
        <v>359718</v>
      </c>
      <c r="AA11" s="31">
        <f t="shared" ca="1" si="8"/>
        <v>6.824296634178495E-2</v>
      </c>
      <c r="AD11" s="9" t="str">
        <f t="shared" si="2"/>
        <v>20/21</v>
      </c>
      <c r="AE11" s="12">
        <f t="shared" si="3"/>
        <v>118043</v>
      </c>
      <c r="AF11" s="12">
        <f t="shared" si="4"/>
        <v>235999</v>
      </c>
      <c r="AG11" s="12">
        <f t="shared" si="5"/>
        <v>359718</v>
      </c>
      <c r="AH11" s="12">
        <f t="shared" si="6"/>
        <v>483117</v>
      </c>
    </row>
    <row r="12" spans="1:34" x14ac:dyDescent="0.55000000000000004">
      <c r="B12" s="21" t="s">
        <v>25</v>
      </c>
      <c r="C12" s="39">
        <v>118778</v>
      </c>
      <c r="P12" s="28" t="s">
        <v>26</v>
      </c>
      <c r="Q12" s="10">
        <f>C27</f>
        <v>116641</v>
      </c>
      <c r="R12" s="10">
        <f>C28</f>
        <v>114694</v>
      </c>
      <c r="S12" s="10">
        <f>C29</f>
        <v>115899</v>
      </c>
      <c r="T12" s="10">
        <f>C30</f>
        <v>119244</v>
      </c>
      <c r="U12" s="95">
        <f t="shared" si="0"/>
        <v>466478</v>
      </c>
      <c r="V12" s="97">
        <f t="shared" si="7"/>
        <v>-3.4440932527731394E-2</v>
      </c>
      <c r="W12" s="8"/>
      <c r="Y12" s="28" t="s">
        <v>26</v>
      </c>
      <c r="Z12" s="30">
        <f t="shared" ca="1" si="1"/>
        <v>347234</v>
      </c>
      <c r="AA12" s="31">
        <f t="shared" ca="1" si="8"/>
        <v>-3.470496333238815E-2</v>
      </c>
      <c r="AD12" s="9" t="str">
        <f t="shared" si="2"/>
        <v>21/22</v>
      </c>
      <c r="AE12" s="12">
        <f t="shared" si="3"/>
        <v>116641</v>
      </c>
      <c r="AF12" s="12">
        <f t="shared" si="4"/>
        <v>231335</v>
      </c>
      <c r="AG12" s="12">
        <f t="shared" si="5"/>
        <v>347234</v>
      </c>
      <c r="AH12" s="12">
        <f t="shared" si="6"/>
        <v>466478</v>
      </c>
    </row>
    <row r="13" spans="1:34" x14ac:dyDescent="0.55000000000000004">
      <c r="B13" s="21" t="s">
        <v>27</v>
      </c>
      <c r="C13" s="39">
        <v>119301</v>
      </c>
      <c r="P13" s="28" t="s">
        <v>28</v>
      </c>
      <c r="Q13" s="10">
        <f>IF(C31=0,"",C31)</f>
        <v>107130</v>
      </c>
      <c r="R13" s="10">
        <f>IF(C32=0,"",C32)</f>
        <v>109666</v>
      </c>
      <c r="S13" s="10">
        <f>IF(C33=0,"",C33)</f>
        <v>102493</v>
      </c>
      <c r="T13" s="10">
        <f>IF(C34=0,NA(),C34)</f>
        <v>97881</v>
      </c>
      <c r="U13" s="95">
        <f t="shared" si="0"/>
        <v>417170</v>
      </c>
      <c r="V13" s="97">
        <f t="shared" si="7"/>
        <v>-0.10570273410535969</v>
      </c>
      <c r="W13" s="8"/>
      <c r="Y13" s="28" t="s">
        <v>28</v>
      </c>
      <c r="Z13" s="30">
        <f ca="1">SUM(OFFSET(Q13,0,0,1,$Y$3))</f>
        <v>319289</v>
      </c>
      <c r="AA13" s="31">
        <f t="shared" ca="1" si="8"/>
        <v>-8.047887015672428E-2</v>
      </c>
      <c r="AD13" s="9" t="str">
        <f t="shared" si="2"/>
        <v>22/23</v>
      </c>
      <c r="AE13" s="12">
        <f t="shared" si="3"/>
        <v>107130</v>
      </c>
      <c r="AF13" s="12">
        <f t="shared" si="4"/>
        <v>216796</v>
      </c>
      <c r="AG13" s="12">
        <f t="shared" si="5"/>
        <v>319289</v>
      </c>
      <c r="AH13" s="12">
        <f t="shared" si="6"/>
        <v>417170</v>
      </c>
    </row>
    <row r="14" spans="1:34" x14ac:dyDescent="0.55000000000000004">
      <c r="B14" s="22" t="s">
        <v>29</v>
      </c>
      <c r="C14" s="43">
        <v>128494</v>
      </c>
      <c r="P14" s="28" t="s">
        <v>30</v>
      </c>
      <c r="Q14" s="10">
        <f>IF(C35=0,"",C35)</f>
        <v>103971</v>
      </c>
      <c r="R14" s="10">
        <f>C36</f>
        <v>113683</v>
      </c>
      <c r="S14" s="10">
        <f>C37</f>
        <v>104781</v>
      </c>
      <c r="T14" s="10">
        <f>C38</f>
        <v>109264</v>
      </c>
      <c r="U14" s="95">
        <f t="shared" si="0"/>
        <v>431699</v>
      </c>
      <c r="V14" s="97">
        <f t="shared" si="7"/>
        <v>3.4827528345758418E-2</v>
      </c>
      <c r="W14" s="8"/>
      <c r="Y14" s="28" t="s">
        <v>30</v>
      </c>
      <c r="Z14" s="30">
        <f ca="1">SUM(OFFSET(Q14,0,0,1,$Y$3))</f>
        <v>322435</v>
      </c>
      <c r="AA14" s="31">
        <f t="shared" ca="1" si="8"/>
        <v>9.853142450882979E-3</v>
      </c>
      <c r="AD14" s="9" t="str">
        <f t="shared" si="2"/>
        <v>23/24</v>
      </c>
      <c r="AE14" s="12">
        <f t="shared" si="3"/>
        <v>103971</v>
      </c>
      <c r="AF14" s="12">
        <f t="shared" si="4"/>
        <v>217654</v>
      </c>
      <c r="AG14" s="12">
        <f t="shared" si="5"/>
        <v>322435</v>
      </c>
      <c r="AH14" s="12">
        <f t="shared" si="6"/>
        <v>431699</v>
      </c>
    </row>
    <row r="15" spans="1:34" x14ac:dyDescent="0.55000000000000004">
      <c r="B15" s="21" t="s">
        <v>31</v>
      </c>
      <c r="C15" s="39">
        <v>117222</v>
      </c>
      <c r="P15" s="28" t="s">
        <v>74</v>
      </c>
      <c r="Q15" s="10">
        <f>C39</f>
        <v>102761</v>
      </c>
      <c r="R15" s="10">
        <f>C40</f>
        <v>110278</v>
      </c>
      <c r="S15" s="10">
        <f>C41</f>
        <v>101865</v>
      </c>
      <c r="T15" s="10">
        <f>C42</f>
        <v>112784</v>
      </c>
      <c r="U15" s="95">
        <f t="shared" si="0"/>
        <v>427688</v>
      </c>
      <c r="V15" s="97">
        <f t="shared" si="7"/>
        <v>-9.2911959490292739E-3</v>
      </c>
      <c r="W15" s="8"/>
      <c r="Y15" s="28" t="s">
        <v>74</v>
      </c>
      <c r="Z15" s="30">
        <f ca="1">SUM(OFFSET(Q15,0,0,1,$Y$3))</f>
        <v>314904</v>
      </c>
      <c r="AA15" s="31">
        <f t="shared" ca="1" si="8"/>
        <v>-2.3356645525454689E-2</v>
      </c>
      <c r="AD15" s="9" t="str">
        <f t="shared" si="2"/>
        <v>24/25</v>
      </c>
      <c r="AE15" s="12">
        <f t="shared" si="3"/>
        <v>102761</v>
      </c>
      <c r="AF15" s="12"/>
      <c r="AG15" s="12"/>
      <c r="AH15" s="12"/>
    </row>
    <row r="16" spans="1:34" ht="14.7" thickBot="1" x14ac:dyDescent="0.6">
      <c r="B16" s="21" t="s">
        <v>32</v>
      </c>
      <c r="C16" s="39">
        <v>121801</v>
      </c>
      <c r="P16" s="28" t="s">
        <v>165</v>
      </c>
      <c r="Q16" s="10">
        <f>C43</f>
        <v>103117</v>
      </c>
      <c r="R16" s="10">
        <f>C44</f>
        <v>106087</v>
      </c>
      <c r="S16" s="10">
        <f>C45</f>
        <v>109659</v>
      </c>
      <c r="T16" s="10"/>
      <c r="U16" s="98"/>
      <c r="V16" s="99"/>
      <c r="Y16" s="28" t="s">
        <v>165</v>
      </c>
      <c r="Z16" s="30">
        <f ca="1">SUM(OFFSET(Q16,0,0,1,$Y$3))</f>
        <v>318863</v>
      </c>
      <c r="AA16" s="31">
        <f t="shared" ref="AA16" ca="1" si="9">Z16/Z15-1</f>
        <v>1.2572085460965887E-2</v>
      </c>
    </row>
    <row r="17" spans="2:29" x14ac:dyDescent="0.55000000000000004">
      <c r="B17" s="21" t="s">
        <v>33</v>
      </c>
      <c r="C17" s="39">
        <v>124050</v>
      </c>
    </row>
    <row r="18" spans="2:29" ht="15.6" x14ac:dyDescent="0.6">
      <c r="B18" s="22" t="s">
        <v>34</v>
      </c>
      <c r="C18" s="43">
        <v>123208</v>
      </c>
      <c r="P18" s="149" t="s">
        <v>35</v>
      </c>
      <c r="Q18" s="149"/>
      <c r="R18" s="149"/>
      <c r="S18" s="149"/>
      <c r="T18" s="149"/>
      <c r="U18" s="92"/>
      <c r="V18" s="92"/>
      <c r="W18" s="92"/>
      <c r="Y18" s="150" t="s">
        <v>36</v>
      </c>
      <c r="Z18" s="150"/>
      <c r="AA18" s="25" t="s">
        <v>11</v>
      </c>
    </row>
    <row r="19" spans="2:29" x14ac:dyDescent="0.55000000000000004">
      <c r="B19" s="21" t="s">
        <v>37</v>
      </c>
      <c r="C19" s="39">
        <v>110371</v>
      </c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  <c r="W19" s="18"/>
    </row>
    <row r="20" spans="2:29" x14ac:dyDescent="0.55000000000000004">
      <c r="B20" s="21" t="s">
        <v>38</v>
      </c>
      <c r="C20" s="39">
        <v>115591</v>
      </c>
      <c r="P20" s="9" t="s">
        <v>16</v>
      </c>
      <c r="Q20" s="12"/>
      <c r="R20" s="12"/>
      <c r="S20" s="12"/>
      <c r="T20" s="12"/>
      <c r="U20" s="12"/>
      <c r="V20" s="12"/>
      <c r="W20" s="12"/>
    </row>
    <row r="21" spans="2:29" x14ac:dyDescent="0.55000000000000004">
      <c r="B21" s="21" t="s">
        <v>39</v>
      </c>
      <c r="C21" s="39">
        <v>110776</v>
      </c>
      <c r="P21" s="9" t="s">
        <v>18</v>
      </c>
      <c r="Q21" s="44">
        <f t="shared" ref="Q21:T29" si="10">IFERROR(Q8/Q7-1,"")</f>
        <v>-3.389040548638389E-2</v>
      </c>
      <c r="R21" s="44">
        <f t="shared" si="10"/>
        <v>-1.1435515014315167E-2</v>
      </c>
      <c r="S21" s="44">
        <f t="shared" si="10"/>
        <v>-3.1057868020304524E-2</v>
      </c>
      <c r="T21" s="44">
        <f t="shared" si="10"/>
        <v>2.5302618034997559E-2</v>
      </c>
      <c r="U21" s="44"/>
      <c r="V21" s="44"/>
      <c r="W21" s="44"/>
    </row>
    <row r="22" spans="2:29" x14ac:dyDescent="0.55000000000000004">
      <c r="B22" s="22" t="s">
        <v>40</v>
      </c>
      <c r="C22" s="43">
        <v>118260</v>
      </c>
      <c r="P22" s="9" t="s">
        <v>20</v>
      </c>
      <c r="Q22" s="44">
        <f t="shared" si="10"/>
        <v>9.8380427291522299E-3</v>
      </c>
      <c r="R22" s="44">
        <f t="shared" si="10"/>
        <v>2.5450841064843743E-2</v>
      </c>
      <c r="S22" s="44">
        <f t="shared" si="10"/>
        <v>3.9806875047149637E-2</v>
      </c>
      <c r="T22" s="44">
        <f t="shared" si="10"/>
        <v>-4.113810761591985E-2</v>
      </c>
      <c r="U22" s="44"/>
      <c r="V22" s="44"/>
      <c r="W22" s="44"/>
      <c r="Z22" s="7">
        <f>_xlfn.XLOOKUP(AA18,Q6:T6,Q5:T5)</f>
        <v>3</v>
      </c>
    </row>
    <row r="23" spans="2:29" x14ac:dyDescent="0.55000000000000004">
      <c r="B23" s="21" t="s">
        <v>41</v>
      </c>
      <c r="C23" s="39">
        <v>118043</v>
      </c>
      <c r="P23" s="9" t="s">
        <v>22</v>
      </c>
      <c r="Q23" s="44">
        <f t="shared" si="10"/>
        <v>-5.8444660558598205E-2</v>
      </c>
      <c r="R23" s="44">
        <f t="shared" si="10"/>
        <v>-5.0984803080434515E-2</v>
      </c>
      <c r="S23" s="44">
        <f t="shared" si="10"/>
        <v>-0.1070052398226522</v>
      </c>
      <c r="T23" s="44">
        <f t="shared" si="10"/>
        <v>-4.0159729887669582E-2</v>
      </c>
      <c r="U23" s="44"/>
      <c r="V23" s="44"/>
      <c r="W23" s="44"/>
      <c r="Z23" s="7" t="s">
        <v>42</v>
      </c>
    </row>
    <row r="24" spans="2:29" x14ac:dyDescent="0.55000000000000004">
      <c r="B24" s="21" t="s">
        <v>43</v>
      </c>
      <c r="C24" s="39">
        <v>117956</v>
      </c>
      <c r="P24" s="9" t="s">
        <v>24</v>
      </c>
      <c r="Q24" s="44">
        <f t="shared" si="10"/>
        <v>6.9511012856638077E-2</v>
      </c>
      <c r="R24" s="44">
        <f t="shared" si="10"/>
        <v>2.046007042070741E-2</v>
      </c>
      <c r="S24" s="44">
        <f t="shared" si="10"/>
        <v>0.11683938759298051</v>
      </c>
      <c r="T24" s="44">
        <f t="shared" si="10"/>
        <v>4.3455098934551017E-2</v>
      </c>
      <c r="U24" s="44"/>
      <c r="V24" s="44"/>
      <c r="W24" s="44"/>
      <c r="Z24" s="9" t="s">
        <v>16</v>
      </c>
      <c r="AA24" s="8" cm="1">
        <f t="array" aca="1" ref="AA24:AA33" ca="1">OFFSET(P7,0,$Z$22,COUNT($Q$7:$Q$16),1)</f>
        <v>123125</v>
      </c>
    </row>
    <row r="25" spans="2:29" x14ac:dyDescent="0.55000000000000004">
      <c r="B25" s="21" t="s">
        <v>44</v>
      </c>
      <c r="C25" s="39">
        <v>123719</v>
      </c>
      <c r="P25" s="9" t="s">
        <v>26</v>
      </c>
      <c r="Q25" s="44">
        <f t="shared" si="10"/>
        <v>-1.187702786272804E-2</v>
      </c>
      <c r="R25" s="44">
        <f t="shared" si="10"/>
        <v>-2.7654379599172607E-2</v>
      </c>
      <c r="S25" s="44">
        <f t="shared" si="10"/>
        <v>-6.3207753053290072E-2</v>
      </c>
      <c r="T25" s="44">
        <f t="shared" si="10"/>
        <v>-3.3671261517516315E-2</v>
      </c>
      <c r="U25" s="44"/>
      <c r="V25" s="44"/>
      <c r="W25" s="44"/>
      <c r="Z25" s="9" t="s">
        <v>18</v>
      </c>
      <c r="AA25" s="8">
        <f ca="1"/>
        <v>119301</v>
      </c>
      <c r="AC25" s="26" t="str">
        <f>_xlfn.CONCAT(A1," ",AA18," across Years")</f>
        <v>NCA Grinds Q3 across Years</v>
      </c>
    </row>
    <row r="26" spans="2:29" x14ac:dyDescent="0.55000000000000004">
      <c r="B26" s="22" t="s">
        <v>45</v>
      </c>
      <c r="C26" s="43">
        <v>123399</v>
      </c>
      <c r="P26" s="9" t="s">
        <v>28</v>
      </c>
      <c r="Q26" s="44">
        <f t="shared" si="10"/>
        <v>-8.1540796118003134E-2</v>
      </c>
      <c r="R26" s="44">
        <f t="shared" si="10"/>
        <v>-4.3838387361152309E-2</v>
      </c>
      <c r="S26" s="44">
        <f t="shared" si="10"/>
        <v>-0.11566967790921401</v>
      </c>
      <c r="T26" s="44">
        <f t="shared" si="10"/>
        <v>-0.17915366810908728</v>
      </c>
      <c r="U26" s="44"/>
      <c r="V26" s="44"/>
      <c r="W26" s="44"/>
      <c r="Z26" s="9" t="s">
        <v>20</v>
      </c>
      <c r="AA26" s="8">
        <f ca="1"/>
        <v>124050</v>
      </c>
    </row>
    <row r="27" spans="2:29" x14ac:dyDescent="0.55000000000000004">
      <c r="B27" s="21" t="s">
        <v>46</v>
      </c>
      <c r="C27" s="39">
        <v>116641</v>
      </c>
      <c r="P27" s="9" t="s">
        <v>30</v>
      </c>
      <c r="Q27" s="44">
        <f t="shared" si="10"/>
        <v>-2.9487538504620603E-2</v>
      </c>
      <c r="R27" s="44">
        <f>IFERROR(R14/R13-1,"")</f>
        <v>3.6629402002443801E-2</v>
      </c>
      <c r="S27" s="44">
        <f t="shared" si="10"/>
        <v>2.2323475749563393E-2</v>
      </c>
      <c r="T27" s="44">
        <f t="shared" si="10"/>
        <v>0.11629427570212814</v>
      </c>
      <c r="U27" s="44"/>
      <c r="V27" s="44"/>
      <c r="W27" s="44"/>
      <c r="Z27" s="9" t="s">
        <v>22</v>
      </c>
      <c r="AA27" s="8">
        <f ca="1"/>
        <v>110776</v>
      </c>
    </row>
    <row r="28" spans="2:29" x14ac:dyDescent="0.55000000000000004">
      <c r="B28" s="21" t="s">
        <v>47</v>
      </c>
      <c r="C28" s="39">
        <v>114694</v>
      </c>
      <c r="P28" s="9" t="s">
        <v>74</v>
      </c>
      <c r="Q28" s="44">
        <f>IFERROR(Q15/Q14-1,"")</f>
        <v>-1.1637860557270785E-2</v>
      </c>
      <c r="R28" s="44">
        <f>IFERROR(R15/R14-1,"")</f>
        <v>-2.9951707819111051E-2</v>
      </c>
      <c r="S28" s="44">
        <f t="shared" si="10"/>
        <v>-2.7829472900621322E-2</v>
      </c>
      <c r="T28" s="44">
        <f t="shared" si="10"/>
        <v>3.2215551325230685E-2</v>
      </c>
      <c r="U28" s="44"/>
      <c r="V28" s="44"/>
      <c r="W28" s="44"/>
      <c r="Z28" s="9" t="s">
        <v>24</v>
      </c>
      <c r="AA28" s="8">
        <f ca="1"/>
        <v>123719</v>
      </c>
    </row>
    <row r="29" spans="2:29" x14ac:dyDescent="0.55000000000000004">
      <c r="B29" s="21" t="s">
        <v>48</v>
      </c>
      <c r="C29" s="39">
        <v>115899</v>
      </c>
      <c r="P29" s="9" t="s">
        <v>165</v>
      </c>
      <c r="Q29" s="44">
        <f>IFERROR(Q16/Q15-1,"")</f>
        <v>3.464349315401849E-3</v>
      </c>
      <c r="R29" s="44">
        <f>IFERROR(R16/R15-1,"")</f>
        <v>-3.8003953644425881E-2</v>
      </c>
      <c r="S29" s="44">
        <f t="shared" si="10"/>
        <v>7.6513031954056787E-2</v>
      </c>
      <c r="Z29" s="9" t="s">
        <v>26</v>
      </c>
      <c r="AA29" s="8">
        <f ca="1"/>
        <v>115899</v>
      </c>
    </row>
    <row r="30" spans="2:29" x14ac:dyDescent="0.55000000000000004">
      <c r="B30" s="22" t="s">
        <v>49</v>
      </c>
      <c r="C30" s="43">
        <v>119244</v>
      </c>
      <c r="Z30" s="9" t="s">
        <v>28</v>
      </c>
      <c r="AA30" s="8">
        <f ca="1"/>
        <v>102493</v>
      </c>
    </row>
    <row r="31" spans="2:29" x14ac:dyDescent="0.55000000000000004">
      <c r="B31" s="21" t="s">
        <v>50</v>
      </c>
      <c r="C31" s="39">
        <v>107130</v>
      </c>
      <c r="Z31" s="9" t="s">
        <v>30</v>
      </c>
      <c r="AA31" s="8">
        <f ca="1"/>
        <v>104781</v>
      </c>
    </row>
    <row r="32" spans="2:29" ht="15.6" x14ac:dyDescent="0.6">
      <c r="B32" s="21" t="s">
        <v>51</v>
      </c>
      <c r="C32" s="39">
        <v>109666</v>
      </c>
      <c r="P32" s="149" t="s">
        <v>52</v>
      </c>
      <c r="Q32" s="149"/>
      <c r="R32" s="149"/>
      <c r="S32" s="149"/>
      <c r="T32" s="149"/>
      <c r="U32" s="92"/>
      <c r="V32" s="92"/>
      <c r="W32" s="92"/>
      <c r="Z32" s="9" t="s">
        <v>74</v>
      </c>
      <c r="AA32" s="8">
        <f ca="1"/>
        <v>101865</v>
      </c>
    </row>
    <row r="33" spans="2:27" x14ac:dyDescent="0.55000000000000004">
      <c r="B33" s="21" t="s">
        <v>53</v>
      </c>
      <c r="C33" s="39">
        <v>102493</v>
      </c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W33" s="18"/>
      <c r="Z33" s="7" t="s">
        <v>165</v>
      </c>
      <c r="AA33" s="8">
        <f ca="1"/>
        <v>109659</v>
      </c>
    </row>
    <row r="34" spans="2:27" x14ac:dyDescent="0.55000000000000004">
      <c r="B34" s="22" t="s">
        <v>54</v>
      </c>
      <c r="C34" s="43">
        <v>97881</v>
      </c>
      <c r="P34" s="9" t="s">
        <v>16</v>
      </c>
      <c r="Q34" s="41"/>
      <c r="R34" s="41">
        <f t="shared" ref="R34:T43" si="11">IFERROR(R7/Q7-1,"")</f>
        <v>0</v>
      </c>
      <c r="S34" s="41">
        <f t="shared" si="11"/>
        <v>2.4743658033157923E-2</v>
      </c>
      <c r="T34" s="41">
        <f t="shared" si="11"/>
        <v>1.7851776649746132E-2</v>
      </c>
      <c r="U34" s="41"/>
      <c r="V34" s="41"/>
      <c r="W34" s="41"/>
    </row>
    <row r="35" spans="2:27" x14ac:dyDescent="0.55000000000000004">
      <c r="B35" s="21" t="s">
        <v>55</v>
      </c>
      <c r="C35" s="39">
        <v>103971</v>
      </c>
      <c r="P35" s="9" t="s">
        <v>18</v>
      </c>
      <c r="Q35" s="41">
        <f t="shared" ref="Q35:Q43" si="12">IFERROR(Q8/T7-1,"")</f>
        <v>-7.3753421159723276E-2</v>
      </c>
      <c r="R35" s="41">
        <f t="shared" si="11"/>
        <v>2.3242591316333661E-2</v>
      </c>
      <c r="S35" s="41">
        <f t="shared" si="11"/>
        <v>4.4031723046356053E-3</v>
      </c>
      <c r="T35" s="41">
        <f t="shared" si="11"/>
        <v>7.7057191473667519E-2</v>
      </c>
      <c r="U35" s="41"/>
      <c r="V35" s="41"/>
      <c r="W35" s="41"/>
    </row>
    <row r="36" spans="2:27" x14ac:dyDescent="0.55000000000000004">
      <c r="B36" s="21" t="s">
        <v>56</v>
      </c>
      <c r="C36" s="39">
        <v>113683</v>
      </c>
      <c r="P36" s="9" t="s">
        <v>20</v>
      </c>
      <c r="Q36" s="41">
        <f t="shared" si="12"/>
        <v>-8.7723940417451352E-2</v>
      </c>
      <c r="R36" s="41">
        <f t="shared" si="11"/>
        <v>3.9062633294091542E-2</v>
      </c>
      <c r="S36" s="41">
        <f t="shared" si="11"/>
        <v>1.84645446260705E-2</v>
      </c>
      <c r="T36" s="41">
        <f t="shared" si="11"/>
        <v>-6.7875856509471699E-3</v>
      </c>
      <c r="U36" s="41"/>
      <c r="V36" s="41"/>
      <c r="W36" s="41"/>
    </row>
    <row r="37" spans="2:27" x14ac:dyDescent="0.55000000000000004">
      <c r="B37" s="21" t="s">
        <v>57</v>
      </c>
      <c r="C37" s="39">
        <v>104781</v>
      </c>
      <c r="P37" s="9" t="s">
        <v>22</v>
      </c>
      <c r="Q37" s="41">
        <f t="shared" si="12"/>
        <v>-0.10418966300889554</v>
      </c>
      <c r="R37" s="41">
        <f t="shared" si="11"/>
        <v>4.7295032209547783E-2</v>
      </c>
      <c r="S37" s="41">
        <f t="shared" si="11"/>
        <v>-4.1655492209601075E-2</v>
      </c>
      <c r="T37" s="41">
        <f t="shared" si="11"/>
        <v>6.7559760236874489E-2</v>
      </c>
      <c r="U37" s="41"/>
      <c r="V37" s="41"/>
      <c r="W37" s="41"/>
    </row>
    <row r="38" spans="2:27" x14ac:dyDescent="0.55000000000000004">
      <c r="B38" s="22" t="s">
        <v>58</v>
      </c>
      <c r="C38" s="43">
        <v>109264</v>
      </c>
      <c r="P38" s="9" t="s">
        <v>24</v>
      </c>
      <c r="Q38" s="41">
        <f t="shared" si="12"/>
        <v>-1.8349399627938245E-3</v>
      </c>
      <c r="R38" s="41">
        <f t="shared" si="11"/>
        <v>-7.3701956066851704E-4</v>
      </c>
      <c r="S38" s="41">
        <f t="shared" si="11"/>
        <v>4.8857200990199745E-2</v>
      </c>
      <c r="T38" s="41">
        <f t="shared" si="11"/>
        <v>-2.5865065188047653E-3</v>
      </c>
      <c r="U38" s="41"/>
      <c r="V38" s="41"/>
      <c r="W38" s="41"/>
    </row>
    <row r="39" spans="2:27" x14ac:dyDescent="0.55000000000000004">
      <c r="B39" s="21" t="s">
        <v>73</v>
      </c>
      <c r="C39" s="39">
        <v>102761</v>
      </c>
      <c r="P39" s="9" t="s">
        <v>26</v>
      </c>
      <c r="Q39" s="41">
        <f t="shared" si="12"/>
        <v>-5.4765435700451337E-2</v>
      </c>
      <c r="R39" s="41">
        <f t="shared" si="11"/>
        <v>-1.6692243722190359E-2</v>
      </c>
      <c r="S39" s="41">
        <f t="shared" si="11"/>
        <v>1.0506216541405822E-2</v>
      </c>
      <c r="T39" s="41">
        <f t="shared" si="11"/>
        <v>2.88613361633836E-2</v>
      </c>
      <c r="U39" s="41"/>
      <c r="V39" s="41"/>
      <c r="W39" s="41"/>
    </row>
    <row r="40" spans="2:27" x14ac:dyDescent="0.55000000000000004">
      <c r="B40" s="21" t="s">
        <v>151</v>
      </c>
      <c r="C40" s="39">
        <v>110278</v>
      </c>
      <c r="P40" s="9" t="s">
        <v>28</v>
      </c>
      <c r="Q40" s="41">
        <f t="shared" si="12"/>
        <v>-0.10159001710777904</v>
      </c>
      <c r="R40" s="41">
        <f t="shared" si="11"/>
        <v>2.3672173994212731E-2</v>
      </c>
      <c r="S40" s="41">
        <f t="shared" si="11"/>
        <v>-6.5407692447978394E-2</v>
      </c>
      <c r="T40" s="41">
        <f t="shared" si="11"/>
        <v>-4.499819499868285E-2</v>
      </c>
      <c r="U40" s="41"/>
      <c r="V40" s="41"/>
      <c r="W40" s="41"/>
    </row>
    <row r="41" spans="2:27" x14ac:dyDescent="0.55000000000000004">
      <c r="B41" s="21" t="s">
        <v>160</v>
      </c>
      <c r="C41" s="39">
        <v>101865</v>
      </c>
      <c r="P41" s="9" t="s">
        <v>30</v>
      </c>
      <c r="Q41" s="41">
        <f t="shared" si="12"/>
        <v>6.2218408066938347E-2</v>
      </c>
      <c r="R41" s="41">
        <f t="shared" si="11"/>
        <v>9.3410662588606419E-2</v>
      </c>
      <c r="S41" s="41">
        <f t="shared" si="11"/>
        <v>-7.830546343780509E-2</v>
      </c>
      <c r="T41" s="41">
        <f t="shared" si="11"/>
        <v>4.2784474284459861E-2</v>
      </c>
      <c r="U41" s="41"/>
      <c r="V41" s="41"/>
      <c r="W41" s="41"/>
    </row>
    <row r="42" spans="2:27" x14ac:dyDescent="0.55000000000000004">
      <c r="B42" s="22" t="s">
        <v>162</v>
      </c>
      <c r="C42" s="43">
        <v>112784</v>
      </c>
      <c r="P42" s="9" t="s">
        <v>74</v>
      </c>
      <c r="Q42" s="41">
        <f t="shared" si="12"/>
        <v>-5.9516400644311074E-2</v>
      </c>
      <c r="R42" s="41">
        <f t="shared" si="11"/>
        <v>7.3150319673806141E-2</v>
      </c>
      <c r="S42" s="41">
        <f t="shared" si="11"/>
        <v>-7.6289015034730401E-2</v>
      </c>
      <c r="T42" s="41">
        <f t="shared" si="11"/>
        <v>0.10719088990330339</v>
      </c>
      <c r="U42" s="41"/>
      <c r="V42" s="41"/>
      <c r="W42" s="41"/>
    </row>
    <row r="43" spans="2:27" x14ac:dyDescent="0.55000000000000004">
      <c r="B43" s="21" t="s">
        <v>187</v>
      </c>
      <c r="C43" s="39">
        <v>103117</v>
      </c>
      <c r="P43" s="9" t="s">
        <v>165</v>
      </c>
      <c r="Q43" s="41">
        <f t="shared" si="12"/>
        <v>-8.5712512413108288E-2</v>
      </c>
      <c r="R43" s="41">
        <f t="shared" si="11"/>
        <v>2.8802234355149947E-2</v>
      </c>
      <c r="S43" s="41">
        <f t="shared" si="11"/>
        <v>3.3670478003902549E-2</v>
      </c>
    </row>
    <row r="44" spans="2:27" x14ac:dyDescent="0.55000000000000004">
      <c r="B44" s="21" t="s">
        <v>209</v>
      </c>
      <c r="C44" s="39">
        <v>106087</v>
      </c>
    </row>
    <row r="45" spans="2:27" x14ac:dyDescent="0.55000000000000004">
      <c r="B45" s="21" t="s">
        <v>210</v>
      </c>
      <c r="C45" s="39">
        <v>109659</v>
      </c>
    </row>
    <row r="46" spans="2:27" x14ac:dyDescent="0.55000000000000004">
      <c r="B46" s="21" t="s">
        <v>211</v>
      </c>
      <c r="C46" s="39">
        <v>109978</v>
      </c>
    </row>
    <row r="47" spans="2:27" x14ac:dyDescent="0.55000000000000004">
      <c r="C47" s="119"/>
    </row>
    <row r="48" spans="2:27" x14ac:dyDescent="0.55000000000000004">
      <c r="T48" s="72"/>
      <c r="U48" s="72"/>
      <c r="V48" s="72"/>
      <c r="W48" s="72"/>
    </row>
    <row r="49" spans="20:23" x14ac:dyDescent="0.55000000000000004">
      <c r="T49" s="47"/>
      <c r="U49" s="47"/>
      <c r="V49" s="47"/>
      <c r="W49" s="47"/>
    </row>
    <row r="50" spans="20:23" x14ac:dyDescent="0.55000000000000004">
      <c r="T50" s="72"/>
      <c r="U50" s="72"/>
      <c r="V50" s="72"/>
      <c r="W50" s="72"/>
    </row>
    <row r="51" spans="20:23" x14ac:dyDescent="0.55000000000000004">
      <c r="T51" s="47"/>
      <c r="U51" s="47"/>
      <c r="V51" s="47"/>
      <c r="W51" s="47"/>
    </row>
  </sheetData>
  <mergeCells count="4">
    <mergeCell ref="A1:AG1"/>
    <mergeCell ref="P18:T18"/>
    <mergeCell ref="Y18:Z18"/>
    <mergeCell ref="P32:T32"/>
  </mergeCells>
  <phoneticPr fontId="19" type="noConversion"/>
  <conditionalFormatting sqref="Q21:W28 Q29:S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{5B987F81-FDED-4B86-90FA-9759D362CF02}</x14:id>
        </ext>
      </extLst>
    </cfRule>
  </conditionalFormatting>
  <conditionalFormatting sqref="Q34:W42 Q43:S4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{B3D0A1E8-7D3F-4AB3-A820-4968749703B9}</x14:id>
        </ext>
      </extLst>
    </cfRule>
  </conditionalFormatting>
  <conditionalFormatting sqref="U7:U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6:V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:V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{89503AF3-84B3-4FD2-BCC1-36942A67D637}</x14:id>
        </ext>
      </extLst>
    </cfRule>
  </conditionalFormatting>
  <conditionalFormatting sqref="W7:W15 Q7:T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{915D5462-DC18-44CC-AC21-702E3F9C2E9D}</x14:id>
        </ext>
      </extLst>
    </cfRule>
  </conditionalFormatting>
  <dataValidations disablePrompts="1" count="1">
    <dataValidation type="list" allowBlank="1" showInputMessage="1" showErrorMessage="1" sqref="AA18" xr:uid="{5801BDE5-C281-46D1-AF6B-E540AFAB01E5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987F81-FDED-4B86-90FA-9759D362CF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Q21:W28 Q29:S29</xm:sqref>
        </x14:conditionalFormatting>
        <x14:conditionalFormatting xmlns:xm="http://schemas.microsoft.com/office/excel/2006/main">
          <x14:cfRule type="dataBar" id="{B3D0A1E8-7D3F-4AB3-A820-496874970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Q34:W42 Q43:S43</xm:sqref>
        </x14:conditionalFormatting>
        <x14:conditionalFormatting xmlns:xm="http://schemas.microsoft.com/office/excel/2006/main">
          <x14:cfRule type="dataBar" id="{89503AF3-84B3-4FD2-BCC1-36942A67D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>
          <x14:cfRule type="dataBar" id="{915D5462-DC18-44CC-AC21-702E3F9C2E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3471-A832-4659-A031-13A3A3E13AC6}">
  <sheetPr codeName="Sheet5"/>
  <dimension ref="A1:AH87"/>
  <sheetViews>
    <sheetView showGridLines="0" zoomScale="55" zoomScaleNormal="55" workbookViewId="0">
      <selection sqref="A1:AG1"/>
    </sheetView>
  </sheetViews>
  <sheetFormatPr defaultColWidth="9.15625" defaultRowHeight="14.4" x14ac:dyDescent="0.55000000000000004"/>
  <cols>
    <col min="1" max="1" width="9.15625" style="7"/>
    <col min="2" max="2" width="14.578125" style="7" bestFit="1" customWidth="1"/>
    <col min="3" max="3" width="11.578125" style="7" bestFit="1" customWidth="1"/>
    <col min="4" max="8" width="9.15625" style="7"/>
    <col min="9" max="9" width="9.578125" style="7" bestFit="1" customWidth="1"/>
    <col min="10" max="10" width="9.15625" style="7"/>
    <col min="11" max="12" width="10.83984375" style="7" bestFit="1" customWidth="1"/>
    <col min="13" max="16" width="9.15625" style="7"/>
    <col min="17" max="17" width="11.26171875" style="7" bestFit="1" customWidth="1"/>
    <col min="18" max="19" width="13" style="7" bestFit="1" customWidth="1"/>
    <col min="20" max="20" width="11.26171875" style="7" bestFit="1" customWidth="1"/>
    <col min="21" max="21" width="9.578125" style="7" customWidth="1"/>
    <col min="22" max="22" width="8" style="7" customWidth="1"/>
    <col min="23" max="23" width="5.68359375" style="7" customWidth="1"/>
    <col min="24" max="24" width="11.26171875" style="7" customWidth="1"/>
    <col min="25" max="25" width="9.15625" style="7"/>
    <col min="26" max="26" width="13.578125" style="7" customWidth="1"/>
    <col min="27" max="27" width="11.578125" style="7" bestFit="1" customWidth="1"/>
    <col min="28" max="30" width="9.15625" style="7"/>
    <col min="31" max="34" width="10.15625" style="7" bestFit="1" customWidth="1"/>
    <col min="35" max="16384" width="9.15625" style="7"/>
  </cols>
  <sheetData>
    <row r="1" spans="1:34" s="5" customFormat="1" ht="55.5" customHeight="1" x14ac:dyDescent="0.55000000000000004">
      <c r="A1" s="148" t="s">
        <v>59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4" s="6" customFormat="1" ht="5.25" customHeight="1" x14ac:dyDescent="0.6"/>
    <row r="3" spans="1:34" ht="13.5" customHeight="1" x14ac:dyDescent="0.55000000000000004">
      <c r="Y3" s="20">
        <f>COUNT(Q16:T16)</f>
        <v>4</v>
      </c>
      <c r="Z3" s="19" t="str">
        <f ca="1">OFFSET(P6,0,$Y$3,1,1)</f>
        <v>Q4</v>
      </c>
    </row>
    <row r="4" spans="1:34" x14ac:dyDescent="0.55000000000000004">
      <c r="C4" s="72">
        <f>Menu!H24</f>
        <v>0.25068757028805577</v>
      </c>
      <c r="Y4" s="20"/>
      <c r="Z4" s="19"/>
    </row>
    <row r="5" spans="1:34" ht="14.7" thickBot="1" x14ac:dyDescent="0.6">
      <c r="Q5" s="7">
        <v>1</v>
      </c>
      <c r="R5" s="7">
        <v>2</v>
      </c>
      <c r="S5" s="7">
        <v>3</v>
      </c>
      <c r="T5" s="7">
        <v>4</v>
      </c>
    </row>
    <row r="6" spans="1:34" ht="15.6" x14ac:dyDescent="0.6">
      <c r="B6" s="23" t="s">
        <v>7</v>
      </c>
      <c r="C6" s="23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W6" s="24"/>
      <c r="Y6" s="16" t="s">
        <v>13</v>
      </c>
      <c r="Z6" s="16" t="str">
        <f ca="1">_xlfn.CONCAT("YTD (Q1 to ",Z3,")")</f>
        <v>YTD (Q1 to Q4)</v>
      </c>
      <c r="AA6" s="16" t="s">
        <v>14</v>
      </c>
      <c r="AE6" s="15" t="s">
        <v>9</v>
      </c>
      <c r="AF6" s="15" t="s">
        <v>10</v>
      </c>
      <c r="AG6" s="15" t="s">
        <v>11</v>
      </c>
      <c r="AH6" s="15" t="s">
        <v>12</v>
      </c>
    </row>
    <row r="7" spans="1:34" x14ac:dyDescent="0.55000000000000004">
      <c r="B7" s="21" t="s">
        <v>15</v>
      </c>
      <c r="C7" s="37">
        <v>177450</v>
      </c>
      <c r="P7" s="28" t="s">
        <v>16</v>
      </c>
      <c r="Q7" s="8">
        <f>C7</f>
        <v>177450</v>
      </c>
      <c r="R7" s="8">
        <f>C8</f>
        <v>177450</v>
      </c>
      <c r="S7" s="8">
        <f>C9</f>
        <v>160878</v>
      </c>
      <c r="T7" s="8">
        <f>C10</f>
        <v>189407</v>
      </c>
      <c r="U7" s="95">
        <f>SUM(Q7:T7)</f>
        <v>705185</v>
      </c>
      <c r="V7" s="96"/>
      <c r="W7" s="8"/>
      <c r="Y7" s="28" t="str">
        <f>P7</f>
        <v>16/17</v>
      </c>
      <c r="Z7" s="8">
        <f ca="1">SUM(OFFSET(Q7,0,0,1,$Y$3))</f>
        <v>705185</v>
      </c>
      <c r="AD7" s="9" t="str">
        <f>P7</f>
        <v>16/17</v>
      </c>
      <c r="AE7" s="12">
        <f>Q7</f>
        <v>177450</v>
      </c>
      <c r="AF7" s="12">
        <f>AE7+R7</f>
        <v>354900</v>
      </c>
      <c r="AG7" s="12">
        <f>AF7+S7</f>
        <v>515778</v>
      </c>
      <c r="AH7" s="12">
        <f>AG7+T7</f>
        <v>705185</v>
      </c>
    </row>
    <row r="8" spans="1:34" x14ac:dyDescent="0.55000000000000004">
      <c r="B8" s="21" t="s">
        <v>17</v>
      </c>
      <c r="C8" s="40">
        <v>177450</v>
      </c>
      <c r="P8" s="28" t="s">
        <v>18</v>
      </c>
      <c r="Q8" s="8">
        <f>C11</f>
        <v>196476</v>
      </c>
      <c r="R8" s="8">
        <f>C12</f>
        <v>190244</v>
      </c>
      <c r="S8" s="8">
        <f>C13</f>
        <v>185394</v>
      </c>
      <c r="T8" s="8">
        <f>C14</f>
        <v>196418</v>
      </c>
      <c r="U8" s="95">
        <f t="shared" ref="U8:U16" si="0">SUM(Q8:T8)</f>
        <v>768532</v>
      </c>
      <c r="V8" s="97">
        <f>U8/U7-1</f>
        <v>8.9830328211745858E-2</v>
      </c>
      <c r="W8" s="8"/>
      <c r="Y8" s="28" t="str">
        <f t="shared" ref="Y8:Y15" si="1">P8</f>
        <v>17/18</v>
      </c>
      <c r="Z8" s="8">
        <f t="shared" ref="Z8:Z15" ca="1" si="2">SUM(OFFSET(Q8,0,0,1,$Y$3))</f>
        <v>768532</v>
      </c>
      <c r="AA8" s="14">
        <f ca="1">Z8/Z7-1</f>
        <v>8.9830328211745858E-2</v>
      </c>
      <c r="AD8" s="9" t="str">
        <f t="shared" ref="AD8:AD15" si="3">P8</f>
        <v>17/18</v>
      </c>
      <c r="AE8" s="12">
        <f t="shared" ref="AE8:AE14" si="4">Q8</f>
        <v>196476</v>
      </c>
      <c r="AF8" s="12">
        <f t="shared" ref="AF8:AF14" si="5">AE8+R8</f>
        <v>386720</v>
      </c>
      <c r="AG8" s="12">
        <f t="shared" ref="AG8:AH14" si="6">AF8+S8</f>
        <v>572114</v>
      </c>
      <c r="AH8" s="12">
        <f t="shared" si="6"/>
        <v>768532</v>
      </c>
    </row>
    <row r="9" spans="1:34" x14ac:dyDescent="0.55000000000000004">
      <c r="B9" s="21" t="s">
        <v>19</v>
      </c>
      <c r="C9" s="40">
        <v>160878</v>
      </c>
      <c r="P9" s="28" t="s">
        <v>20</v>
      </c>
      <c r="Q9" s="8">
        <f>C15</f>
        <v>208900</v>
      </c>
      <c r="R9" s="8">
        <f>C16</f>
        <v>208388</v>
      </c>
      <c r="S9" s="8">
        <f>C17</f>
        <v>215574</v>
      </c>
      <c r="T9" s="8">
        <f>C18</f>
        <v>225356</v>
      </c>
      <c r="U9" s="95">
        <f t="shared" si="0"/>
        <v>858218</v>
      </c>
      <c r="V9" s="97">
        <f t="shared" ref="V9:V16" si="7">U9/U8-1</f>
        <v>0.11669780828904974</v>
      </c>
      <c r="W9" s="8"/>
      <c r="Y9" s="28" t="str">
        <f t="shared" si="1"/>
        <v>18/19</v>
      </c>
      <c r="Z9" s="8">
        <f t="shared" ca="1" si="2"/>
        <v>858218</v>
      </c>
      <c r="AA9" s="14">
        <f t="shared" ref="AA9:AA15" ca="1" si="8">Z9/Z8-1</f>
        <v>0.11669780828904974</v>
      </c>
      <c r="AD9" s="9" t="str">
        <f t="shared" si="3"/>
        <v>18/19</v>
      </c>
      <c r="AE9" s="12">
        <f t="shared" si="4"/>
        <v>208900</v>
      </c>
      <c r="AF9" s="12">
        <f t="shared" si="5"/>
        <v>417288</v>
      </c>
      <c r="AG9" s="12">
        <f t="shared" si="6"/>
        <v>632862</v>
      </c>
      <c r="AH9" s="12">
        <f t="shared" si="6"/>
        <v>858218</v>
      </c>
    </row>
    <row r="10" spans="1:34" x14ac:dyDescent="0.55000000000000004">
      <c r="B10" s="22" t="s">
        <v>21</v>
      </c>
      <c r="C10" s="43">
        <v>189407</v>
      </c>
      <c r="P10" s="28" t="s">
        <v>22</v>
      </c>
      <c r="Q10" s="8">
        <f>C19</f>
        <v>227013</v>
      </c>
      <c r="R10" s="8">
        <f>C20</f>
        <v>207356</v>
      </c>
      <c r="S10" s="8">
        <f>C21</f>
        <v>202674</v>
      </c>
      <c r="T10" s="8">
        <f>C22</f>
        <v>202665</v>
      </c>
      <c r="U10" s="95">
        <f t="shared" si="0"/>
        <v>839708</v>
      </c>
      <c r="V10" s="97">
        <f t="shared" si="7"/>
        <v>-2.1567946605640986E-2</v>
      </c>
      <c r="W10" s="8"/>
      <c r="Y10" s="28" t="str">
        <f t="shared" si="1"/>
        <v>19/20</v>
      </c>
      <c r="Z10" s="8">
        <f t="shared" ca="1" si="2"/>
        <v>839708</v>
      </c>
      <c r="AA10" s="14">
        <f t="shared" ca="1" si="8"/>
        <v>-2.1567946605640986E-2</v>
      </c>
      <c r="AD10" s="9" t="str">
        <f t="shared" si="3"/>
        <v>19/20</v>
      </c>
      <c r="AE10" s="12">
        <f t="shared" si="4"/>
        <v>227013</v>
      </c>
      <c r="AF10" s="12">
        <f t="shared" si="5"/>
        <v>434369</v>
      </c>
      <c r="AG10" s="12">
        <f t="shared" si="6"/>
        <v>637043</v>
      </c>
      <c r="AH10" s="12">
        <f t="shared" si="6"/>
        <v>839708</v>
      </c>
    </row>
    <row r="11" spans="1:34" x14ac:dyDescent="0.55000000000000004">
      <c r="B11" s="21" t="s">
        <v>23</v>
      </c>
      <c r="C11" s="39">
        <v>196476</v>
      </c>
      <c r="P11" s="28" t="s">
        <v>24</v>
      </c>
      <c r="Q11" s="8">
        <f>C23</f>
        <v>217546</v>
      </c>
      <c r="R11" s="8">
        <f>C24</f>
        <v>213858</v>
      </c>
      <c r="S11" s="8">
        <f>C25</f>
        <v>220865</v>
      </c>
      <c r="T11" s="8">
        <f>C26</f>
        <v>210970</v>
      </c>
      <c r="U11" s="95">
        <f t="shared" si="0"/>
        <v>863239</v>
      </c>
      <c r="V11" s="97">
        <f t="shared" si="7"/>
        <v>2.8022836509834281E-2</v>
      </c>
      <c r="W11" s="8"/>
      <c r="Y11" s="28" t="str">
        <f t="shared" si="1"/>
        <v>20/21</v>
      </c>
      <c r="Z11" s="8">
        <f t="shared" ca="1" si="2"/>
        <v>863239</v>
      </c>
      <c r="AA11" s="14">
        <f t="shared" ca="1" si="8"/>
        <v>2.8022836509834281E-2</v>
      </c>
      <c r="AD11" s="9" t="str">
        <f t="shared" si="3"/>
        <v>20/21</v>
      </c>
      <c r="AE11" s="12">
        <f t="shared" si="4"/>
        <v>217546</v>
      </c>
      <c r="AF11" s="12">
        <f t="shared" si="5"/>
        <v>431404</v>
      </c>
      <c r="AG11" s="12">
        <f t="shared" si="6"/>
        <v>652269</v>
      </c>
      <c r="AH11" s="12">
        <f t="shared" si="6"/>
        <v>863239</v>
      </c>
    </row>
    <row r="12" spans="1:34" x14ac:dyDescent="0.55000000000000004">
      <c r="B12" s="21" t="s">
        <v>25</v>
      </c>
      <c r="C12" s="39">
        <v>190244</v>
      </c>
      <c r="P12" s="28" t="s">
        <v>26</v>
      </c>
      <c r="Q12" s="8">
        <f>C27</f>
        <v>231309</v>
      </c>
      <c r="R12" s="8">
        <f>C28</f>
        <v>213313</v>
      </c>
      <c r="S12" s="8">
        <f>C29</f>
        <v>228895</v>
      </c>
      <c r="T12" s="8">
        <f>C30</f>
        <v>231080</v>
      </c>
      <c r="U12" s="95">
        <f t="shared" si="0"/>
        <v>904597</v>
      </c>
      <c r="V12" s="97">
        <f t="shared" si="7"/>
        <v>4.791025428647222E-2</v>
      </c>
      <c r="W12" s="8"/>
      <c r="Y12" s="28" t="str">
        <f t="shared" si="1"/>
        <v>21/22</v>
      </c>
      <c r="Z12" s="8">
        <f t="shared" ca="1" si="2"/>
        <v>904597</v>
      </c>
      <c r="AA12" s="14">
        <f t="shared" ca="1" si="8"/>
        <v>4.791025428647222E-2</v>
      </c>
      <c r="AD12" s="9" t="str">
        <f t="shared" si="3"/>
        <v>21/22</v>
      </c>
      <c r="AE12" s="12">
        <f t="shared" si="4"/>
        <v>231309</v>
      </c>
      <c r="AF12" s="12">
        <f t="shared" si="5"/>
        <v>444622</v>
      </c>
      <c r="AG12" s="12">
        <f t="shared" si="6"/>
        <v>673517</v>
      </c>
      <c r="AH12" s="12">
        <f t="shared" si="6"/>
        <v>904597</v>
      </c>
    </row>
    <row r="13" spans="1:34" x14ac:dyDescent="0.55000000000000004">
      <c r="B13" s="21" t="s">
        <v>27</v>
      </c>
      <c r="C13" s="39">
        <v>185394</v>
      </c>
      <c r="P13" s="28" t="s">
        <v>28</v>
      </c>
      <c r="Q13" s="8">
        <f>IF(C31=0,"",C31)</f>
        <v>230806</v>
      </c>
      <c r="R13" s="8">
        <f>IF(C32=0,"",C32)</f>
        <v>222028</v>
      </c>
      <c r="S13" s="8">
        <f>IF(C33=0,"",C33)</f>
        <v>213977</v>
      </c>
      <c r="T13" s="8">
        <f>IF(C34=0,NA(),C34)</f>
        <v>211468</v>
      </c>
      <c r="U13" s="95">
        <f t="shared" si="0"/>
        <v>878279</v>
      </c>
      <c r="V13" s="97">
        <f t="shared" si="7"/>
        <v>-2.9093618484253181E-2</v>
      </c>
      <c r="W13" s="8"/>
      <c r="Y13" s="28" t="str">
        <f t="shared" si="1"/>
        <v>22/23</v>
      </c>
      <c r="Z13" s="8">
        <f t="shared" ca="1" si="2"/>
        <v>878279</v>
      </c>
      <c r="AA13" s="14">
        <f t="shared" ca="1" si="8"/>
        <v>-2.9093618484253181E-2</v>
      </c>
      <c r="AD13" s="9" t="str">
        <f t="shared" si="3"/>
        <v>22/23</v>
      </c>
      <c r="AE13" s="12">
        <f t="shared" si="4"/>
        <v>230806</v>
      </c>
      <c r="AF13" s="12">
        <f t="shared" si="5"/>
        <v>452834</v>
      </c>
      <c r="AG13" s="12">
        <f t="shared" si="6"/>
        <v>666811</v>
      </c>
      <c r="AH13" s="12">
        <f t="shared" si="6"/>
        <v>878279</v>
      </c>
    </row>
    <row r="14" spans="1:34" x14ac:dyDescent="0.55000000000000004">
      <c r="B14" s="22" t="s">
        <v>29</v>
      </c>
      <c r="C14" s="43">
        <v>196418</v>
      </c>
      <c r="P14" s="28" t="s">
        <v>30</v>
      </c>
      <c r="Q14" s="8">
        <f>IF(C35=0,"",C35)</f>
        <v>211202</v>
      </c>
      <c r="R14" s="8">
        <v>218062</v>
      </c>
      <c r="S14" s="8">
        <v>208028</v>
      </c>
      <c r="T14" s="8">
        <v>213705</v>
      </c>
      <c r="U14" s="95">
        <f t="shared" si="0"/>
        <v>850997</v>
      </c>
      <c r="V14" s="97">
        <f t="shared" si="7"/>
        <v>-3.1063022114840466E-2</v>
      </c>
      <c r="W14" s="8"/>
      <c r="Y14" s="28" t="str">
        <f t="shared" si="1"/>
        <v>23/24</v>
      </c>
      <c r="Z14" s="8">
        <f t="shared" ca="1" si="2"/>
        <v>850997</v>
      </c>
      <c r="AA14" s="14">
        <f t="shared" ca="1" si="8"/>
        <v>-3.1063022114840466E-2</v>
      </c>
      <c r="AD14" s="9" t="str">
        <f t="shared" si="3"/>
        <v>23/24</v>
      </c>
      <c r="AE14" s="12">
        <f t="shared" si="4"/>
        <v>211202</v>
      </c>
      <c r="AF14" s="12">
        <f t="shared" si="5"/>
        <v>429264</v>
      </c>
      <c r="AG14" s="12">
        <f t="shared" si="6"/>
        <v>637292</v>
      </c>
      <c r="AH14" s="12">
        <f t="shared" si="6"/>
        <v>850997</v>
      </c>
    </row>
    <row r="15" spans="1:34" x14ac:dyDescent="0.55000000000000004">
      <c r="B15" s="21" t="s">
        <v>31</v>
      </c>
      <c r="C15" s="39">
        <v>208900</v>
      </c>
      <c r="P15" s="28" t="s">
        <v>74</v>
      </c>
      <c r="Q15" s="8">
        <v>207004</v>
      </c>
      <c r="R15" s="8">
        <v>212459</v>
      </c>
      <c r="S15" s="8">
        <v>179618</v>
      </c>
      <c r="T15" s="8">
        <v>180913</v>
      </c>
      <c r="U15" s="95">
        <f t="shared" si="0"/>
        <v>779994</v>
      </c>
      <c r="V15" s="97">
        <f t="shared" si="7"/>
        <v>-8.3435076739400982E-2</v>
      </c>
      <c r="W15" s="8"/>
      <c r="Y15" s="28" t="str">
        <f t="shared" si="1"/>
        <v>24/25</v>
      </c>
      <c r="Z15" s="8">
        <f t="shared" ca="1" si="2"/>
        <v>779994</v>
      </c>
      <c r="AA15" s="14">
        <f t="shared" ca="1" si="8"/>
        <v>-8.3435076739400982E-2</v>
      </c>
      <c r="AD15" s="9" t="str">
        <f t="shared" si="3"/>
        <v>24/25</v>
      </c>
      <c r="AE15" s="12">
        <f t="shared" ref="AE15" si="9">Q15</f>
        <v>207004</v>
      </c>
      <c r="AF15" s="12">
        <f t="shared" ref="AF15" si="10">AE15+R15</f>
        <v>419463</v>
      </c>
      <c r="AG15" s="12">
        <f t="shared" ref="AG15" si="11">AF15+S15</f>
        <v>599081</v>
      </c>
    </row>
    <row r="16" spans="1:34" x14ac:dyDescent="0.55000000000000004">
      <c r="B16" s="21" t="s">
        <v>32</v>
      </c>
      <c r="C16" s="39">
        <v>208388</v>
      </c>
      <c r="P16" s="28" t="s">
        <v>165</v>
      </c>
      <c r="Q16" s="12">
        <f>C43</f>
        <v>197022</v>
      </c>
      <c r="R16" s="12">
        <f>C44</f>
        <v>223503</v>
      </c>
      <c r="S16" s="12">
        <f>C45</f>
        <v>224646</v>
      </c>
      <c r="T16" s="12">
        <f>C46</f>
        <v>233767</v>
      </c>
      <c r="U16" s="95">
        <f t="shared" si="0"/>
        <v>878938</v>
      </c>
      <c r="V16" s="97">
        <f t="shared" si="7"/>
        <v>0.12685225783788079</v>
      </c>
      <c r="Y16" s="28" t="s">
        <v>165</v>
      </c>
      <c r="Z16" s="8">
        <f t="shared" ref="Z16" ca="1" si="12">SUM(OFFSET(Q16,0,0,1,$Y$3))</f>
        <v>878938</v>
      </c>
      <c r="AA16" s="14">
        <f t="shared" ref="AA16" ca="1" si="13">Z16/Z15-1</f>
        <v>0.12685225783788079</v>
      </c>
    </row>
    <row r="17" spans="2:29" x14ac:dyDescent="0.55000000000000004">
      <c r="B17" s="21" t="s">
        <v>33</v>
      </c>
      <c r="C17" s="39">
        <v>215574</v>
      </c>
    </row>
    <row r="18" spans="2:29" ht="15.6" x14ac:dyDescent="0.6">
      <c r="B18" s="22" t="s">
        <v>34</v>
      </c>
      <c r="C18" s="43">
        <v>225356</v>
      </c>
      <c r="P18" s="149" t="s">
        <v>35</v>
      </c>
      <c r="Q18" s="149"/>
      <c r="R18" s="149"/>
      <c r="S18" s="149"/>
      <c r="T18" s="149"/>
      <c r="U18" s="92"/>
      <c r="V18" s="92"/>
      <c r="W18" s="92"/>
      <c r="Y18" s="150" t="s">
        <v>36</v>
      </c>
      <c r="Z18" s="150"/>
      <c r="AA18" s="25" t="s">
        <v>12</v>
      </c>
    </row>
    <row r="19" spans="2:29" x14ac:dyDescent="0.55000000000000004">
      <c r="B19" s="21" t="s">
        <v>37</v>
      </c>
      <c r="C19" s="39">
        <v>227013</v>
      </c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  <c r="W19" s="18"/>
    </row>
    <row r="20" spans="2:29" x14ac:dyDescent="0.55000000000000004">
      <c r="B20" s="21" t="s">
        <v>38</v>
      </c>
      <c r="C20" s="39">
        <v>207356</v>
      </c>
      <c r="P20" s="9" t="s">
        <v>16</v>
      </c>
      <c r="Q20" s="12"/>
      <c r="R20" s="12"/>
      <c r="S20" s="12"/>
      <c r="T20" s="12"/>
      <c r="U20" s="12"/>
      <c r="V20" s="12"/>
      <c r="W20" s="12"/>
    </row>
    <row r="21" spans="2:29" x14ac:dyDescent="0.55000000000000004">
      <c r="B21" s="21" t="s">
        <v>39</v>
      </c>
      <c r="C21" s="39">
        <v>202674</v>
      </c>
      <c r="P21" s="9" t="s">
        <v>18</v>
      </c>
      <c r="Q21" s="44">
        <f t="shared" ref="Q21:T29" si="14">IFERROR(Q8/Q7-1,"")</f>
        <v>0.10721893491124268</v>
      </c>
      <c r="R21" s="44">
        <f t="shared" si="14"/>
        <v>7.2099182868413658E-2</v>
      </c>
      <c r="S21" s="44">
        <f t="shared" si="14"/>
        <v>0.15238876664304635</v>
      </c>
      <c r="T21" s="44">
        <f t="shared" si="14"/>
        <v>3.7015527409229865E-2</v>
      </c>
      <c r="U21" s="44"/>
      <c r="V21" s="44"/>
      <c r="W21" s="44"/>
    </row>
    <row r="22" spans="2:29" x14ac:dyDescent="0.55000000000000004">
      <c r="B22" s="22" t="s">
        <v>40</v>
      </c>
      <c r="C22" s="43">
        <v>202665</v>
      </c>
      <c r="P22" s="9" t="s">
        <v>20</v>
      </c>
      <c r="Q22" s="44">
        <f t="shared" si="14"/>
        <v>6.3234186363728906E-2</v>
      </c>
      <c r="R22" s="44">
        <f t="shared" si="14"/>
        <v>9.537225878345712E-2</v>
      </c>
      <c r="S22" s="44">
        <f t="shared" si="14"/>
        <v>0.16278843975533186</v>
      </c>
      <c r="T22" s="44">
        <f t="shared" si="14"/>
        <v>0.14732865623313551</v>
      </c>
      <c r="U22" s="44"/>
      <c r="V22" s="44"/>
      <c r="W22" s="44"/>
      <c r="Z22" s="7">
        <f>_xlfn.XLOOKUP(AA18,Q6:T6,Q5:T5)</f>
        <v>4</v>
      </c>
    </row>
    <row r="23" spans="2:29" x14ac:dyDescent="0.55000000000000004">
      <c r="B23" s="21" t="s">
        <v>41</v>
      </c>
      <c r="C23" s="39">
        <v>217546</v>
      </c>
      <c r="P23" s="9" t="s">
        <v>22</v>
      </c>
      <c r="Q23" s="44">
        <f t="shared" si="14"/>
        <v>8.670655816179984E-2</v>
      </c>
      <c r="R23" s="44">
        <f t="shared" si="14"/>
        <v>-4.9523005163445433E-3</v>
      </c>
      <c r="S23" s="44">
        <f t="shared" si="14"/>
        <v>-5.9840240474268724E-2</v>
      </c>
      <c r="T23" s="44">
        <f t="shared" si="14"/>
        <v>-0.10068957560482084</v>
      </c>
      <c r="U23" s="44"/>
      <c r="V23" s="44"/>
      <c r="W23" s="44"/>
      <c r="Z23" s="7" t="s">
        <v>42</v>
      </c>
    </row>
    <row r="24" spans="2:29" x14ac:dyDescent="0.55000000000000004">
      <c r="B24" s="21" t="s">
        <v>43</v>
      </c>
      <c r="C24" s="39">
        <v>213858</v>
      </c>
      <c r="P24" s="9" t="s">
        <v>24</v>
      </c>
      <c r="Q24" s="44">
        <f t="shared" si="14"/>
        <v>-4.1702457568509321E-2</v>
      </c>
      <c r="R24" s="44">
        <f t="shared" si="14"/>
        <v>3.1356700553637262E-2</v>
      </c>
      <c r="S24" s="44">
        <f t="shared" si="14"/>
        <v>8.9754975971264139E-2</v>
      </c>
      <c r="T24" s="44">
        <f t="shared" si="14"/>
        <v>4.0978955419041174E-2</v>
      </c>
      <c r="U24" s="44"/>
      <c r="V24" s="44"/>
      <c r="W24" s="44"/>
      <c r="Z24" s="9" t="s">
        <v>16</v>
      </c>
      <c r="AA24" s="8" cm="1">
        <f t="array" aca="1" ref="AA24:AA33" ca="1">OFFSET(P7,0,$Z$22,COUNT($Q$7:$Q$16),1)</f>
        <v>189407</v>
      </c>
    </row>
    <row r="25" spans="2:29" x14ac:dyDescent="0.55000000000000004">
      <c r="B25" s="21" t="s">
        <v>44</v>
      </c>
      <c r="C25" s="39">
        <v>220865</v>
      </c>
      <c r="P25" s="9" t="s">
        <v>26</v>
      </c>
      <c r="Q25" s="44">
        <f t="shared" si="14"/>
        <v>6.3264780781995489E-2</v>
      </c>
      <c r="R25" s="44">
        <f t="shared" si="14"/>
        <v>-2.5484199796126372E-3</v>
      </c>
      <c r="S25" s="44">
        <f t="shared" si="14"/>
        <v>3.635705068707118E-2</v>
      </c>
      <c r="T25" s="44">
        <f t="shared" si="14"/>
        <v>9.5321609707541333E-2</v>
      </c>
      <c r="U25" s="44"/>
      <c r="V25" s="44"/>
      <c r="W25" s="44"/>
      <c r="Z25" s="9" t="s">
        <v>18</v>
      </c>
      <c r="AA25" s="8">
        <f ca="1"/>
        <v>196418</v>
      </c>
      <c r="AC25" s="26" t="str">
        <f>_xlfn.CONCAT(A1," ",AA18," across Years")</f>
        <v>CAA Grinds Q4 across Years</v>
      </c>
    </row>
    <row r="26" spans="2:29" x14ac:dyDescent="0.55000000000000004">
      <c r="B26" s="22" t="s">
        <v>45</v>
      </c>
      <c r="C26" s="43">
        <v>210970</v>
      </c>
      <c r="P26" s="9" t="s">
        <v>28</v>
      </c>
      <c r="Q26" s="44">
        <f t="shared" si="14"/>
        <v>-2.1745803232905425E-3</v>
      </c>
      <c r="R26" s="44">
        <f t="shared" si="14"/>
        <v>4.0855456535701107E-2</v>
      </c>
      <c r="S26" s="44">
        <f t="shared" si="14"/>
        <v>-6.5173988073134015E-2</v>
      </c>
      <c r="T26" s="44">
        <f t="shared" si="14"/>
        <v>-8.4871040332352488E-2</v>
      </c>
      <c r="U26" s="44"/>
      <c r="V26" s="44"/>
      <c r="W26" s="44"/>
      <c r="Z26" s="9" t="s">
        <v>20</v>
      </c>
      <c r="AA26" s="8">
        <f ca="1"/>
        <v>225356</v>
      </c>
    </row>
    <row r="27" spans="2:29" x14ac:dyDescent="0.55000000000000004">
      <c r="B27" s="21" t="s">
        <v>46</v>
      </c>
      <c r="C27" s="39">
        <v>231309</v>
      </c>
      <c r="P27" s="9" t="s">
        <v>30</v>
      </c>
      <c r="Q27" s="44">
        <f t="shared" si="14"/>
        <v>-8.4937133350086236E-2</v>
      </c>
      <c r="R27" s="44">
        <f t="shared" si="14"/>
        <v>-1.786261192282057E-2</v>
      </c>
      <c r="S27" s="44">
        <f t="shared" si="14"/>
        <v>-2.7802053491730372E-2</v>
      </c>
      <c r="T27" s="44">
        <f t="shared" si="14"/>
        <v>1.0578432670664162E-2</v>
      </c>
      <c r="U27" s="44"/>
      <c r="V27" s="44"/>
      <c r="W27" s="44"/>
      <c r="Z27" s="9" t="s">
        <v>22</v>
      </c>
      <c r="AA27" s="8">
        <f ca="1"/>
        <v>202665</v>
      </c>
    </row>
    <row r="28" spans="2:29" x14ac:dyDescent="0.55000000000000004">
      <c r="B28" s="21" t="s">
        <v>47</v>
      </c>
      <c r="C28" s="39">
        <v>213313</v>
      </c>
      <c r="P28" s="9" t="s">
        <v>74</v>
      </c>
      <c r="Q28" s="44">
        <f t="shared" si="14"/>
        <v>-1.9876705713014031E-2</v>
      </c>
      <c r="R28" s="44">
        <f t="shared" si="14"/>
        <v>-2.5694527244545129E-2</v>
      </c>
      <c r="S28" s="44">
        <f>IFERROR(S15/S14-1,"")</f>
        <v>-0.13656815428692293</v>
      </c>
      <c r="T28" s="44">
        <f t="shared" si="14"/>
        <v>-0.15344516974333777</v>
      </c>
      <c r="U28" s="44"/>
      <c r="V28" s="44"/>
      <c r="W28" s="44"/>
      <c r="Z28" s="9" t="s">
        <v>24</v>
      </c>
      <c r="AA28" s="8">
        <f ca="1"/>
        <v>210970</v>
      </c>
    </row>
    <row r="29" spans="2:29" x14ac:dyDescent="0.55000000000000004">
      <c r="B29" s="21" t="s">
        <v>48</v>
      </c>
      <c r="C29" s="39">
        <v>228895</v>
      </c>
      <c r="P29" s="9" t="s">
        <v>165</v>
      </c>
      <c r="Q29" s="44">
        <f t="shared" si="14"/>
        <v>-4.8221290409847128E-2</v>
      </c>
      <c r="R29" s="44">
        <f t="shared" si="14"/>
        <v>5.198179413439763E-2</v>
      </c>
      <c r="S29" s="44">
        <f>IFERROR(S16/S15-1,"")</f>
        <v>0.25068757028805577</v>
      </c>
      <c r="T29" s="44">
        <f t="shared" si="14"/>
        <v>0.29215147612388281</v>
      </c>
      <c r="Z29" s="9" t="s">
        <v>26</v>
      </c>
      <c r="AA29" s="8">
        <f ca="1"/>
        <v>231080</v>
      </c>
    </row>
    <row r="30" spans="2:29" x14ac:dyDescent="0.55000000000000004">
      <c r="B30" s="22" t="s">
        <v>49</v>
      </c>
      <c r="C30" s="43">
        <v>231080</v>
      </c>
      <c r="Z30" s="9" t="s">
        <v>28</v>
      </c>
      <c r="AA30" s="8">
        <f ca="1"/>
        <v>211468</v>
      </c>
    </row>
    <row r="31" spans="2:29" x14ac:dyDescent="0.55000000000000004">
      <c r="B31" s="21" t="s">
        <v>50</v>
      </c>
      <c r="C31" s="39">
        <v>230806</v>
      </c>
      <c r="Z31" s="9" t="s">
        <v>30</v>
      </c>
      <c r="AA31" s="8">
        <f ca="1"/>
        <v>213705</v>
      </c>
    </row>
    <row r="32" spans="2:29" ht="15.6" x14ac:dyDescent="0.6">
      <c r="B32" s="21" t="s">
        <v>51</v>
      </c>
      <c r="C32" s="39">
        <v>222028</v>
      </c>
      <c r="P32" s="149" t="s">
        <v>52</v>
      </c>
      <c r="Q32" s="149"/>
      <c r="R32" s="149"/>
      <c r="S32" s="149"/>
      <c r="T32" s="149"/>
      <c r="U32" s="92"/>
      <c r="V32" s="92"/>
      <c r="W32" s="92"/>
      <c r="Z32" s="7" t="s">
        <v>74</v>
      </c>
      <c r="AA32" s="8">
        <f ca="1"/>
        <v>180913</v>
      </c>
    </row>
    <row r="33" spans="2:27" x14ac:dyDescent="0.55000000000000004">
      <c r="B33" s="21" t="s">
        <v>53</v>
      </c>
      <c r="C33" s="39">
        <v>213977</v>
      </c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W33" s="18"/>
      <c r="Z33" s="7" t="s">
        <v>165</v>
      </c>
      <c r="AA33" s="8">
        <f ca="1"/>
        <v>233767</v>
      </c>
    </row>
    <row r="34" spans="2:27" x14ac:dyDescent="0.55000000000000004">
      <c r="B34" s="22" t="s">
        <v>54</v>
      </c>
      <c r="C34" s="43">
        <v>211468</v>
      </c>
      <c r="P34" s="9" t="s">
        <v>16</v>
      </c>
      <c r="Q34" s="17"/>
      <c r="R34" s="17">
        <f t="shared" ref="R34:T43" si="15">IFERROR(R7/Q7-1,"")</f>
        <v>0</v>
      </c>
      <c r="S34" s="17">
        <f t="shared" si="15"/>
        <v>-9.3389687235841068E-2</v>
      </c>
      <c r="T34" s="17">
        <f t="shared" si="15"/>
        <v>0.17733313442484366</v>
      </c>
      <c r="U34" s="17"/>
      <c r="V34" s="17"/>
      <c r="W34" s="17"/>
    </row>
    <row r="35" spans="2:27" x14ac:dyDescent="0.55000000000000004">
      <c r="B35" s="21" t="s">
        <v>55</v>
      </c>
      <c r="C35" s="39">
        <v>211202</v>
      </c>
      <c r="P35" s="9" t="s">
        <v>18</v>
      </c>
      <c r="Q35" s="65">
        <f t="shared" ref="Q35:Q43" si="16">IFERROR(Q8/T7-1,"")</f>
        <v>3.7321746292375613E-2</v>
      </c>
      <c r="R35" s="65">
        <f t="shared" si="15"/>
        <v>-3.1718886785154443E-2</v>
      </c>
      <c r="S35" s="65">
        <f t="shared" si="15"/>
        <v>-2.549357666996066E-2</v>
      </c>
      <c r="T35" s="65">
        <f t="shared" si="15"/>
        <v>5.9462550028587691E-2</v>
      </c>
      <c r="U35" s="65"/>
      <c r="V35" s="65"/>
      <c r="W35" s="65"/>
    </row>
    <row r="36" spans="2:27" x14ac:dyDescent="0.55000000000000004">
      <c r="B36" s="21" t="s">
        <v>56</v>
      </c>
      <c r="C36" s="8">
        <v>225562</v>
      </c>
      <c r="P36" s="9" t="s">
        <v>20</v>
      </c>
      <c r="Q36" s="65">
        <f t="shared" si="16"/>
        <v>6.3548147318473802E-2</v>
      </c>
      <c r="R36" s="65">
        <f t="shared" si="15"/>
        <v>-2.4509334609861266E-3</v>
      </c>
      <c r="S36" s="65">
        <f t="shared" si="15"/>
        <v>3.4483751463616041E-2</v>
      </c>
      <c r="T36" s="65">
        <f t="shared" si="15"/>
        <v>4.5376529637154661E-2</v>
      </c>
      <c r="U36" s="65"/>
      <c r="V36" s="65"/>
      <c r="W36" s="65"/>
    </row>
    <row r="37" spans="2:27" x14ac:dyDescent="0.55000000000000004">
      <c r="B37" s="21" t="s">
        <v>57</v>
      </c>
      <c r="C37" s="8">
        <v>215528</v>
      </c>
      <c r="P37" s="9" t="s">
        <v>22</v>
      </c>
      <c r="Q37" s="65">
        <f t="shared" si="16"/>
        <v>7.3528106640159407E-3</v>
      </c>
      <c r="R37" s="65">
        <f t="shared" si="15"/>
        <v>-8.6589754771753125E-2</v>
      </c>
      <c r="S37" s="65">
        <f t="shared" si="15"/>
        <v>-2.2579525067998985E-2</v>
      </c>
      <c r="T37" s="65">
        <f t="shared" si="15"/>
        <v>-4.4406287930343069E-5</v>
      </c>
      <c r="U37" s="65"/>
      <c r="V37" s="65"/>
      <c r="W37" s="65"/>
    </row>
    <row r="38" spans="2:27" x14ac:dyDescent="0.55000000000000004">
      <c r="B38" s="22" t="s">
        <v>58</v>
      </c>
      <c r="C38" s="43">
        <v>221205</v>
      </c>
      <c r="P38" s="9" t="s">
        <v>24</v>
      </c>
      <c r="Q38" s="65">
        <f t="shared" si="16"/>
        <v>7.3426590679199766E-2</v>
      </c>
      <c r="R38" s="65">
        <f t="shared" si="15"/>
        <v>-1.6952736432754412E-2</v>
      </c>
      <c r="S38" s="65">
        <f t="shared" si="15"/>
        <v>3.276473173788208E-2</v>
      </c>
      <c r="T38" s="65">
        <f t="shared" si="15"/>
        <v>-4.4801122857854314E-2</v>
      </c>
      <c r="U38" s="65"/>
      <c r="V38" s="65"/>
      <c r="W38" s="65"/>
    </row>
    <row r="39" spans="2:27" x14ac:dyDescent="0.55000000000000004">
      <c r="B39" s="21" t="s">
        <v>73</v>
      </c>
      <c r="C39" s="39">
        <v>214505</v>
      </c>
      <c r="P39" s="9" t="s">
        <v>26</v>
      </c>
      <c r="Q39" s="65">
        <f t="shared" si="16"/>
        <v>9.6407072095558544E-2</v>
      </c>
      <c r="R39" s="65">
        <f t="shared" si="15"/>
        <v>-7.7800690850766685E-2</v>
      </c>
      <c r="S39" s="65">
        <f t="shared" si="15"/>
        <v>7.3047587348169074E-2</v>
      </c>
      <c r="T39" s="65">
        <f t="shared" si="15"/>
        <v>9.5458616396164597E-3</v>
      </c>
      <c r="U39" s="65"/>
      <c r="V39" s="65"/>
      <c r="W39" s="65"/>
    </row>
    <row r="40" spans="2:27" x14ac:dyDescent="0.55000000000000004">
      <c r="B40" s="21" t="s">
        <v>151</v>
      </c>
      <c r="C40" s="12">
        <v>217459</v>
      </c>
      <c r="P40" s="9" t="s">
        <v>28</v>
      </c>
      <c r="Q40" s="65">
        <f t="shared" si="16"/>
        <v>-1.1857365414574828E-3</v>
      </c>
      <c r="R40" s="65">
        <f t="shared" si="15"/>
        <v>-3.8031940244187767E-2</v>
      </c>
      <c r="S40" s="65">
        <f t="shared" si="15"/>
        <v>-3.6261192282054489E-2</v>
      </c>
      <c r="T40" s="65">
        <f t="shared" si="15"/>
        <v>-1.1725559289082477E-2</v>
      </c>
      <c r="U40" s="65"/>
      <c r="V40" s="65"/>
      <c r="W40" s="65"/>
    </row>
    <row r="41" spans="2:27" x14ac:dyDescent="0.55000000000000004">
      <c r="B41" s="21" t="s">
        <v>160</v>
      </c>
      <c r="C41" s="8">
        <v>182118</v>
      </c>
      <c r="P41" s="9" t="s">
        <v>30</v>
      </c>
      <c r="Q41" s="65">
        <f t="shared" si="16"/>
        <v>-1.2578735316927103E-3</v>
      </c>
      <c r="R41" s="65">
        <f t="shared" si="15"/>
        <v>3.2480753023172104E-2</v>
      </c>
      <c r="S41" s="65">
        <f t="shared" si="15"/>
        <v>-4.6014436261246794E-2</v>
      </c>
      <c r="T41" s="65">
        <f t="shared" si="15"/>
        <v>2.7289595631357244E-2</v>
      </c>
      <c r="U41" s="65"/>
      <c r="V41" s="65"/>
      <c r="W41" s="65"/>
    </row>
    <row r="42" spans="2:27" x14ac:dyDescent="0.55000000000000004">
      <c r="B42" s="21" t="s">
        <v>162</v>
      </c>
      <c r="C42" s="8">
        <v>183413</v>
      </c>
      <c r="P42" s="9" t="s">
        <v>74</v>
      </c>
      <c r="Q42" s="65">
        <f t="shared" si="16"/>
        <v>-3.1356308930535093E-2</v>
      </c>
      <c r="R42" s="65">
        <f t="shared" si="15"/>
        <v>2.6352147784583835E-2</v>
      </c>
      <c r="S42" s="65">
        <f t="shared" si="15"/>
        <v>-0.15457570637158224</v>
      </c>
      <c r="T42" s="65">
        <f t="shared" si="15"/>
        <v>7.2097451257668865E-3</v>
      </c>
      <c r="U42" s="65"/>
      <c r="V42" s="65"/>
      <c r="W42" s="65"/>
    </row>
    <row r="43" spans="2:27" x14ac:dyDescent="0.55000000000000004">
      <c r="B43" s="21" t="s">
        <v>187</v>
      </c>
      <c r="C43" s="39">
        <v>197022</v>
      </c>
      <c r="P43" s="9" t="s">
        <v>165</v>
      </c>
      <c r="Q43" s="65">
        <f t="shared" si="16"/>
        <v>8.9042799577697673E-2</v>
      </c>
      <c r="R43" s="65">
        <f t="shared" si="15"/>
        <v>0.1344063099552335</v>
      </c>
      <c r="S43" s="65">
        <f t="shared" si="15"/>
        <v>5.1140253150965265E-3</v>
      </c>
      <c r="T43" s="65">
        <f t="shared" si="15"/>
        <v>4.0601657719256057E-2</v>
      </c>
      <c r="U43" s="47"/>
      <c r="V43" s="47"/>
      <c r="W43" s="47"/>
    </row>
    <row r="44" spans="2:27" x14ac:dyDescent="0.55000000000000004">
      <c r="B44" s="21" t="s">
        <v>209</v>
      </c>
      <c r="C44" s="39">
        <v>223503</v>
      </c>
    </row>
    <row r="45" spans="2:27" x14ac:dyDescent="0.55000000000000004">
      <c r="B45" s="21" t="s">
        <v>210</v>
      </c>
      <c r="C45" s="39">
        <v>224646</v>
      </c>
    </row>
    <row r="46" spans="2:27" x14ac:dyDescent="0.55000000000000004">
      <c r="B46" s="21" t="s">
        <v>211</v>
      </c>
      <c r="C46" s="39">
        <v>233767</v>
      </c>
    </row>
    <row r="49" spans="2:19" x14ac:dyDescent="0.55000000000000004">
      <c r="C49" s="39">
        <v>221000</v>
      </c>
      <c r="S49" s="7">
        <v>230292</v>
      </c>
    </row>
    <row r="50" spans="2:19" x14ac:dyDescent="0.55000000000000004">
      <c r="Q50" s="12">
        <f>MAX(Q7:T16)</f>
        <v>233767</v>
      </c>
      <c r="S50" s="13">
        <f>S49/S15-1</f>
        <v>0.28212094556224887</v>
      </c>
    </row>
    <row r="51" spans="2:19" x14ac:dyDescent="0.55000000000000004">
      <c r="C51" s="147">
        <f>C46/C49-1</f>
        <v>5.7769230769230795E-2</v>
      </c>
      <c r="H51" s="157" t="s">
        <v>169</v>
      </c>
      <c r="I51" s="157"/>
    </row>
    <row r="52" spans="2:19" x14ac:dyDescent="0.55000000000000004">
      <c r="P52" s="12"/>
    </row>
    <row r="53" spans="2:19" x14ac:dyDescent="0.55000000000000004">
      <c r="H53" s="7" t="s">
        <v>167</v>
      </c>
      <c r="I53" s="83">
        <v>152949.20394324465</v>
      </c>
    </row>
    <row r="54" spans="2:19" x14ac:dyDescent="0.55000000000000004">
      <c r="H54" s="7" t="s">
        <v>166</v>
      </c>
      <c r="I54" s="83">
        <v>170485.17697162234</v>
      </c>
    </row>
    <row r="55" spans="2:19" x14ac:dyDescent="0.55000000000000004">
      <c r="H55" s="7" t="s">
        <v>168</v>
      </c>
      <c r="I55" s="83">
        <v>188021</v>
      </c>
      <c r="Q55" s="7">
        <v>197022</v>
      </c>
      <c r="R55" s="8">
        <f>Q55/(1-0.0482)</f>
        <v>206999.36961546543</v>
      </c>
    </row>
    <row r="56" spans="2:19" x14ac:dyDescent="0.55000000000000004">
      <c r="B56" s="21" t="s">
        <v>162</v>
      </c>
      <c r="C56" s="8">
        <v>207233.09</v>
      </c>
    </row>
    <row r="57" spans="2:19" x14ac:dyDescent="0.55000000000000004">
      <c r="H57" s="7" t="s">
        <v>170</v>
      </c>
      <c r="I57" s="83">
        <v>167228</v>
      </c>
    </row>
    <row r="58" spans="2:19" x14ac:dyDescent="0.55000000000000004">
      <c r="R58" s="120">
        <f>Q55/R55-1</f>
        <v>-4.8200000000000021E-2</v>
      </c>
    </row>
    <row r="67" spans="9:13" x14ac:dyDescent="0.55000000000000004">
      <c r="I67" s="156" t="s">
        <v>177</v>
      </c>
      <c r="J67" s="156"/>
      <c r="K67" s="156"/>
      <c r="L67" s="156"/>
      <c r="M67" s="156"/>
    </row>
    <row r="68" spans="9:13" x14ac:dyDescent="0.55000000000000004">
      <c r="I68" s="121" t="s">
        <v>7</v>
      </c>
      <c r="J68" s="121" t="s">
        <v>42</v>
      </c>
      <c r="K68" s="121" t="s">
        <v>300</v>
      </c>
      <c r="L68" s="121" t="s">
        <v>175</v>
      </c>
      <c r="M68" s="121" t="s">
        <v>301</v>
      </c>
    </row>
    <row r="69" spans="9:13" x14ac:dyDescent="0.55000000000000004">
      <c r="I69" s="7" t="s">
        <v>9</v>
      </c>
      <c r="J69" s="7">
        <v>2024</v>
      </c>
      <c r="K69" s="8">
        <v>225562</v>
      </c>
      <c r="L69" s="8">
        <v>218062</v>
      </c>
      <c r="M69" s="12">
        <f>L69-K69</f>
        <v>-7500</v>
      </c>
    </row>
    <row r="70" spans="9:13" x14ac:dyDescent="0.55000000000000004">
      <c r="I70" s="7" t="s">
        <v>10</v>
      </c>
      <c r="J70" s="7">
        <v>2024</v>
      </c>
      <c r="K70" s="8">
        <v>215528</v>
      </c>
      <c r="L70" s="8">
        <v>208028</v>
      </c>
      <c r="M70" s="12">
        <f t="shared" ref="M70:M75" si="17">L70-K70</f>
        <v>-7500</v>
      </c>
    </row>
    <row r="71" spans="9:13" x14ac:dyDescent="0.55000000000000004">
      <c r="I71" s="7" t="s">
        <v>11</v>
      </c>
      <c r="J71" s="7">
        <v>2024</v>
      </c>
      <c r="K71" s="8">
        <v>221205</v>
      </c>
      <c r="L71" s="8">
        <v>213705</v>
      </c>
      <c r="M71" s="12">
        <f t="shared" si="17"/>
        <v>-7500</v>
      </c>
    </row>
    <row r="72" spans="9:13" x14ac:dyDescent="0.55000000000000004">
      <c r="I72" s="7" t="s">
        <v>12</v>
      </c>
      <c r="J72" s="7">
        <v>2024</v>
      </c>
      <c r="K72" s="8">
        <v>214505</v>
      </c>
      <c r="L72" s="8">
        <v>207004</v>
      </c>
      <c r="M72" s="12">
        <f t="shared" si="17"/>
        <v>-7501</v>
      </c>
    </row>
    <row r="73" spans="9:13" x14ac:dyDescent="0.55000000000000004">
      <c r="I73" s="7" t="s">
        <v>9</v>
      </c>
      <c r="J73" s="7">
        <v>2025</v>
      </c>
      <c r="K73" s="8">
        <v>217459</v>
      </c>
      <c r="L73" s="8">
        <v>212459</v>
      </c>
      <c r="M73" s="12">
        <f t="shared" si="17"/>
        <v>-5000</v>
      </c>
    </row>
    <row r="74" spans="9:13" x14ac:dyDescent="0.55000000000000004">
      <c r="I74" s="7" t="s">
        <v>10</v>
      </c>
      <c r="J74" s="7">
        <v>2025</v>
      </c>
      <c r="K74" s="8">
        <v>182118</v>
      </c>
      <c r="L74" s="8">
        <v>179618</v>
      </c>
      <c r="M74" s="12">
        <f t="shared" si="17"/>
        <v>-2500</v>
      </c>
    </row>
    <row r="75" spans="9:13" x14ac:dyDescent="0.55000000000000004">
      <c r="I75" s="7" t="s">
        <v>11</v>
      </c>
      <c r="J75" s="7">
        <v>2025</v>
      </c>
      <c r="K75" s="8">
        <v>183413</v>
      </c>
      <c r="L75" s="8">
        <v>180913</v>
      </c>
      <c r="M75" s="12">
        <f t="shared" si="17"/>
        <v>-2500</v>
      </c>
    </row>
    <row r="76" spans="9:13" x14ac:dyDescent="0.55000000000000004">
      <c r="I76" s="7" t="s">
        <v>12</v>
      </c>
      <c r="J76" s="7">
        <v>2025</v>
      </c>
      <c r="K76" s="8">
        <v>197022</v>
      </c>
      <c r="L76" s="8">
        <v>197022</v>
      </c>
    </row>
    <row r="78" spans="9:13" x14ac:dyDescent="0.55000000000000004">
      <c r="K78" s="13"/>
    </row>
    <row r="79" spans="9:13" x14ac:dyDescent="0.55000000000000004">
      <c r="K79" s="13"/>
    </row>
    <row r="80" spans="9:13" x14ac:dyDescent="0.55000000000000004">
      <c r="K80" s="13"/>
    </row>
    <row r="81" spans="11:11" x14ac:dyDescent="0.55000000000000004">
      <c r="K81" s="13"/>
    </row>
    <row r="82" spans="11:11" x14ac:dyDescent="0.55000000000000004">
      <c r="K82" s="13"/>
    </row>
    <row r="83" spans="11:11" x14ac:dyDescent="0.55000000000000004">
      <c r="K83" s="13"/>
    </row>
    <row r="84" spans="11:11" x14ac:dyDescent="0.55000000000000004">
      <c r="K84" s="13"/>
    </row>
    <row r="85" spans="11:11" x14ac:dyDescent="0.55000000000000004">
      <c r="K85" s="13"/>
    </row>
    <row r="86" spans="11:11" x14ac:dyDescent="0.55000000000000004">
      <c r="K86" s="13"/>
    </row>
    <row r="87" spans="11:11" x14ac:dyDescent="0.55000000000000004">
      <c r="K87" s="13"/>
    </row>
  </sheetData>
  <mergeCells count="6">
    <mergeCell ref="I67:M67"/>
    <mergeCell ref="A1:AG1"/>
    <mergeCell ref="P18:T18"/>
    <mergeCell ref="Y18:Z18"/>
    <mergeCell ref="P32:T32"/>
    <mergeCell ref="H51:I51"/>
  </mergeCells>
  <phoneticPr fontId="19" type="noConversion"/>
  <conditionalFormatting sqref="Q7:T14 W7:W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:T15 W7:W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:T16 W7:W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W2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{068F3BC8-C1C1-44E6-A83B-2A3860518B76}</x14:id>
        </ext>
      </extLst>
    </cfRule>
  </conditionalFormatting>
  <conditionalFormatting sqref="Q34:W4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{7812DB5E-3A31-44C2-A9AB-70EF754C2555}</x14:id>
        </ext>
      </extLst>
    </cfRule>
  </conditionalFormatting>
  <conditionalFormatting sqref="Q44:X44 X34:X4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{E2CA39D5-8988-4D68-8101-0175E8B2DD6F}</x14:id>
        </ext>
      </extLst>
    </cfRule>
  </conditionalFormatting>
  <conditionalFormatting sqref="U7:U1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{F0E6CF70-79A3-48C8-9029-F74E34A5313D}</x14:id>
        </ext>
      </extLst>
    </cfRule>
  </conditionalFormatting>
  <conditionalFormatting sqref="Z7:Z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{B90E2DF3-2906-440F-9CA8-2029EC140229}</x14:id>
        </ext>
      </extLst>
    </cfRule>
  </conditionalFormatting>
  <dataValidations count="1">
    <dataValidation type="list" allowBlank="1" showInputMessage="1" showErrorMessage="1" sqref="AA18" xr:uid="{29435B0F-7E3A-43CF-A311-734E26E96092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8F3BC8-C1C1-44E6-A83B-2A3860518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Q21:W29</xm:sqref>
        </x14:conditionalFormatting>
        <x14:conditionalFormatting xmlns:xm="http://schemas.microsoft.com/office/excel/2006/main">
          <x14:cfRule type="dataBar" id="{7812DB5E-3A31-44C2-A9AB-70EF754C2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Q34:W43</xm:sqref>
        </x14:conditionalFormatting>
        <x14:conditionalFormatting xmlns:xm="http://schemas.microsoft.com/office/excel/2006/main">
          <x14:cfRule type="dataBar" id="{E2CA39D5-8988-4D68-8101-0175E8B2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Q44:X44 X34:X43</xm:sqref>
        </x14:conditionalFormatting>
        <x14:conditionalFormatting xmlns:xm="http://schemas.microsoft.com/office/excel/2006/main">
          <x14:cfRule type="dataBar" id="{F0E6CF70-79A3-48C8-9029-F74E34A53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V8:V16</xm:sqref>
        </x14:conditionalFormatting>
        <x14:conditionalFormatting xmlns:xm="http://schemas.microsoft.com/office/excel/2006/main">
          <x14:cfRule type="dataBar" id="{B90E2DF3-2906-440F-9CA8-2029EC1402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C7A3-7DF9-41AB-B0EA-D23BB605AE11}">
  <sheetPr codeName="Sheet8"/>
  <dimension ref="A1:AH116"/>
  <sheetViews>
    <sheetView showGridLines="0" zoomScale="55" zoomScaleNormal="55" workbookViewId="0">
      <selection activeCell="S47" sqref="S47"/>
    </sheetView>
  </sheetViews>
  <sheetFormatPr defaultColWidth="9.15625" defaultRowHeight="14.4" x14ac:dyDescent="0.55000000000000004"/>
  <cols>
    <col min="1" max="1" width="3.578125" style="7" customWidth="1"/>
    <col min="2" max="2" width="10.41796875" style="7" bestFit="1" customWidth="1"/>
    <col min="3" max="3" width="11.578125" style="7" bestFit="1" customWidth="1"/>
    <col min="4" max="4" width="11.83984375" style="7" bestFit="1" customWidth="1"/>
    <col min="5" max="5" width="9.83984375" style="7" bestFit="1" customWidth="1"/>
    <col min="6" max="11" width="9.15625" style="7"/>
    <col min="12" max="12" width="10.26171875" style="7" bestFit="1" customWidth="1"/>
    <col min="13" max="16" width="9.15625" style="7"/>
    <col min="17" max="20" width="10.26171875" style="7" bestFit="1" customWidth="1"/>
    <col min="21" max="23" width="10.26171875" style="7" customWidth="1"/>
    <col min="24" max="24" width="11.26171875" style="7" customWidth="1"/>
    <col min="25" max="25" width="9.15625" style="7"/>
    <col min="26" max="26" width="13.578125" style="7" customWidth="1"/>
    <col min="27" max="27" width="11.578125" style="7" bestFit="1" customWidth="1"/>
    <col min="28" max="16384" width="9.15625" style="7"/>
  </cols>
  <sheetData>
    <row r="1" spans="1:34" s="5" customFormat="1" ht="55.5" customHeight="1" x14ac:dyDescent="0.55000000000000004">
      <c r="A1" s="148" t="s">
        <v>149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4" s="6" customFormat="1" ht="5.25" customHeight="1" x14ac:dyDescent="0.6"/>
    <row r="3" spans="1:34" x14ac:dyDescent="0.55000000000000004">
      <c r="Y3" s="20">
        <f>COUNT(Q16:T16)</f>
        <v>4</v>
      </c>
      <c r="Z3" s="19" t="str">
        <f ca="1">OFFSET(P6,0,$Y$3,1,1)</f>
        <v>Q4</v>
      </c>
    </row>
    <row r="4" spans="1:34" x14ac:dyDescent="0.55000000000000004">
      <c r="C4" s="72">
        <f>Menu!H25</f>
        <v>0.23530500414396882</v>
      </c>
      <c r="Y4" s="20"/>
      <c r="Z4" s="19"/>
    </row>
    <row r="5" spans="1:34" ht="14.7" thickBot="1" x14ac:dyDescent="0.6">
      <c r="Q5" s="7">
        <v>1</v>
      </c>
      <c r="R5" s="7">
        <v>2</v>
      </c>
      <c r="S5" s="7">
        <v>3</v>
      </c>
      <c r="T5" s="7">
        <v>4</v>
      </c>
    </row>
    <row r="6" spans="1:34" ht="15.6" x14ac:dyDescent="0.6">
      <c r="B6" s="23" t="s">
        <v>7</v>
      </c>
      <c r="C6" s="23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W6" s="24"/>
      <c r="Y6" s="16" t="s">
        <v>13</v>
      </c>
      <c r="Z6" s="16" t="str">
        <f ca="1">_xlfn.CONCAT("YTD (Q1 to ",Z3,")")</f>
        <v>YTD (Q1 to Q4)</v>
      </c>
      <c r="AA6" s="16" t="s">
        <v>14</v>
      </c>
      <c r="AE6" s="15" t="s">
        <v>9</v>
      </c>
      <c r="AF6" s="15" t="s">
        <v>10</v>
      </c>
      <c r="AG6" s="15" t="s">
        <v>11</v>
      </c>
      <c r="AH6" s="15" t="s">
        <v>12</v>
      </c>
    </row>
    <row r="7" spans="1:34" x14ac:dyDescent="0.55000000000000004">
      <c r="B7" s="21" t="s">
        <v>15</v>
      </c>
      <c r="C7" s="37">
        <v>127000</v>
      </c>
      <c r="P7" s="28" t="s">
        <v>16</v>
      </c>
      <c r="Q7" s="12">
        <f>C7</f>
        <v>127000</v>
      </c>
      <c r="R7" s="12">
        <f>C8</f>
        <v>127000</v>
      </c>
      <c r="S7" s="12">
        <f>C9</f>
        <v>127000</v>
      </c>
      <c r="T7" s="12">
        <f>C10</f>
        <v>128000</v>
      </c>
      <c r="U7" s="95">
        <f>SUM(Q7:T7)</f>
        <v>509000</v>
      </c>
      <c r="V7" s="96"/>
      <c r="W7" s="12"/>
      <c r="Y7" s="28" t="str">
        <f>P7</f>
        <v>16/17</v>
      </c>
      <c r="Z7" s="8">
        <f ca="1">SUM(OFFSET(Q7,0,0,1,$Y$3))</f>
        <v>509000</v>
      </c>
      <c r="AD7" s="9">
        <v>2017</v>
      </c>
      <c r="AE7" s="12">
        <f>Q7</f>
        <v>127000</v>
      </c>
      <c r="AF7" s="12">
        <f>AE7+R7</f>
        <v>254000</v>
      </c>
      <c r="AG7" s="12">
        <f>AF7+S7</f>
        <v>381000</v>
      </c>
      <c r="AH7" s="12">
        <f>AG7+T7</f>
        <v>509000</v>
      </c>
    </row>
    <row r="8" spans="1:34" x14ac:dyDescent="0.55000000000000004">
      <c r="B8" s="21" t="s">
        <v>17</v>
      </c>
      <c r="C8" s="40">
        <v>127000</v>
      </c>
      <c r="P8" s="28" t="s">
        <v>18</v>
      </c>
      <c r="Q8" s="12">
        <f>C11</f>
        <v>124000</v>
      </c>
      <c r="R8" s="12">
        <f>C12</f>
        <v>130000</v>
      </c>
      <c r="S8" s="12">
        <f>C13</f>
        <v>125000</v>
      </c>
      <c r="T8" s="12">
        <f>C14</f>
        <v>126347</v>
      </c>
      <c r="U8" s="95">
        <f t="shared" ref="U8:U15" si="0">SUM(Q8:T8)</f>
        <v>505347</v>
      </c>
      <c r="V8" s="97">
        <f>U8/U7-1</f>
        <v>-7.1768172888015958E-3</v>
      </c>
      <c r="W8" s="12"/>
      <c r="Y8" s="28" t="str">
        <f t="shared" ref="Y8:Y15" si="1">P8</f>
        <v>17/18</v>
      </c>
      <c r="Z8" s="8">
        <f t="shared" ref="Z8:Z13" ca="1" si="2">SUM(OFFSET(Q8,0,0,1,$Y$3))</f>
        <v>505347</v>
      </c>
      <c r="AA8" s="14">
        <f ca="1">Z8/Z7-1</f>
        <v>-7.1768172888015958E-3</v>
      </c>
      <c r="AD8" s="9">
        <v>2018</v>
      </c>
      <c r="AE8" s="12">
        <f t="shared" ref="AE8:AE14" si="3">Q8</f>
        <v>124000</v>
      </c>
      <c r="AF8" s="12">
        <f t="shared" ref="AF8:AF13" si="4">AE8+R8</f>
        <v>254000</v>
      </c>
      <c r="AG8" s="12">
        <f t="shared" ref="AG8:AH13" si="5">AF8+S8</f>
        <v>379000</v>
      </c>
      <c r="AH8" s="12">
        <f t="shared" si="5"/>
        <v>505347</v>
      </c>
    </row>
    <row r="9" spans="1:34" x14ac:dyDescent="0.55000000000000004">
      <c r="B9" s="21" t="s">
        <v>19</v>
      </c>
      <c r="C9" s="40">
        <v>127000</v>
      </c>
      <c r="P9" s="28" t="s">
        <v>20</v>
      </c>
      <c r="Q9" s="12">
        <f>C15</f>
        <v>135510</v>
      </c>
      <c r="R9" s="12">
        <f>C16</f>
        <v>133000</v>
      </c>
      <c r="S9" s="12">
        <f>C17</f>
        <v>139000</v>
      </c>
      <c r="T9" s="12">
        <f>C18</f>
        <v>140473</v>
      </c>
      <c r="U9" s="95">
        <f t="shared" si="0"/>
        <v>547983</v>
      </c>
      <c r="V9" s="97">
        <f t="shared" ref="V9:V15" si="6">U9/U8-1</f>
        <v>8.4369749894626755E-2</v>
      </c>
      <c r="W9" s="12"/>
      <c r="Y9" s="28" t="str">
        <f t="shared" si="1"/>
        <v>18/19</v>
      </c>
      <c r="Z9" s="8">
        <f t="shared" ca="1" si="2"/>
        <v>547983</v>
      </c>
      <c r="AA9" s="14">
        <f t="shared" ref="AA9:AA13" ca="1" si="7">Z9/Z8-1</f>
        <v>8.4369749894626755E-2</v>
      </c>
      <c r="AD9" s="9">
        <v>2019</v>
      </c>
      <c r="AE9" s="12">
        <f t="shared" si="3"/>
        <v>135510</v>
      </c>
      <c r="AF9" s="12">
        <f t="shared" si="4"/>
        <v>268510</v>
      </c>
      <c r="AG9" s="12">
        <f t="shared" si="5"/>
        <v>407510</v>
      </c>
      <c r="AH9" s="12">
        <f t="shared" si="5"/>
        <v>547983</v>
      </c>
    </row>
    <row r="10" spans="1:34" x14ac:dyDescent="0.55000000000000004">
      <c r="B10" s="22" t="s">
        <v>21</v>
      </c>
      <c r="C10" s="43">
        <v>128000</v>
      </c>
      <c r="P10" s="28" t="s">
        <v>22</v>
      </c>
      <c r="Q10" s="12">
        <f>C19</f>
        <v>144314</v>
      </c>
      <c r="R10" s="12">
        <f>C20</f>
        <v>139821</v>
      </c>
      <c r="S10" s="12">
        <f>C21</f>
        <v>139559</v>
      </c>
      <c r="T10" s="12">
        <f>C22</f>
        <v>135954</v>
      </c>
      <c r="U10" s="95">
        <f t="shared" si="0"/>
        <v>559648</v>
      </c>
      <c r="V10" s="97">
        <f t="shared" si="6"/>
        <v>2.1287156718365452E-2</v>
      </c>
      <c r="W10" s="12"/>
      <c r="Y10" s="28" t="str">
        <f t="shared" si="1"/>
        <v>19/20</v>
      </c>
      <c r="Z10" s="8">
        <f t="shared" ca="1" si="2"/>
        <v>559648</v>
      </c>
      <c r="AA10" s="14">
        <f t="shared" ca="1" si="7"/>
        <v>2.1287156718365452E-2</v>
      </c>
      <c r="AD10" s="9">
        <v>2020</v>
      </c>
      <c r="AE10" s="12">
        <f t="shared" si="3"/>
        <v>144314</v>
      </c>
      <c r="AF10" s="12">
        <f t="shared" si="4"/>
        <v>284135</v>
      </c>
      <c r="AG10" s="12">
        <f t="shared" si="5"/>
        <v>423694</v>
      </c>
      <c r="AH10" s="12">
        <f t="shared" si="5"/>
        <v>559648</v>
      </c>
    </row>
    <row r="11" spans="1:34" x14ac:dyDescent="0.55000000000000004">
      <c r="B11" s="21" t="s">
        <v>23</v>
      </c>
      <c r="C11" s="39">
        <v>124000</v>
      </c>
      <c r="P11" s="28" t="s">
        <v>24</v>
      </c>
      <c r="Q11" s="12">
        <f>C23</f>
        <v>150241</v>
      </c>
      <c r="R11" s="12">
        <f>C24</f>
        <v>150593</v>
      </c>
      <c r="S11" s="12">
        <f>C25</f>
        <v>109471</v>
      </c>
      <c r="T11" s="12">
        <f>C26</f>
        <v>154121</v>
      </c>
      <c r="U11" s="95">
        <f t="shared" si="0"/>
        <v>564426</v>
      </c>
      <c r="V11" s="97">
        <f t="shared" si="6"/>
        <v>8.5375092915547235E-3</v>
      </c>
      <c r="W11" s="12"/>
      <c r="Y11" s="28" t="str">
        <f t="shared" si="1"/>
        <v>20/21</v>
      </c>
      <c r="Z11" s="8">
        <f t="shared" ca="1" si="2"/>
        <v>564426</v>
      </c>
      <c r="AA11" s="14">
        <f t="shared" ca="1" si="7"/>
        <v>8.5375092915547235E-3</v>
      </c>
      <c r="AD11" s="9">
        <v>2021</v>
      </c>
      <c r="AE11" s="12">
        <f t="shared" si="3"/>
        <v>150241</v>
      </c>
      <c r="AF11" s="12">
        <f t="shared" si="4"/>
        <v>300834</v>
      </c>
      <c r="AG11" s="12">
        <f t="shared" si="5"/>
        <v>410305</v>
      </c>
      <c r="AH11" s="12">
        <f t="shared" si="5"/>
        <v>564426</v>
      </c>
    </row>
    <row r="12" spans="1:34" x14ac:dyDescent="0.55000000000000004">
      <c r="B12" s="21" t="s">
        <v>25</v>
      </c>
      <c r="C12" s="39">
        <v>130000</v>
      </c>
      <c r="P12" s="28" t="s">
        <v>26</v>
      </c>
      <c r="Q12" s="12">
        <f>C27</f>
        <v>158272</v>
      </c>
      <c r="R12" s="12">
        <f>C28</f>
        <v>155454</v>
      </c>
      <c r="S12" s="12">
        <f>C29</f>
        <v>156723</v>
      </c>
      <c r="T12" s="12">
        <f>C30</f>
        <v>171000</v>
      </c>
      <c r="U12" s="95">
        <f t="shared" si="0"/>
        <v>641449</v>
      </c>
      <c r="V12" s="97">
        <f t="shared" si="6"/>
        <v>0.13646253007480169</v>
      </c>
      <c r="W12" s="12"/>
      <c r="Y12" s="28" t="str">
        <f t="shared" si="1"/>
        <v>21/22</v>
      </c>
      <c r="Z12" s="8">
        <f t="shared" ca="1" si="2"/>
        <v>641449</v>
      </c>
      <c r="AA12" s="14">
        <f t="shared" ca="1" si="7"/>
        <v>0.13646253007480169</v>
      </c>
      <c r="AD12" s="9">
        <v>2022</v>
      </c>
      <c r="AE12" s="12">
        <f t="shared" si="3"/>
        <v>158272</v>
      </c>
      <c r="AF12" s="12">
        <f t="shared" si="4"/>
        <v>313726</v>
      </c>
      <c r="AG12" s="12">
        <f t="shared" si="5"/>
        <v>470449</v>
      </c>
      <c r="AH12" s="12">
        <f t="shared" si="5"/>
        <v>641449</v>
      </c>
    </row>
    <row r="13" spans="1:34" x14ac:dyDescent="0.55000000000000004">
      <c r="B13" s="21" t="s">
        <v>27</v>
      </c>
      <c r="C13" s="39">
        <v>125000</v>
      </c>
      <c r="P13" s="28" t="s">
        <v>28</v>
      </c>
      <c r="Q13" s="12">
        <f>IF(C31=0,"",C31)</f>
        <v>172357</v>
      </c>
      <c r="R13" s="12">
        <f>IF(C32=0,"",C32)</f>
        <v>189000</v>
      </c>
      <c r="S13" s="12">
        <f>IF(C33=0,"",C33)</f>
        <v>162000</v>
      </c>
      <c r="T13" s="12">
        <f>IF(C34=0,NA(),C34)</f>
        <v>183000</v>
      </c>
      <c r="U13" s="95">
        <f t="shared" si="0"/>
        <v>706357</v>
      </c>
      <c r="V13" s="97">
        <f t="shared" si="6"/>
        <v>0.10118965030735105</v>
      </c>
      <c r="W13" s="12"/>
      <c r="Y13" s="28" t="str">
        <f t="shared" si="1"/>
        <v>22/23</v>
      </c>
      <c r="Z13" s="8">
        <f t="shared" ca="1" si="2"/>
        <v>706357</v>
      </c>
      <c r="AA13" s="14">
        <f t="shared" ca="1" si="7"/>
        <v>0.10118965030735105</v>
      </c>
      <c r="AD13" s="9">
        <v>2023</v>
      </c>
      <c r="AE13" s="12">
        <f t="shared" si="3"/>
        <v>172357</v>
      </c>
      <c r="AF13" s="12">
        <f t="shared" si="4"/>
        <v>361357</v>
      </c>
      <c r="AG13" s="12">
        <f t="shared" si="5"/>
        <v>523357</v>
      </c>
      <c r="AH13" s="12">
        <f t="shared" si="5"/>
        <v>706357</v>
      </c>
    </row>
    <row r="14" spans="1:34" x14ac:dyDescent="0.55000000000000004">
      <c r="B14" s="22" t="s">
        <v>29</v>
      </c>
      <c r="C14" s="43">
        <v>126347</v>
      </c>
      <c r="P14" s="28" t="s">
        <v>30</v>
      </c>
      <c r="Q14" s="12">
        <f>IF(C35=0,"",C35)</f>
        <v>170000</v>
      </c>
      <c r="R14" s="12">
        <f>C36</f>
        <v>169059</v>
      </c>
      <c r="S14" s="12">
        <f>C37</f>
        <v>129819</v>
      </c>
      <c r="T14" s="12">
        <f>C38</f>
        <v>173684</v>
      </c>
      <c r="U14" s="95">
        <f t="shared" si="0"/>
        <v>642562</v>
      </c>
      <c r="V14" s="97">
        <f t="shared" si="6"/>
        <v>-9.0315520338865474E-2</v>
      </c>
      <c r="W14" s="12"/>
      <c r="Y14" s="28" t="str">
        <f t="shared" si="1"/>
        <v>23/24</v>
      </c>
      <c r="Z14" s="8">
        <f t="shared" ref="Z14:Z16" ca="1" si="8">SUM(OFFSET(Q14,0,0,1,$Y$3))</f>
        <v>642562</v>
      </c>
      <c r="AA14" s="14">
        <f t="shared" ref="AA14:AA16" ca="1" si="9">Z14/Z13-1</f>
        <v>-9.0315520338865474E-2</v>
      </c>
      <c r="AD14" s="9">
        <v>2024</v>
      </c>
      <c r="AE14" s="12">
        <f t="shared" si="3"/>
        <v>170000</v>
      </c>
      <c r="AF14" s="12">
        <f t="shared" ref="AF14" si="10">AE14+R14</f>
        <v>339059</v>
      </c>
      <c r="AG14" s="12">
        <f t="shared" ref="AG14" si="11">AF14+S14</f>
        <v>468878</v>
      </c>
      <c r="AH14" s="12"/>
    </row>
    <row r="15" spans="1:34" x14ac:dyDescent="0.55000000000000004">
      <c r="B15" s="21" t="s">
        <v>31</v>
      </c>
      <c r="C15" s="39">
        <v>135510</v>
      </c>
      <c r="P15" s="28" t="s">
        <v>74</v>
      </c>
      <c r="Q15" s="12">
        <f>C39</f>
        <v>182325</v>
      </c>
      <c r="R15" s="12">
        <f>C40</f>
        <v>169163</v>
      </c>
      <c r="S15" s="12">
        <f>C41</f>
        <v>124277</v>
      </c>
      <c r="T15" s="12">
        <f>C42</f>
        <v>112341</v>
      </c>
      <c r="U15" s="95">
        <f t="shared" si="0"/>
        <v>588106</v>
      </c>
      <c r="V15" s="97">
        <f t="shared" si="6"/>
        <v>-8.4748242192971279E-2</v>
      </c>
      <c r="W15" s="12"/>
      <c r="Y15" s="28" t="str">
        <f t="shared" si="1"/>
        <v>24/25</v>
      </c>
      <c r="Z15" s="8">
        <f t="shared" ca="1" si="8"/>
        <v>588106</v>
      </c>
      <c r="AA15" s="14">
        <f t="shared" ca="1" si="9"/>
        <v>-8.4748242192971279E-2</v>
      </c>
    </row>
    <row r="16" spans="1:34" x14ac:dyDescent="0.55000000000000004">
      <c r="B16" s="21" t="s">
        <v>32</v>
      </c>
      <c r="C16" s="39">
        <v>133000</v>
      </c>
      <c r="P16" s="28" t="s">
        <v>165</v>
      </c>
      <c r="Q16" s="12">
        <f>C43</f>
        <v>165558</v>
      </c>
      <c r="R16" s="12">
        <f>C44</f>
        <v>169213</v>
      </c>
      <c r="S16" s="12">
        <f>C45</f>
        <v>153520</v>
      </c>
      <c r="T16" s="12">
        <f>C46</f>
        <v>157426</v>
      </c>
      <c r="U16" s="95">
        <f t="shared" ref="U16" si="12">SUM(Q16:T16)</f>
        <v>645717</v>
      </c>
      <c r="V16" s="97">
        <f t="shared" ref="V16" si="13">U16/U15-1</f>
        <v>9.796023165891854E-2</v>
      </c>
      <c r="Y16" s="28" t="s">
        <v>165</v>
      </c>
      <c r="Z16" s="8">
        <f t="shared" ca="1" si="8"/>
        <v>645717</v>
      </c>
      <c r="AA16" s="14">
        <f t="shared" ca="1" si="9"/>
        <v>9.796023165891854E-2</v>
      </c>
    </row>
    <row r="17" spans="2:29" x14ac:dyDescent="0.55000000000000004">
      <c r="B17" s="21" t="s">
        <v>33</v>
      </c>
      <c r="C17" s="39">
        <v>139000</v>
      </c>
    </row>
    <row r="18" spans="2:29" ht="15.6" x14ac:dyDescent="0.6">
      <c r="B18" s="22" t="s">
        <v>34</v>
      </c>
      <c r="C18" s="43">
        <v>140473</v>
      </c>
      <c r="P18" s="149" t="s">
        <v>35</v>
      </c>
      <c r="Q18" s="149"/>
      <c r="R18" s="149"/>
      <c r="S18" s="149"/>
      <c r="T18" s="149"/>
      <c r="U18" s="92"/>
      <c r="V18" s="92"/>
      <c r="W18" s="92"/>
      <c r="Y18" s="150" t="s">
        <v>36</v>
      </c>
      <c r="Z18" s="150"/>
      <c r="AA18" s="25" t="s">
        <v>12</v>
      </c>
    </row>
    <row r="19" spans="2:29" x14ac:dyDescent="0.55000000000000004">
      <c r="B19" s="21" t="s">
        <v>37</v>
      </c>
      <c r="C19" s="39">
        <v>144314</v>
      </c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  <c r="W19" s="18"/>
    </row>
    <row r="20" spans="2:29" x14ac:dyDescent="0.55000000000000004">
      <c r="B20" s="21" t="s">
        <v>38</v>
      </c>
      <c r="C20" s="39">
        <v>139821</v>
      </c>
      <c r="P20" s="9" t="s">
        <v>16</v>
      </c>
      <c r="Q20" s="12"/>
      <c r="R20" s="12"/>
      <c r="S20" s="12"/>
      <c r="T20" s="12"/>
      <c r="U20" s="12"/>
      <c r="V20" s="12"/>
      <c r="W20" s="12"/>
    </row>
    <row r="21" spans="2:29" x14ac:dyDescent="0.55000000000000004">
      <c r="B21" s="21" t="s">
        <v>39</v>
      </c>
      <c r="C21" s="39">
        <v>139559</v>
      </c>
      <c r="P21" s="9" t="s">
        <v>18</v>
      </c>
      <c r="Q21" s="14">
        <f t="shared" ref="Q21:T29" si="14">IFERROR(Q8/Q7-1,"")</f>
        <v>-2.3622047244094446E-2</v>
      </c>
      <c r="R21" s="14">
        <f t="shared" si="14"/>
        <v>2.3622047244094446E-2</v>
      </c>
      <c r="S21" s="14">
        <f t="shared" si="14"/>
        <v>-1.5748031496062964E-2</v>
      </c>
      <c r="T21" s="14">
        <f t="shared" si="14"/>
        <v>-1.2914062500000045E-2</v>
      </c>
      <c r="U21" s="14"/>
      <c r="V21" s="14"/>
      <c r="W21" s="14"/>
    </row>
    <row r="22" spans="2:29" x14ac:dyDescent="0.55000000000000004">
      <c r="B22" s="22" t="s">
        <v>40</v>
      </c>
      <c r="C22" s="43">
        <v>135954</v>
      </c>
      <c r="P22" s="9" t="s">
        <v>20</v>
      </c>
      <c r="Q22" s="14">
        <f t="shared" si="14"/>
        <v>9.2822580645161246E-2</v>
      </c>
      <c r="R22" s="14">
        <f t="shared" si="14"/>
        <v>2.3076923076922995E-2</v>
      </c>
      <c r="S22" s="14">
        <f t="shared" si="14"/>
        <v>0.1120000000000001</v>
      </c>
      <c r="T22" s="14">
        <f t="shared" si="14"/>
        <v>0.11180320862386917</v>
      </c>
      <c r="U22" s="14"/>
      <c r="V22" s="14"/>
      <c r="W22" s="14"/>
      <c r="Z22" s="7">
        <f>_xlfn.XLOOKUP(AA18,Q6:T6,Q5:T5)</f>
        <v>4</v>
      </c>
    </row>
    <row r="23" spans="2:29" x14ac:dyDescent="0.55000000000000004">
      <c r="B23" s="21" t="s">
        <v>41</v>
      </c>
      <c r="C23" s="39">
        <v>150241</v>
      </c>
      <c r="P23" s="9" t="s">
        <v>22</v>
      </c>
      <c r="Q23" s="14">
        <f t="shared" si="14"/>
        <v>6.4969374953878001E-2</v>
      </c>
      <c r="R23" s="14">
        <f t="shared" si="14"/>
        <v>5.1285714285714379E-2</v>
      </c>
      <c r="S23" s="14">
        <f t="shared" si="14"/>
        <v>4.0215827338130339E-3</v>
      </c>
      <c r="T23" s="14">
        <f t="shared" si="14"/>
        <v>-3.2169883180397707E-2</v>
      </c>
      <c r="U23" s="14"/>
      <c r="V23" s="14"/>
      <c r="W23" s="14"/>
      <c r="Z23" s="7" t="s">
        <v>42</v>
      </c>
    </row>
    <row r="24" spans="2:29" x14ac:dyDescent="0.55000000000000004">
      <c r="B24" s="21" t="s">
        <v>43</v>
      </c>
      <c r="C24" s="39">
        <v>150593</v>
      </c>
      <c r="P24" s="9" t="s">
        <v>24</v>
      </c>
      <c r="Q24" s="14">
        <f t="shared" si="14"/>
        <v>4.1070166442618072E-2</v>
      </c>
      <c r="R24" s="14">
        <f t="shared" si="14"/>
        <v>7.7041360024602934E-2</v>
      </c>
      <c r="S24" s="14">
        <f t="shared" si="14"/>
        <v>-0.21559340493984624</v>
      </c>
      <c r="T24" s="14">
        <f t="shared" si="14"/>
        <v>0.1336260794092119</v>
      </c>
      <c r="U24" s="14"/>
      <c r="V24" s="14"/>
      <c r="W24" s="14"/>
      <c r="Z24" s="9" t="s">
        <v>16</v>
      </c>
      <c r="AA24" s="8" cm="1">
        <f t="array" aca="1" ref="AA24:AA33" ca="1">OFFSET(P7,0,$Z$22,COUNT($Q$7:$Q$16),1)</f>
        <v>128000</v>
      </c>
    </row>
    <row r="25" spans="2:29" x14ac:dyDescent="0.55000000000000004">
      <c r="B25" s="21" t="s">
        <v>44</v>
      </c>
      <c r="C25" s="39">
        <v>109471</v>
      </c>
      <c r="P25" s="9" t="s">
        <v>26</v>
      </c>
      <c r="Q25" s="14">
        <f t="shared" si="14"/>
        <v>5.3454117051936478E-2</v>
      </c>
      <c r="R25" s="14">
        <f t="shared" si="14"/>
        <v>3.2279056795468497E-2</v>
      </c>
      <c r="S25" s="14">
        <f t="shared" si="14"/>
        <v>0.43163942962063007</v>
      </c>
      <c r="T25" s="14">
        <f t="shared" si="14"/>
        <v>0.10951784636746442</v>
      </c>
      <c r="U25" s="14"/>
      <c r="V25" s="14"/>
      <c r="W25" s="14"/>
      <c r="Z25" s="9" t="s">
        <v>18</v>
      </c>
      <c r="AA25" s="8">
        <f ca="1"/>
        <v>126347</v>
      </c>
      <c r="AC25" s="26" t="str">
        <f>_xlfn.CONCAT(A1," ",AA18," across Years")</f>
        <v>IVC (Gepex) Q4 across Years</v>
      </c>
    </row>
    <row r="26" spans="2:29" x14ac:dyDescent="0.55000000000000004">
      <c r="B26" s="22" t="s">
        <v>45</v>
      </c>
      <c r="C26" s="43">
        <v>154121</v>
      </c>
      <c r="D26"/>
      <c r="P26" s="9" t="s">
        <v>28</v>
      </c>
      <c r="Q26" s="14">
        <f t="shared" si="14"/>
        <v>8.8992367569753261E-2</v>
      </c>
      <c r="R26" s="14">
        <f t="shared" si="14"/>
        <v>0.21579373962715653</v>
      </c>
      <c r="S26" s="14">
        <f t="shared" si="14"/>
        <v>3.3670871537681224E-2</v>
      </c>
      <c r="T26" s="14">
        <f t="shared" si="14"/>
        <v>7.0175438596491224E-2</v>
      </c>
      <c r="U26" s="14"/>
      <c r="V26" s="14"/>
      <c r="W26" s="14"/>
      <c r="Z26" s="9" t="s">
        <v>20</v>
      </c>
      <c r="AA26" s="8">
        <f ca="1"/>
        <v>140473</v>
      </c>
    </row>
    <row r="27" spans="2:29" x14ac:dyDescent="0.55000000000000004">
      <c r="B27" s="21" t="s">
        <v>46</v>
      </c>
      <c r="C27" s="39">
        <v>158272</v>
      </c>
      <c r="D27"/>
      <c r="P27" s="9" t="s">
        <v>30</v>
      </c>
      <c r="Q27" s="14">
        <f t="shared" si="14"/>
        <v>-1.3675104579448427E-2</v>
      </c>
      <c r="R27" s="14">
        <f t="shared" si="14"/>
        <v>-0.10550793650793655</v>
      </c>
      <c r="S27" s="14">
        <f t="shared" si="14"/>
        <v>-0.19864814814814813</v>
      </c>
      <c r="T27" s="14">
        <f t="shared" si="14"/>
        <v>-5.0907103825136635E-2</v>
      </c>
      <c r="U27" s="14"/>
      <c r="V27" s="14"/>
      <c r="W27" s="14"/>
      <c r="Z27" s="9" t="s">
        <v>22</v>
      </c>
      <c r="AA27" s="8">
        <f ca="1"/>
        <v>135954</v>
      </c>
    </row>
    <row r="28" spans="2:29" x14ac:dyDescent="0.55000000000000004">
      <c r="B28" s="21" t="s">
        <v>47</v>
      </c>
      <c r="C28" s="39">
        <v>155454</v>
      </c>
      <c r="D28"/>
      <c r="P28" s="9" t="s">
        <v>74</v>
      </c>
      <c r="Q28" s="14">
        <f t="shared" si="14"/>
        <v>7.2500000000000009E-2</v>
      </c>
      <c r="R28" s="14">
        <f t="shared" si="14"/>
        <v>6.1516985194520757E-4</v>
      </c>
      <c r="S28" s="14">
        <f t="shared" si="14"/>
        <v>-4.2690207134548852E-2</v>
      </c>
      <c r="T28" s="14">
        <f t="shared" si="14"/>
        <v>-0.35318739780290642</v>
      </c>
      <c r="U28" s="14"/>
      <c r="V28" s="14"/>
      <c r="W28" s="14"/>
      <c r="Z28" s="9" t="s">
        <v>24</v>
      </c>
      <c r="AA28" s="8">
        <f ca="1"/>
        <v>154121</v>
      </c>
    </row>
    <row r="29" spans="2:29" x14ac:dyDescent="0.55000000000000004">
      <c r="B29" s="21" t="s">
        <v>48</v>
      </c>
      <c r="C29" s="39">
        <v>156723</v>
      </c>
      <c r="D29"/>
      <c r="P29" s="28" t="s">
        <v>165</v>
      </c>
      <c r="Q29" s="14">
        <f t="shared" si="14"/>
        <v>-9.1962155491567277E-2</v>
      </c>
      <c r="R29" s="14">
        <f t="shared" si="14"/>
        <v>2.9557290896953248E-4</v>
      </c>
      <c r="S29" s="14">
        <f t="shared" si="14"/>
        <v>0.23530500414396882</v>
      </c>
      <c r="T29" s="14">
        <f t="shared" si="14"/>
        <v>0.40132275838740972</v>
      </c>
      <c r="Z29" s="9" t="s">
        <v>26</v>
      </c>
      <c r="AA29" s="8">
        <f ca="1"/>
        <v>171000</v>
      </c>
    </row>
    <row r="30" spans="2:29" x14ac:dyDescent="0.55000000000000004">
      <c r="B30" s="22" t="s">
        <v>49</v>
      </c>
      <c r="C30" s="43">
        <v>171000</v>
      </c>
      <c r="D30"/>
      <c r="Z30" s="9" t="s">
        <v>28</v>
      </c>
      <c r="AA30" s="8">
        <f ca="1"/>
        <v>183000</v>
      </c>
    </row>
    <row r="31" spans="2:29" x14ac:dyDescent="0.55000000000000004">
      <c r="B31" s="21" t="s">
        <v>50</v>
      </c>
      <c r="C31" s="39">
        <v>172357</v>
      </c>
      <c r="D31" s="7">
        <v>169321</v>
      </c>
      <c r="Z31" s="9" t="s">
        <v>30</v>
      </c>
      <c r="AA31" s="8">
        <f ca="1"/>
        <v>173684</v>
      </c>
    </row>
    <row r="32" spans="2:29" ht="15.6" x14ac:dyDescent="0.6">
      <c r="B32" s="21" t="s">
        <v>51</v>
      </c>
      <c r="C32" s="39">
        <v>189000</v>
      </c>
      <c r="D32" s="7">
        <v>205616</v>
      </c>
      <c r="P32" s="149" t="s">
        <v>52</v>
      </c>
      <c r="Q32" s="149"/>
      <c r="R32" s="149"/>
      <c r="S32" s="149"/>
      <c r="T32" s="149"/>
      <c r="U32" s="92"/>
      <c r="V32" s="92"/>
      <c r="W32" s="92"/>
      <c r="Z32" s="7" t="s">
        <v>74</v>
      </c>
      <c r="AA32" s="8">
        <f ca="1"/>
        <v>112341</v>
      </c>
    </row>
    <row r="33" spans="2:27" x14ac:dyDescent="0.55000000000000004">
      <c r="B33" s="21" t="s">
        <v>53</v>
      </c>
      <c r="C33" s="39">
        <v>162000</v>
      </c>
      <c r="D33" s="7">
        <v>180911</v>
      </c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W33" s="18"/>
      <c r="Z33" s="7" t="s">
        <v>165</v>
      </c>
      <c r="AA33" s="8">
        <f ca="1"/>
        <v>157426</v>
      </c>
    </row>
    <row r="34" spans="2:27" x14ac:dyDescent="0.55000000000000004">
      <c r="B34" s="22" t="s">
        <v>54</v>
      </c>
      <c r="C34" s="43">
        <v>183000</v>
      </c>
      <c r="D34" s="7">
        <v>201505</v>
      </c>
      <c r="P34" s="9" t="s">
        <v>16</v>
      </c>
      <c r="Q34" s="17"/>
      <c r="R34" s="17">
        <f t="shared" ref="R34:T43" si="15">IFERROR(R7/Q7-1,"")</f>
        <v>0</v>
      </c>
      <c r="S34" s="17">
        <f t="shared" si="15"/>
        <v>0</v>
      </c>
      <c r="T34" s="17">
        <f t="shared" si="15"/>
        <v>7.8740157480314821E-3</v>
      </c>
      <c r="U34" s="17"/>
      <c r="V34" s="17"/>
      <c r="W34" s="17"/>
    </row>
    <row r="35" spans="2:27" x14ac:dyDescent="0.55000000000000004">
      <c r="B35" s="21" t="s">
        <v>55</v>
      </c>
      <c r="C35" s="39">
        <v>170000</v>
      </c>
      <c r="D35" s="7">
        <v>174677</v>
      </c>
      <c r="P35" s="9" t="s">
        <v>18</v>
      </c>
      <c r="Q35" s="17">
        <f t="shared" ref="Q35:Q43" si="16">IFERROR(Q8/T7-1,"")</f>
        <v>-3.125E-2</v>
      </c>
      <c r="R35" s="17">
        <f t="shared" si="15"/>
        <v>4.8387096774193505E-2</v>
      </c>
      <c r="S35" s="17">
        <f t="shared" si="15"/>
        <v>-3.8461538461538436E-2</v>
      </c>
      <c r="T35" s="17">
        <f t="shared" si="15"/>
        <v>1.0775999999999897E-2</v>
      </c>
      <c r="U35" s="17"/>
      <c r="V35" s="17"/>
      <c r="W35" s="17"/>
    </row>
    <row r="36" spans="2:27" x14ac:dyDescent="0.55000000000000004">
      <c r="B36" s="21" t="s">
        <v>56</v>
      </c>
      <c r="C36" s="39">
        <v>169059</v>
      </c>
      <c r="D36" s="7">
        <v>182283</v>
      </c>
      <c r="P36" s="9" t="s">
        <v>20</v>
      </c>
      <c r="Q36" s="17">
        <f t="shared" si="16"/>
        <v>7.2522497566226418E-2</v>
      </c>
      <c r="R36" s="17">
        <f t="shared" si="15"/>
        <v>-1.8522618256955226E-2</v>
      </c>
      <c r="S36" s="17">
        <f t="shared" si="15"/>
        <v>4.5112781954887327E-2</v>
      </c>
      <c r="T36" s="17">
        <f t="shared" si="15"/>
        <v>1.0597122302158368E-2</v>
      </c>
      <c r="U36" s="17"/>
      <c r="V36" s="17"/>
      <c r="W36" s="17"/>
    </row>
    <row r="37" spans="2:27" x14ac:dyDescent="0.55000000000000004">
      <c r="B37" s="21" t="s">
        <v>57</v>
      </c>
      <c r="C37" s="39">
        <v>129819</v>
      </c>
      <c r="D37" s="7">
        <v>144915</v>
      </c>
      <c r="P37" s="9" t="s">
        <v>22</v>
      </c>
      <c r="Q37" s="17">
        <f t="shared" si="16"/>
        <v>2.7343332882475702E-2</v>
      </c>
      <c r="R37" s="17">
        <f t="shared" si="15"/>
        <v>-3.1133500561276062E-2</v>
      </c>
      <c r="S37" s="17">
        <f t="shared" si="15"/>
        <v>-1.8738243897554741E-3</v>
      </c>
      <c r="T37" s="17">
        <f t="shared" si="15"/>
        <v>-2.5831368811757072E-2</v>
      </c>
      <c r="U37" s="17"/>
      <c r="V37" s="17"/>
      <c r="W37" s="17"/>
    </row>
    <row r="38" spans="2:27" x14ac:dyDescent="0.55000000000000004">
      <c r="B38" s="22" t="s">
        <v>58</v>
      </c>
      <c r="C38" s="43">
        <v>173684</v>
      </c>
      <c r="D38" s="7">
        <v>169023</v>
      </c>
      <c r="P38" s="9" t="s">
        <v>24</v>
      </c>
      <c r="Q38" s="17">
        <f t="shared" si="16"/>
        <v>0.10508701472556892</v>
      </c>
      <c r="R38" s="17">
        <f t="shared" si="15"/>
        <v>2.3429024034717916E-3</v>
      </c>
      <c r="S38" s="17">
        <f t="shared" si="15"/>
        <v>-0.27306714123498432</v>
      </c>
      <c r="T38" s="17">
        <f t="shared" si="15"/>
        <v>0.40787057759589307</v>
      </c>
      <c r="U38" s="17"/>
      <c r="V38" s="17"/>
      <c r="W38" s="17"/>
    </row>
    <row r="39" spans="2:27" x14ac:dyDescent="0.55000000000000004">
      <c r="B39" s="21" t="s">
        <v>73</v>
      </c>
      <c r="C39" s="39">
        <v>182325</v>
      </c>
      <c r="P39" s="9" t="s">
        <v>26</v>
      </c>
      <c r="Q39" s="17">
        <f t="shared" si="16"/>
        <v>2.6933383510358677E-2</v>
      </c>
      <c r="R39" s="17">
        <f t="shared" si="15"/>
        <v>-1.7804791750909876E-2</v>
      </c>
      <c r="S39" s="17">
        <f t="shared" si="15"/>
        <v>8.1631865374967028E-3</v>
      </c>
      <c r="T39" s="17">
        <f t="shared" si="15"/>
        <v>9.1097031067552292E-2</v>
      </c>
      <c r="U39" s="17"/>
      <c r="V39" s="17"/>
      <c r="W39" s="17"/>
    </row>
    <row r="40" spans="2:27" x14ac:dyDescent="0.55000000000000004">
      <c r="B40" s="21" t="s">
        <v>151</v>
      </c>
      <c r="C40" s="39">
        <v>169163</v>
      </c>
      <c r="P40" s="9" t="s">
        <v>28</v>
      </c>
      <c r="Q40" s="17">
        <f t="shared" si="16"/>
        <v>7.9356725146197959E-3</v>
      </c>
      <c r="R40" s="17">
        <f t="shared" si="15"/>
        <v>9.6561207261671944E-2</v>
      </c>
      <c r="S40" s="17">
        <f t="shared" si="15"/>
        <v>-0.1428571428571429</v>
      </c>
      <c r="T40" s="17">
        <f t="shared" si="15"/>
        <v>0.12962962962962954</v>
      </c>
      <c r="U40" s="17"/>
      <c r="V40" s="17"/>
      <c r="W40" s="17"/>
    </row>
    <row r="41" spans="2:27" x14ac:dyDescent="0.55000000000000004">
      <c r="B41" s="21" t="s">
        <v>160</v>
      </c>
      <c r="C41" s="39">
        <v>124277</v>
      </c>
      <c r="P41" s="9" t="s">
        <v>30</v>
      </c>
      <c r="Q41" s="17">
        <f t="shared" si="16"/>
        <v>-7.1038251366120186E-2</v>
      </c>
      <c r="R41" s="17">
        <f t="shared" si="15"/>
        <v>-5.5352941176470827E-3</v>
      </c>
      <c r="S41" s="17">
        <f t="shared" si="15"/>
        <v>-0.23210831721470015</v>
      </c>
      <c r="T41" s="17">
        <f t="shared" si="15"/>
        <v>0.33789352868224221</v>
      </c>
      <c r="U41" s="17"/>
      <c r="V41" s="17"/>
      <c r="W41" s="17"/>
    </row>
    <row r="42" spans="2:27" x14ac:dyDescent="0.55000000000000004">
      <c r="B42" s="21" t="s">
        <v>162</v>
      </c>
      <c r="C42" s="39">
        <v>112341</v>
      </c>
      <c r="P42" s="9" t="s">
        <v>74</v>
      </c>
      <c r="Q42" s="17">
        <f t="shared" si="16"/>
        <v>4.9751272425784698E-2</v>
      </c>
      <c r="R42" s="17">
        <f t="shared" si="15"/>
        <v>-7.2189771013300374E-2</v>
      </c>
      <c r="S42" s="17">
        <f t="shared" si="15"/>
        <v>-0.26534171184005961</v>
      </c>
      <c r="T42" s="17">
        <f t="shared" si="15"/>
        <v>-9.6043515694778647E-2</v>
      </c>
      <c r="U42" s="17"/>
      <c r="V42" s="17"/>
      <c r="W42" s="17"/>
    </row>
    <row r="43" spans="2:27" x14ac:dyDescent="0.55000000000000004">
      <c r="B43" s="21" t="s">
        <v>187</v>
      </c>
      <c r="C43" s="39">
        <v>165558</v>
      </c>
      <c r="P43" s="28" t="s">
        <v>165</v>
      </c>
      <c r="Q43" s="17">
        <f t="shared" si="16"/>
        <v>0.47370950944000856</v>
      </c>
      <c r="R43" s="17">
        <f t="shared" si="15"/>
        <v>2.2076855241063509E-2</v>
      </c>
      <c r="S43" s="17">
        <f t="shared" si="15"/>
        <v>-9.2741101452016084E-2</v>
      </c>
      <c r="T43" s="17">
        <f t="shared" si="15"/>
        <v>2.5442939030745126E-2</v>
      </c>
    </row>
    <row r="44" spans="2:27" x14ac:dyDescent="0.55000000000000004">
      <c r="B44" s="21" t="s">
        <v>209</v>
      </c>
      <c r="C44" s="39">
        <v>169213</v>
      </c>
    </row>
    <row r="45" spans="2:27" x14ac:dyDescent="0.55000000000000004">
      <c r="B45" s="21" t="s">
        <v>210</v>
      </c>
      <c r="C45" s="39">
        <v>153520</v>
      </c>
    </row>
    <row r="46" spans="2:27" x14ac:dyDescent="0.55000000000000004">
      <c r="B46" s="21" t="s">
        <v>211</v>
      </c>
      <c r="C46" s="39">
        <v>157426</v>
      </c>
    </row>
    <row r="47" spans="2:27" ht="213" customHeight="1" x14ac:dyDescent="0.55000000000000004"/>
    <row r="49" spans="2:25" x14ac:dyDescent="0.55000000000000004">
      <c r="C49" s="7">
        <v>169321</v>
      </c>
    </row>
    <row r="50" spans="2:25" x14ac:dyDescent="0.55000000000000004">
      <c r="C50" s="7">
        <v>205616</v>
      </c>
      <c r="L50" s="7">
        <v>380031</v>
      </c>
    </row>
    <row r="51" spans="2:25" x14ac:dyDescent="0.55000000000000004">
      <c r="C51" s="7">
        <v>180911</v>
      </c>
      <c r="L51" s="12">
        <f>L50-C35</f>
        <v>210031</v>
      </c>
      <c r="X51" s="12">
        <f>SUM(Q13:R13)</f>
        <v>361357</v>
      </c>
    </row>
    <row r="52" spans="2:25" x14ac:dyDescent="0.55000000000000004">
      <c r="C52" s="7">
        <v>201505</v>
      </c>
      <c r="L52" s="12">
        <f>L51-41019</f>
        <v>169012</v>
      </c>
      <c r="S52" s="7" t="s">
        <v>316</v>
      </c>
      <c r="T52" s="7">
        <v>60263</v>
      </c>
      <c r="X52" s="12">
        <f>SUM(Q14:R14)</f>
        <v>339059</v>
      </c>
      <c r="Y52" s="44">
        <f>X52/X51-1</f>
        <v>-6.1706290455145418E-2</v>
      </c>
    </row>
    <row r="53" spans="2:25" x14ac:dyDescent="0.55000000000000004">
      <c r="C53" s="7">
        <v>174677</v>
      </c>
      <c r="S53" s="7" t="s">
        <v>317</v>
      </c>
      <c r="T53" s="7">
        <v>47646</v>
      </c>
    </row>
    <row r="54" spans="2:25" x14ac:dyDescent="0.55000000000000004">
      <c r="C54" s="7">
        <v>182283</v>
      </c>
      <c r="S54" s="7" t="s">
        <v>318</v>
      </c>
      <c r="T54" s="7">
        <v>49517</v>
      </c>
    </row>
    <row r="55" spans="2:25" x14ac:dyDescent="0.55000000000000004">
      <c r="C55" s="7">
        <v>144915</v>
      </c>
      <c r="T55" s="7">
        <f>SUM(T52:T54)</f>
        <v>157426</v>
      </c>
    </row>
    <row r="56" spans="2:25" x14ac:dyDescent="0.55000000000000004">
      <c r="C56" s="7">
        <v>169023</v>
      </c>
    </row>
    <row r="58" spans="2:25" x14ac:dyDescent="0.55000000000000004">
      <c r="B58" s="29"/>
      <c r="C58" s="29"/>
      <c r="D58" s="52"/>
      <c r="E58" s="29"/>
      <c r="F58" s="29"/>
    </row>
    <row r="59" spans="2:25" x14ac:dyDescent="0.55000000000000004">
      <c r="B59" s="52" t="s">
        <v>72</v>
      </c>
      <c r="C59" s="49" t="s">
        <v>67</v>
      </c>
      <c r="D59" s="49" t="s">
        <v>68</v>
      </c>
      <c r="E59" s="49" t="s">
        <v>69</v>
      </c>
      <c r="F59" s="29"/>
    </row>
    <row r="60" spans="2:25" x14ac:dyDescent="0.55000000000000004">
      <c r="B60" s="21" t="s">
        <v>50</v>
      </c>
      <c r="C60" s="39">
        <v>172605</v>
      </c>
      <c r="D60" s="29">
        <v>169321</v>
      </c>
      <c r="E60" s="38">
        <f>C60-D60</f>
        <v>3284</v>
      </c>
      <c r="F60" s="29"/>
    </row>
    <row r="61" spans="2:25" x14ac:dyDescent="0.55000000000000004">
      <c r="B61" s="21" t="s">
        <v>51</v>
      </c>
      <c r="C61" s="39">
        <v>193588</v>
      </c>
      <c r="D61" s="29">
        <v>205616</v>
      </c>
      <c r="E61" s="38">
        <f t="shared" ref="E61:E67" si="17">C61-D61</f>
        <v>-12028</v>
      </c>
      <c r="F61" s="29"/>
    </row>
    <row r="62" spans="2:25" x14ac:dyDescent="0.55000000000000004">
      <c r="B62" s="21" t="s">
        <v>53</v>
      </c>
      <c r="C62" s="39">
        <v>174511</v>
      </c>
      <c r="D62" s="29">
        <v>180911</v>
      </c>
      <c r="E62" s="38">
        <f t="shared" si="17"/>
        <v>-6400</v>
      </c>
      <c r="F62" s="29"/>
    </row>
    <row r="63" spans="2:25" x14ac:dyDescent="0.55000000000000004">
      <c r="B63" s="22" t="s">
        <v>54</v>
      </c>
      <c r="C63" s="43">
        <v>198292</v>
      </c>
      <c r="D63" s="29">
        <v>201505</v>
      </c>
      <c r="E63" s="38">
        <f t="shared" si="17"/>
        <v>-3213</v>
      </c>
      <c r="F63" s="29"/>
    </row>
    <row r="64" spans="2:25" x14ac:dyDescent="0.55000000000000004">
      <c r="B64" s="21" t="s">
        <v>55</v>
      </c>
      <c r="C64" s="39">
        <v>180548</v>
      </c>
      <c r="D64" s="29">
        <v>174677</v>
      </c>
      <c r="E64" s="38">
        <f t="shared" si="17"/>
        <v>5871</v>
      </c>
      <c r="F64" s="29"/>
    </row>
    <row r="65" spans="2:10" x14ac:dyDescent="0.55000000000000004">
      <c r="B65" s="21" t="s">
        <v>56</v>
      </c>
      <c r="C65" s="39">
        <v>169059</v>
      </c>
      <c r="D65" s="29">
        <v>182283</v>
      </c>
      <c r="E65" s="38">
        <f t="shared" si="17"/>
        <v>-13224</v>
      </c>
      <c r="F65" s="29"/>
    </row>
    <row r="66" spans="2:10" x14ac:dyDescent="0.55000000000000004">
      <c r="B66" s="21" t="s">
        <v>57</v>
      </c>
      <c r="C66" s="39">
        <v>129819</v>
      </c>
      <c r="D66" s="29">
        <v>144915</v>
      </c>
      <c r="E66" s="38">
        <f t="shared" si="17"/>
        <v>-15096</v>
      </c>
      <c r="F66" s="29"/>
    </row>
    <row r="67" spans="2:10" x14ac:dyDescent="0.55000000000000004">
      <c r="B67" s="21" t="s">
        <v>58</v>
      </c>
      <c r="C67" s="39">
        <v>173684</v>
      </c>
      <c r="D67" s="29">
        <v>169023</v>
      </c>
      <c r="E67" s="38">
        <f t="shared" si="17"/>
        <v>4661</v>
      </c>
      <c r="F67" s="29"/>
    </row>
    <row r="68" spans="2:10" x14ac:dyDescent="0.55000000000000004">
      <c r="D68" s="7">
        <v>180316</v>
      </c>
    </row>
    <row r="70" spans="2:10" x14ac:dyDescent="0.55000000000000004">
      <c r="D70" s="50" t="s">
        <v>70</v>
      </c>
      <c r="E70" s="51">
        <f>AVERAGE(E60:E67)</f>
        <v>-4518.125</v>
      </c>
    </row>
    <row r="72" spans="2:10" x14ac:dyDescent="0.55000000000000004">
      <c r="D72" s="50" t="s">
        <v>71</v>
      </c>
      <c r="E72" s="51">
        <f>E70/4</f>
        <v>-1129.53125</v>
      </c>
    </row>
    <row r="78" spans="2:10" x14ac:dyDescent="0.55000000000000004">
      <c r="I78" s="49" t="s">
        <v>68</v>
      </c>
      <c r="J78" s="49" t="s">
        <v>67</v>
      </c>
    </row>
    <row r="79" spans="2:10" x14ac:dyDescent="0.55000000000000004">
      <c r="H79" s="21" t="s">
        <v>50</v>
      </c>
      <c r="I79" s="29">
        <v>169321</v>
      </c>
      <c r="J79" s="39">
        <v>172605</v>
      </c>
    </row>
    <row r="80" spans="2:10" x14ac:dyDescent="0.55000000000000004">
      <c r="H80" s="21" t="s">
        <v>51</v>
      </c>
      <c r="I80" s="29">
        <v>205616</v>
      </c>
      <c r="J80" s="39">
        <v>193588</v>
      </c>
    </row>
    <row r="81" spans="3:10" x14ac:dyDescent="0.55000000000000004">
      <c r="H81" s="21" t="s">
        <v>53</v>
      </c>
      <c r="I81" s="29">
        <v>180911</v>
      </c>
      <c r="J81" s="39">
        <v>174511</v>
      </c>
    </row>
    <row r="82" spans="3:10" x14ac:dyDescent="0.55000000000000004">
      <c r="H82" s="22" t="s">
        <v>54</v>
      </c>
      <c r="I82" s="29">
        <v>201505</v>
      </c>
      <c r="J82" s="43">
        <v>198292</v>
      </c>
    </row>
    <row r="83" spans="3:10" x14ac:dyDescent="0.55000000000000004">
      <c r="H83" s="21" t="s">
        <v>55</v>
      </c>
      <c r="I83" s="29">
        <v>174677</v>
      </c>
      <c r="J83" s="39">
        <v>180548</v>
      </c>
    </row>
    <row r="84" spans="3:10" x14ac:dyDescent="0.55000000000000004">
      <c r="C84" s="23" t="s">
        <v>7</v>
      </c>
      <c r="D84" s="23" t="s">
        <v>8</v>
      </c>
      <c r="H84" s="21" t="s">
        <v>56</v>
      </c>
      <c r="I84" s="29">
        <v>182283</v>
      </c>
      <c r="J84" s="39">
        <v>169059</v>
      </c>
    </row>
    <row r="85" spans="3:10" x14ac:dyDescent="0.55000000000000004">
      <c r="C85" s="21" t="s">
        <v>15</v>
      </c>
      <c r="D85" s="37">
        <v>127000</v>
      </c>
      <c r="H85" s="21" t="s">
        <v>57</v>
      </c>
      <c r="I85" s="29">
        <v>144915</v>
      </c>
      <c r="J85" s="39">
        <v>129819</v>
      </c>
    </row>
    <row r="86" spans="3:10" x14ac:dyDescent="0.55000000000000004">
      <c r="C86" s="21" t="s">
        <v>17</v>
      </c>
      <c r="D86" s="40">
        <v>127000</v>
      </c>
      <c r="H86" s="21" t="s">
        <v>58</v>
      </c>
      <c r="I86" s="29">
        <v>169023</v>
      </c>
      <c r="J86" s="39">
        <v>173684</v>
      </c>
    </row>
    <row r="87" spans="3:10" x14ac:dyDescent="0.55000000000000004">
      <c r="C87" s="21" t="s">
        <v>19</v>
      </c>
      <c r="D87" s="40">
        <v>127000</v>
      </c>
      <c r="I87" s="29">
        <v>180316</v>
      </c>
      <c r="J87" s="7">
        <f>(I87*0.9792)-801</f>
        <v>175764.42720000001</v>
      </c>
    </row>
    <row r="88" spans="3:10" x14ac:dyDescent="0.55000000000000004">
      <c r="C88" s="22" t="s">
        <v>21</v>
      </c>
      <c r="D88" s="43">
        <v>128000</v>
      </c>
    </row>
    <row r="89" spans="3:10" x14ac:dyDescent="0.55000000000000004">
      <c r="C89" s="21" t="s">
        <v>23</v>
      </c>
      <c r="D89" s="39">
        <v>124000</v>
      </c>
    </row>
    <row r="90" spans="3:10" x14ac:dyDescent="0.55000000000000004">
      <c r="C90" s="21" t="s">
        <v>25</v>
      </c>
      <c r="D90" s="39">
        <v>130000</v>
      </c>
    </row>
    <row r="91" spans="3:10" x14ac:dyDescent="0.55000000000000004">
      <c r="C91" s="21" t="s">
        <v>27</v>
      </c>
      <c r="D91" s="39">
        <v>125000</v>
      </c>
    </row>
    <row r="92" spans="3:10" x14ac:dyDescent="0.55000000000000004">
      <c r="C92" s="22" t="s">
        <v>29</v>
      </c>
      <c r="D92" s="43">
        <v>126347</v>
      </c>
    </row>
    <row r="93" spans="3:10" x14ac:dyDescent="0.55000000000000004">
      <c r="C93" s="21" t="s">
        <v>31</v>
      </c>
      <c r="D93" s="39">
        <v>135510</v>
      </c>
    </row>
    <row r="94" spans="3:10" x14ac:dyDescent="0.55000000000000004">
      <c r="C94" s="21" t="s">
        <v>32</v>
      </c>
      <c r="D94" s="39">
        <v>133000</v>
      </c>
    </row>
    <row r="95" spans="3:10" x14ac:dyDescent="0.55000000000000004">
      <c r="C95" s="21" t="s">
        <v>33</v>
      </c>
      <c r="D95" s="39">
        <v>139000</v>
      </c>
    </row>
    <row r="96" spans="3:10" x14ac:dyDescent="0.55000000000000004">
      <c r="C96" s="22" t="s">
        <v>34</v>
      </c>
      <c r="D96" s="43">
        <v>140473</v>
      </c>
    </row>
    <row r="97" spans="3:4" x14ac:dyDescent="0.55000000000000004">
      <c r="C97" s="21" t="s">
        <v>37</v>
      </c>
      <c r="D97" s="39">
        <v>144314</v>
      </c>
    </row>
    <row r="98" spans="3:4" x14ac:dyDescent="0.55000000000000004">
      <c r="C98" s="21" t="s">
        <v>38</v>
      </c>
      <c r="D98" s="39">
        <v>139821</v>
      </c>
    </row>
    <row r="99" spans="3:4" x14ac:dyDescent="0.55000000000000004">
      <c r="C99" s="21" t="s">
        <v>39</v>
      </c>
      <c r="D99" s="39">
        <v>139559</v>
      </c>
    </row>
    <row r="100" spans="3:4" x14ac:dyDescent="0.55000000000000004">
      <c r="C100" s="22" t="s">
        <v>40</v>
      </c>
      <c r="D100" s="43">
        <v>135954</v>
      </c>
    </row>
    <row r="101" spans="3:4" x14ac:dyDescent="0.55000000000000004">
      <c r="C101" s="21" t="s">
        <v>41</v>
      </c>
      <c r="D101" s="39">
        <v>150241</v>
      </c>
    </row>
    <row r="102" spans="3:4" x14ac:dyDescent="0.55000000000000004">
      <c r="C102" s="21" t="s">
        <v>43</v>
      </c>
      <c r="D102" s="39">
        <v>150593</v>
      </c>
    </row>
    <row r="103" spans="3:4" x14ac:dyDescent="0.55000000000000004">
      <c r="C103" s="21" t="s">
        <v>44</v>
      </c>
      <c r="D103" s="39">
        <v>109471</v>
      </c>
    </row>
    <row r="104" spans="3:4" x14ac:dyDescent="0.55000000000000004">
      <c r="C104" s="22" t="s">
        <v>45</v>
      </c>
      <c r="D104" s="43">
        <v>154121</v>
      </c>
    </row>
    <row r="105" spans="3:4" x14ac:dyDescent="0.55000000000000004">
      <c r="C105" s="21" t="s">
        <v>46</v>
      </c>
      <c r="D105" s="39">
        <v>158272</v>
      </c>
    </row>
    <row r="106" spans="3:4" x14ac:dyDescent="0.55000000000000004">
      <c r="C106" s="21" t="s">
        <v>47</v>
      </c>
      <c r="D106" s="39">
        <v>155454</v>
      </c>
    </row>
    <row r="107" spans="3:4" x14ac:dyDescent="0.55000000000000004">
      <c r="C107" s="21" t="s">
        <v>48</v>
      </c>
      <c r="D107" s="39">
        <v>156723</v>
      </c>
    </row>
    <row r="108" spans="3:4" x14ac:dyDescent="0.55000000000000004">
      <c r="C108" s="22" t="s">
        <v>49</v>
      </c>
      <c r="D108" s="43">
        <v>171540</v>
      </c>
    </row>
    <row r="109" spans="3:4" x14ac:dyDescent="0.55000000000000004">
      <c r="C109" s="21" t="s">
        <v>50</v>
      </c>
      <c r="D109" s="39">
        <v>172605</v>
      </c>
    </row>
    <row r="110" spans="3:4" x14ac:dyDescent="0.55000000000000004">
      <c r="C110" s="21" t="s">
        <v>51</v>
      </c>
      <c r="D110" s="39">
        <v>183848</v>
      </c>
    </row>
    <row r="111" spans="3:4" x14ac:dyDescent="0.55000000000000004">
      <c r="C111" s="21" t="s">
        <v>53</v>
      </c>
      <c r="D111" s="39">
        <v>174075</v>
      </c>
    </row>
    <row r="112" spans="3:4" x14ac:dyDescent="0.55000000000000004">
      <c r="C112" s="22" t="s">
        <v>54</v>
      </c>
      <c r="D112" s="43">
        <v>181219</v>
      </c>
    </row>
    <row r="113" spans="3:4" x14ac:dyDescent="0.55000000000000004">
      <c r="C113" s="21" t="s">
        <v>55</v>
      </c>
      <c r="D113" s="39">
        <v>169953</v>
      </c>
    </row>
    <row r="114" spans="3:4" x14ac:dyDescent="0.55000000000000004">
      <c r="C114" s="21" t="s">
        <v>56</v>
      </c>
      <c r="D114" s="39">
        <v>168380</v>
      </c>
    </row>
    <row r="115" spans="3:4" x14ac:dyDescent="0.55000000000000004">
      <c r="C115" s="21" t="s">
        <v>57</v>
      </c>
      <c r="D115" s="7">
        <v>127000</v>
      </c>
    </row>
    <row r="116" spans="3:4" x14ac:dyDescent="0.55000000000000004">
      <c r="C116" s="21" t="s">
        <v>58</v>
      </c>
    </row>
  </sheetData>
  <mergeCells count="4">
    <mergeCell ref="A1:AG1"/>
    <mergeCell ref="P18:T18"/>
    <mergeCell ref="Y18:Z18"/>
    <mergeCell ref="P32:T32"/>
  </mergeCells>
  <conditionalFormatting sqref="Q21:W28 Q29:T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{D683C3F3-D95A-4DB7-BF44-01972F07668C}</x14:id>
        </ext>
      </extLst>
    </cfRule>
  </conditionalFormatting>
  <conditionalFormatting sqref="Q34:W42 Q43:T4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{DA9C0AC5-D8EB-463F-AAF5-5D4C0D71027C}</x14:id>
        </ext>
      </extLst>
    </cfRule>
  </conditionalFormatting>
  <conditionalFormatting sqref="U7:U1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{0E908C58-06E0-4F27-BC61-144AB971FF3A}</x14:id>
        </ext>
      </extLst>
    </cfRule>
  </conditionalFormatting>
  <conditionalFormatting sqref="W7:W15 Q7:T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{C8EA2DD7-BB9F-4B0C-9D77-23419E730D5A}</x14:id>
        </ext>
      </extLst>
    </cfRule>
  </conditionalFormatting>
  <dataValidations count="1">
    <dataValidation type="list" allowBlank="1" showInputMessage="1" showErrorMessage="1" sqref="AA18" xr:uid="{40785412-5BF3-4FC9-B43E-14C0676BF0E0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83C3F3-D95A-4DB7-BF44-01972F0766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Q21:W28 Q29:T29</xm:sqref>
        </x14:conditionalFormatting>
        <x14:conditionalFormatting xmlns:xm="http://schemas.microsoft.com/office/excel/2006/main">
          <x14:cfRule type="dataBar" id="{DA9C0AC5-D8EB-463F-AAF5-5D4C0D710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Q34:W42 Q43:T43</xm:sqref>
        </x14:conditionalFormatting>
        <x14:conditionalFormatting xmlns:xm="http://schemas.microsoft.com/office/excel/2006/main">
          <x14:cfRule type="dataBar" id="{0E908C58-06E0-4F27-BC61-144AB971F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V8:V16</xm:sqref>
        </x14:conditionalFormatting>
        <x14:conditionalFormatting xmlns:xm="http://schemas.microsoft.com/office/excel/2006/main">
          <x14:cfRule type="dataBar" id="{C8EA2DD7-BB9F-4B0C-9D77-23419E730D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5C5A-D984-45A2-A6E5-D8E0C1764436}">
  <sheetPr codeName="Sheet9"/>
  <dimension ref="A1:AH46"/>
  <sheetViews>
    <sheetView showGridLines="0" zoomScale="55" zoomScaleNormal="55" workbookViewId="0">
      <selection activeCell="P52" sqref="P52"/>
    </sheetView>
  </sheetViews>
  <sheetFormatPr defaultColWidth="9.15625" defaultRowHeight="14.4" x14ac:dyDescent="0.55000000000000004"/>
  <cols>
    <col min="1" max="1" width="9.15625" style="7"/>
    <col min="2" max="2" width="10.41796875" style="7" bestFit="1" customWidth="1"/>
    <col min="3" max="3" width="7.41796875" style="7" bestFit="1" customWidth="1"/>
    <col min="4" max="4" width="6" style="7" customWidth="1"/>
    <col min="5" max="5" width="9.15625" style="7"/>
    <col min="6" max="6" width="6.41796875" style="7" customWidth="1"/>
    <col min="7" max="14" width="9.15625" style="7"/>
    <col min="15" max="15" width="4.578125" style="7" customWidth="1"/>
    <col min="16" max="16" width="9.15625" style="7"/>
    <col min="17" max="23" width="9.15625" style="7" customWidth="1"/>
    <col min="24" max="24" width="11.26171875" style="7" customWidth="1"/>
    <col min="25" max="25" width="9.15625" style="7"/>
    <col min="26" max="26" width="13.578125" style="7" customWidth="1"/>
    <col min="27" max="27" width="11.578125" style="7" bestFit="1" customWidth="1"/>
    <col min="28" max="16384" width="9.15625" style="7"/>
  </cols>
  <sheetData>
    <row r="1" spans="1:34" s="5" customFormat="1" ht="55.5" customHeight="1" x14ac:dyDescent="0.55000000000000004">
      <c r="A1" s="148" t="s">
        <v>148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4" s="6" customFormat="1" ht="5.25" customHeight="1" x14ac:dyDescent="0.6"/>
    <row r="3" spans="1:34" x14ac:dyDescent="0.55000000000000004">
      <c r="Y3" s="20">
        <f>COUNT(Q16:T16)</f>
        <v>3</v>
      </c>
      <c r="Z3" s="19" t="str">
        <f ca="1">OFFSET(P6,0,$Y$3,1,1)</f>
        <v>Q3</v>
      </c>
    </row>
    <row r="4" spans="1:34" x14ac:dyDescent="0.55000000000000004">
      <c r="C4" s="72">
        <f>Menu!H26</f>
        <v>8.6147699606716976E-2</v>
      </c>
      <c r="Y4" s="20"/>
      <c r="Z4" s="19"/>
    </row>
    <row r="5" spans="1:34" ht="14.7" thickBot="1" x14ac:dyDescent="0.6">
      <c r="Q5" s="7">
        <v>1</v>
      </c>
      <c r="R5" s="7">
        <v>2</v>
      </c>
      <c r="S5" s="7">
        <v>3</v>
      </c>
      <c r="T5" s="7">
        <v>4</v>
      </c>
    </row>
    <row r="6" spans="1:34" ht="15.6" x14ac:dyDescent="0.6">
      <c r="B6" s="23" t="s">
        <v>7</v>
      </c>
      <c r="C6" s="23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W6" s="24"/>
      <c r="Y6" s="16" t="s">
        <v>42</v>
      </c>
      <c r="Z6" s="16" t="str">
        <f ca="1">_xlfn.CONCAT("YTD (Q1 to ",Z3,")")</f>
        <v>YTD (Q1 to Q3)</v>
      </c>
      <c r="AA6" s="16" t="s">
        <v>14</v>
      </c>
      <c r="AE6" s="15" t="s">
        <v>9</v>
      </c>
      <c r="AF6" s="15" t="s">
        <v>10</v>
      </c>
      <c r="AG6" s="15" t="s">
        <v>11</v>
      </c>
      <c r="AH6" s="15" t="s">
        <v>12</v>
      </c>
    </row>
    <row r="7" spans="1:34" x14ac:dyDescent="0.55000000000000004">
      <c r="B7" s="21" t="s">
        <v>15</v>
      </c>
      <c r="C7" s="37">
        <v>58246</v>
      </c>
      <c r="P7" s="28" t="s">
        <v>16</v>
      </c>
      <c r="Q7" s="12">
        <f>C7</f>
        <v>58246</v>
      </c>
      <c r="R7" s="12">
        <f>C8</f>
        <v>58246</v>
      </c>
      <c r="S7" s="12">
        <f>C9</f>
        <v>55041</v>
      </c>
      <c r="T7" s="12">
        <f>C10</f>
        <v>54565</v>
      </c>
      <c r="U7" s="95">
        <f>SUM(Q7:T7)</f>
        <v>226098</v>
      </c>
      <c r="V7" s="96"/>
      <c r="W7" s="12"/>
      <c r="Y7" s="28" t="s">
        <v>16</v>
      </c>
      <c r="Z7" s="8">
        <f ca="1">SUM(OFFSET(Q7,0,0,1,$Y$3))</f>
        <v>171533</v>
      </c>
      <c r="AD7" s="9">
        <v>2017</v>
      </c>
      <c r="AE7" s="12">
        <f>Q7</f>
        <v>58246</v>
      </c>
      <c r="AF7" s="12">
        <f>AE7+R7</f>
        <v>116492</v>
      </c>
      <c r="AG7" s="12">
        <f>AF7+S7</f>
        <v>171533</v>
      </c>
      <c r="AH7" s="12">
        <f>AG7+T7</f>
        <v>226098</v>
      </c>
    </row>
    <row r="8" spans="1:34" x14ac:dyDescent="0.55000000000000004">
      <c r="B8" s="21" t="s">
        <v>17</v>
      </c>
      <c r="C8" s="40">
        <v>58246</v>
      </c>
      <c r="P8" s="28" t="s">
        <v>18</v>
      </c>
      <c r="Q8" s="12">
        <f>C11</f>
        <v>60265</v>
      </c>
      <c r="R8" s="12">
        <f>C12</f>
        <v>58305</v>
      </c>
      <c r="S8" s="12">
        <f>C13</f>
        <v>51726</v>
      </c>
      <c r="T8" s="12">
        <f>C14</f>
        <v>60155</v>
      </c>
      <c r="U8" s="95">
        <f t="shared" ref="U8:U15" si="0">SUM(Q8:T8)</f>
        <v>230451</v>
      </c>
      <c r="V8" s="97">
        <f>U8/U7-1</f>
        <v>1.9252713425151891E-2</v>
      </c>
      <c r="W8" s="12"/>
      <c r="Y8" s="28" t="s">
        <v>18</v>
      </c>
      <c r="Z8" s="8">
        <f t="shared" ref="Z8:Z14" ca="1" si="1">SUM(OFFSET(Q8,0,0,1,$Y$3))</f>
        <v>170296</v>
      </c>
      <c r="AA8" s="14">
        <f ca="1">Z8/Z7-1</f>
        <v>-7.2114403642448144E-3</v>
      </c>
      <c r="AD8" s="9">
        <v>2018</v>
      </c>
      <c r="AE8" s="12">
        <f t="shared" ref="AE8:AE14" si="2">Q8</f>
        <v>60265</v>
      </c>
      <c r="AF8" s="12">
        <f t="shared" ref="AF8:AF13" si="3">AE8+R8</f>
        <v>118570</v>
      </c>
      <c r="AG8" s="12">
        <f t="shared" ref="AG8:AH13" si="4">AF8+S8</f>
        <v>170296</v>
      </c>
      <c r="AH8" s="12">
        <f t="shared" si="4"/>
        <v>230451</v>
      </c>
    </row>
    <row r="9" spans="1:34" x14ac:dyDescent="0.55000000000000004">
      <c r="B9" s="21" t="s">
        <v>19</v>
      </c>
      <c r="C9" s="40">
        <v>55041</v>
      </c>
      <c r="P9" s="28" t="s">
        <v>20</v>
      </c>
      <c r="Q9" s="12">
        <f>C15</f>
        <v>60587</v>
      </c>
      <c r="R9" s="12">
        <f>C16</f>
        <v>56465</v>
      </c>
      <c r="S9" s="12">
        <f>C17</f>
        <v>59308</v>
      </c>
      <c r="T9" s="12">
        <f>C18</f>
        <v>58792</v>
      </c>
      <c r="U9" s="95">
        <f t="shared" si="0"/>
        <v>235152</v>
      </c>
      <c r="V9" s="97">
        <f t="shared" ref="V9:V15" si="5">U9/U8-1</f>
        <v>2.039913040082264E-2</v>
      </c>
      <c r="W9" s="12"/>
      <c r="Y9" s="28" t="s">
        <v>20</v>
      </c>
      <c r="Z9" s="8">
        <f t="shared" ca="1" si="1"/>
        <v>176360</v>
      </c>
      <c r="AA9" s="14">
        <f t="shared" ref="AA9:AA14" ca="1" si="6">Z9/Z8-1</f>
        <v>3.5608587400761005E-2</v>
      </c>
      <c r="AD9" s="9">
        <v>2019</v>
      </c>
      <c r="AE9" s="12">
        <f t="shared" si="2"/>
        <v>60587</v>
      </c>
      <c r="AF9" s="12">
        <f t="shared" si="3"/>
        <v>117052</v>
      </c>
      <c r="AG9" s="12">
        <f t="shared" si="4"/>
        <v>176360</v>
      </c>
      <c r="AH9" s="12">
        <f t="shared" si="4"/>
        <v>235152</v>
      </c>
    </row>
    <row r="10" spans="1:34" x14ac:dyDescent="0.55000000000000004">
      <c r="B10" s="22" t="s">
        <v>21</v>
      </c>
      <c r="C10" s="43">
        <v>54565</v>
      </c>
      <c r="P10" s="28" t="s">
        <v>22</v>
      </c>
      <c r="Q10" s="12">
        <f>C19</f>
        <v>57494</v>
      </c>
      <c r="R10" s="12">
        <f>C20</f>
        <v>60163</v>
      </c>
      <c r="S10" s="12">
        <f>C21</f>
        <v>45484</v>
      </c>
      <c r="T10" s="12">
        <f>C22</f>
        <v>58294</v>
      </c>
      <c r="U10" s="95">
        <f t="shared" si="0"/>
        <v>221435</v>
      </c>
      <c r="V10" s="97">
        <f t="shared" si="5"/>
        <v>-5.8332482819622999E-2</v>
      </c>
      <c r="W10" s="12"/>
      <c r="Y10" s="28" t="s">
        <v>22</v>
      </c>
      <c r="Z10" s="8">
        <f t="shared" ca="1" si="1"/>
        <v>163141</v>
      </c>
      <c r="AA10" s="14">
        <f t="shared" ca="1" si="6"/>
        <v>-7.4954638239963733E-2</v>
      </c>
      <c r="AD10" s="9">
        <v>2020</v>
      </c>
      <c r="AE10" s="12">
        <f t="shared" si="2"/>
        <v>57494</v>
      </c>
      <c r="AF10" s="12">
        <f t="shared" si="3"/>
        <v>117657</v>
      </c>
      <c r="AG10" s="12">
        <f t="shared" si="4"/>
        <v>163141</v>
      </c>
      <c r="AH10" s="12">
        <f t="shared" si="4"/>
        <v>221435</v>
      </c>
    </row>
    <row r="11" spans="1:34" x14ac:dyDescent="0.55000000000000004">
      <c r="B11" s="21" t="s">
        <v>23</v>
      </c>
      <c r="C11" s="39">
        <v>60265</v>
      </c>
      <c r="P11" s="28" t="s">
        <v>24</v>
      </c>
      <c r="Q11" s="12">
        <f>C23</f>
        <v>60590</v>
      </c>
      <c r="R11" s="12">
        <f>C24</f>
        <v>59912</v>
      </c>
      <c r="S11" s="12">
        <f>C25</f>
        <v>54599</v>
      </c>
      <c r="T11" s="12">
        <f>C26</f>
        <v>56096</v>
      </c>
      <c r="U11" s="95">
        <f t="shared" si="0"/>
        <v>231197</v>
      </c>
      <c r="V11" s="97">
        <f t="shared" si="5"/>
        <v>4.4085171720821048E-2</v>
      </c>
      <c r="W11" s="12"/>
      <c r="Y11" s="28" t="s">
        <v>24</v>
      </c>
      <c r="Z11" s="8">
        <f t="shared" ca="1" si="1"/>
        <v>175101</v>
      </c>
      <c r="AA11" s="14">
        <f t="shared" ca="1" si="6"/>
        <v>7.3310817023311214E-2</v>
      </c>
      <c r="AD11" s="9">
        <v>2021</v>
      </c>
      <c r="AE11" s="12">
        <f t="shared" si="2"/>
        <v>60590</v>
      </c>
      <c r="AF11" s="12">
        <f t="shared" si="3"/>
        <v>120502</v>
      </c>
      <c r="AG11" s="12">
        <f t="shared" si="4"/>
        <v>175101</v>
      </c>
      <c r="AH11" s="12">
        <f t="shared" si="4"/>
        <v>231197</v>
      </c>
    </row>
    <row r="12" spans="1:34" x14ac:dyDescent="0.55000000000000004">
      <c r="B12" s="21" t="s">
        <v>25</v>
      </c>
      <c r="C12" s="39">
        <v>58305</v>
      </c>
      <c r="P12" s="28" t="s">
        <v>26</v>
      </c>
      <c r="Q12" s="12">
        <f>C27</f>
        <v>57200</v>
      </c>
      <c r="R12" s="12">
        <f>C28</f>
        <v>55439</v>
      </c>
      <c r="S12" s="12">
        <f>C29</f>
        <v>50644</v>
      </c>
      <c r="T12" s="12">
        <f>C30</f>
        <v>59091</v>
      </c>
      <c r="U12" s="95">
        <f t="shared" si="0"/>
        <v>222374</v>
      </c>
      <c r="V12" s="97">
        <f t="shared" si="5"/>
        <v>-3.8162259890915484E-2</v>
      </c>
      <c r="W12" s="12"/>
      <c r="Y12" s="28" t="s">
        <v>26</v>
      </c>
      <c r="Z12" s="8">
        <f t="shared" ca="1" si="1"/>
        <v>163283</v>
      </c>
      <c r="AA12" s="14">
        <f t="shared" ca="1" si="6"/>
        <v>-6.7492475771126381E-2</v>
      </c>
      <c r="AD12" s="9">
        <v>2022</v>
      </c>
      <c r="AE12" s="12">
        <f t="shared" si="2"/>
        <v>57200</v>
      </c>
      <c r="AF12" s="12">
        <f t="shared" si="3"/>
        <v>112639</v>
      </c>
      <c r="AG12" s="12">
        <f t="shared" si="4"/>
        <v>163283</v>
      </c>
      <c r="AH12" s="12">
        <f t="shared" si="4"/>
        <v>222374</v>
      </c>
    </row>
    <row r="13" spans="1:34" x14ac:dyDescent="0.55000000000000004">
      <c r="B13" s="21" t="s">
        <v>27</v>
      </c>
      <c r="C13" s="39">
        <v>51726</v>
      </c>
      <c r="P13" s="28" t="s">
        <v>28</v>
      </c>
      <c r="Q13" s="12">
        <f>IF(C31=0,"",C31)</f>
        <v>60659</v>
      </c>
      <c r="R13" s="12">
        <f>IF(C32=0,"",C32)</f>
        <v>64016</v>
      </c>
      <c r="S13" s="12">
        <f>IF(C33=0,"",C33)</f>
        <v>62426</v>
      </c>
      <c r="T13" s="12">
        <f>IF(C34=0,NA(),C34)</f>
        <v>64024</v>
      </c>
      <c r="U13" s="95">
        <f t="shared" si="0"/>
        <v>251125</v>
      </c>
      <c r="V13" s="97">
        <f t="shared" si="5"/>
        <v>0.12929119411441992</v>
      </c>
      <c r="W13" s="12"/>
      <c r="Y13" s="28" t="s">
        <v>28</v>
      </c>
      <c r="Z13" s="8">
        <f t="shared" ca="1" si="1"/>
        <v>187101</v>
      </c>
      <c r="AA13" s="14">
        <f t="shared" ca="1" si="6"/>
        <v>0.14586944139928826</v>
      </c>
      <c r="AD13" s="9">
        <v>2023</v>
      </c>
      <c r="AE13" s="12">
        <f t="shared" si="2"/>
        <v>60659</v>
      </c>
      <c r="AF13" s="12">
        <f t="shared" si="3"/>
        <v>124675</v>
      </c>
      <c r="AG13" s="12">
        <f t="shared" si="4"/>
        <v>187101</v>
      </c>
      <c r="AH13" s="12">
        <f t="shared" si="4"/>
        <v>251125</v>
      </c>
    </row>
    <row r="14" spans="1:34" x14ac:dyDescent="0.55000000000000004">
      <c r="B14" s="22" t="s">
        <v>29</v>
      </c>
      <c r="C14" s="43">
        <v>60155</v>
      </c>
      <c r="P14" s="28" t="s">
        <v>30</v>
      </c>
      <c r="Q14" s="12">
        <f>C35</f>
        <v>63025</v>
      </c>
      <c r="R14" s="12">
        <f>C36</f>
        <v>59942</v>
      </c>
      <c r="S14" s="12">
        <f>C37</f>
        <v>54435</v>
      </c>
      <c r="T14" s="12">
        <f>C38</f>
        <v>55368</v>
      </c>
      <c r="U14" s="95">
        <f t="shared" si="0"/>
        <v>232770</v>
      </c>
      <c r="V14" s="97">
        <f t="shared" si="5"/>
        <v>-7.3091090094574374E-2</v>
      </c>
      <c r="W14" s="12"/>
      <c r="Y14" s="28" t="s">
        <v>30</v>
      </c>
      <c r="Z14" s="8">
        <f t="shared" ca="1" si="1"/>
        <v>177402</v>
      </c>
      <c r="AA14" s="14">
        <f t="shared" ca="1" si="6"/>
        <v>-5.1838311927782321E-2</v>
      </c>
      <c r="AD14" s="9">
        <v>2024</v>
      </c>
      <c r="AE14" s="12">
        <f t="shared" si="2"/>
        <v>63025</v>
      </c>
      <c r="AF14" s="12"/>
      <c r="AG14" s="12"/>
      <c r="AH14" s="12"/>
    </row>
    <row r="15" spans="1:34" x14ac:dyDescent="0.55000000000000004">
      <c r="B15" s="21" t="s">
        <v>31</v>
      </c>
      <c r="C15" s="39">
        <v>60587</v>
      </c>
      <c r="P15" s="28" t="s">
        <v>74</v>
      </c>
      <c r="Q15" s="12">
        <f>C39</f>
        <v>62568</v>
      </c>
      <c r="R15" s="12">
        <f>C40</f>
        <v>54742</v>
      </c>
      <c r="S15" s="12">
        <f>C41</f>
        <v>48057</v>
      </c>
      <c r="T15" s="12">
        <f>C42</f>
        <v>48470</v>
      </c>
      <c r="U15" s="95">
        <f t="shared" si="0"/>
        <v>213837</v>
      </c>
      <c r="V15" s="97">
        <f t="shared" si="5"/>
        <v>-8.1337801263049347E-2</v>
      </c>
      <c r="W15" s="12"/>
      <c r="Y15" s="28" t="s">
        <v>74</v>
      </c>
      <c r="Z15" s="8">
        <f ca="1">SUM(OFFSET(Q15,0,0,1,$Y$3))</f>
        <v>165367</v>
      </c>
      <c r="AA15" s="14">
        <f ca="1">Z15/Z14-1</f>
        <v>-6.7840272375734201E-2</v>
      </c>
    </row>
    <row r="16" spans="1:34" ht="14.7" thickBot="1" x14ac:dyDescent="0.6">
      <c r="B16" s="21" t="s">
        <v>32</v>
      </c>
      <c r="C16" s="39">
        <v>56465</v>
      </c>
      <c r="P16" s="28" t="s">
        <v>165</v>
      </c>
      <c r="Q16" s="12">
        <f>C43</f>
        <v>54407</v>
      </c>
      <c r="R16" s="12">
        <f>C44</f>
        <v>54301</v>
      </c>
      <c r="S16" s="12">
        <f>C45</f>
        <v>52197</v>
      </c>
      <c r="T16" s="12"/>
      <c r="U16" s="98"/>
      <c r="V16" s="99"/>
      <c r="Y16" s="28" t="s">
        <v>165</v>
      </c>
      <c r="Z16" s="8">
        <f ca="1">SUM(OFFSET(Q16,0,0,1,$Y$3))</f>
        <v>160905</v>
      </c>
      <c r="AA16" s="14">
        <f ca="1">Z16/Z15-1</f>
        <v>-2.6982408824009596E-2</v>
      </c>
    </row>
    <row r="17" spans="2:29" x14ac:dyDescent="0.55000000000000004">
      <c r="B17" s="21" t="s">
        <v>33</v>
      </c>
      <c r="C17" s="39">
        <v>59308</v>
      </c>
    </row>
    <row r="18" spans="2:29" ht="15.6" x14ac:dyDescent="0.6">
      <c r="B18" s="22" t="s">
        <v>34</v>
      </c>
      <c r="C18" s="43">
        <v>58792</v>
      </c>
      <c r="P18" s="149" t="s">
        <v>35</v>
      </c>
      <c r="Q18" s="149"/>
      <c r="R18" s="149"/>
      <c r="S18" s="149"/>
      <c r="T18" s="149"/>
      <c r="U18" s="92"/>
      <c r="V18" s="92"/>
      <c r="W18" s="92"/>
      <c r="Y18" s="150" t="s">
        <v>36</v>
      </c>
      <c r="Z18" s="150"/>
      <c r="AA18" s="25" t="s">
        <v>11</v>
      </c>
    </row>
    <row r="19" spans="2:29" x14ac:dyDescent="0.55000000000000004">
      <c r="B19" s="21" t="s">
        <v>37</v>
      </c>
      <c r="C19" s="39">
        <v>57494</v>
      </c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  <c r="W19" s="18"/>
    </row>
    <row r="20" spans="2:29" x14ac:dyDescent="0.55000000000000004">
      <c r="B20" s="21" t="s">
        <v>38</v>
      </c>
      <c r="C20" s="39">
        <v>60163</v>
      </c>
      <c r="P20" s="28" t="s">
        <v>16</v>
      </c>
      <c r="Q20" s="12"/>
      <c r="R20" s="12"/>
      <c r="S20" s="12"/>
      <c r="T20" s="12"/>
      <c r="U20" s="12"/>
      <c r="V20" s="12"/>
      <c r="W20" s="12"/>
    </row>
    <row r="21" spans="2:29" x14ac:dyDescent="0.55000000000000004">
      <c r="B21" s="21" t="s">
        <v>39</v>
      </c>
      <c r="C21" s="39">
        <v>45484</v>
      </c>
      <c r="P21" s="28" t="s">
        <v>18</v>
      </c>
      <c r="Q21" s="14">
        <f t="shared" ref="Q21:T29" si="7">IFERROR(Q8/Q7-1,"")</f>
        <v>3.466332452013865E-2</v>
      </c>
      <c r="R21" s="14">
        <f t="shared" si="7"/>
        <v>1.0129450949420971E-3</v>
      </c>
      <c r="S21" s="14">
        <f t="shared" si="7"/>
        <v>-6.0227830162969398E-2</v>
      </c>
      <c r="T21" s="14">
        <f t="shared" si="7"/>
        <v>0.10244662329331988</v>
      </c>
      <c r="U21" s="14"/>
      <c r="V21" s="14"/>
      <c r="W21" s="14"/>
    </row>
    <row r="22" spans="2:29" x14ac:dyDescent="0.55000000000000004">
      <c r="B22" s="22" t="s">
        <v>40</v>
      </c>
      <c r="C22" s="43">
        <v>58294</v>
      </c>
      <c r="P22" s="28" t="s">
        <v>20</v>
      </c>
      <c r="Q22" s="14">
        <f t="shared" si="7"/>
        <v>5.3430681158217475E-3</v>
      </c>
      <c r="R22" s="14">
        <f t="shared" si="7"/>
        <v>-3.1558185404339301E-2</v>
      </c>
      <c r="S22" s="14">
        <f t="shared" si="7"/>
        <v>0.14658005645130112</v>
      </c>
      <c r="T22" s="14">
        <f t="shared" si="7"/>
        <v>-2.2658133156013616E-2</v>
      </c>
      <c r="U22" s="14"/>
      <c r="V22" s="14"/>
      <c r="W22" s="14"/>
      <c r="Z22" s="7">
        <f>_xlfn.XLOOKUP(AA18,Q6:T6,Q5:T5)</f>
        <v>3</v>
      </c>
    </row>
    <row r="23" spans="2:29" x14ac:dyDescent="0.55000000000000004">
      <c r="B23" s="21" t="s">
        <v>41</v>
      </c>
      <c r="C23" s="39">
        <v>60590</v>
      </c>
      <c r="P23" s="28" t="s">
        <v>22</v>
      </c>
      <c r="Q23" s="14">
        <f t="shared" si="7"/>
        <v>-5.1050555399673181E-2</v>
      </c>
      <c r="R23" s="14">
        <f t="shared" si="7"/>
        <v>6.5491897635703511E-2</v>
      </c>
      <c r="S23" s="14">
        <f t="shared" si="7"/>
        <v>-0.23308828488568156</v>
      </c>
      <c r="T23" s="14">
        <f t="shared" si="7"/>
        <v>-8.4705402095522908E-3</v>
      </c>
      <c r="U23" s="14"/>
      <c r="V23" s="14"/>
      <c r="W23" s="14"/>
      <c r="Z23" s="7" t="s">
        <v>42</v>
      </c>
    </row>
    <row r="24" spans="2:29" x14ac:dyDescent="0.55000000000000004">
      <c r="B24" s="21" t="s">
        <v>43</v>
      </c>
      <c r="C24" s="39">
        <v>59912</v>
      </c>
      <c r="P24" s="28" t="s">
        <v>24</v>
      </c>
      <c r="Q24" s="14">
        <f t="shared" si="7"/>
        <v>5.3849097297109294E-2</v>
      </c>
      <c r="R24" s="14">
        <f t="shared" si="7"/>
        <v>-4.1719994016256035E-3</v>
      </c>
      <c r="S24" s="14">
        <f t="shared" si="7"/>
        <v>0.20040014070882073</v>
      </c>
      <c r="T24" s="14">
        <f t="shared" si="7"/>
        <v>-3.7705424228908657E-2</v>
      </c>
      <c r="U24" s="14"/>
      <c r="V24" s="14"/>
      <c r="W24" s="14"/>
      <c r="Z24" s="9" t="s">
        <v>16</v>
      </c>
      <c r="AA24" s="8" cm="1">
        <f t="array" aca="1" ref="AA24:AA33" ca="1">OFFSET(P7,0,$Z$22,COUNT($Q$7:$Q$16),1)</f>
        <v>55041</v>
      </c>
    </row>
    <row r="25" spans="2:29" x14ac:dyDescent="0.55000000000000004">
      <c r="B25" s="21" t="s">
        <v>44</v>
      </c>
      <c r="C25" s="39">
        <v>54599</v>
      </c>
      <c r="P25" s="28" t="s">
        <v>26</v>
      </c>
      <c r="Q25" s="14">
        <f t="shared" si="7"/>
        <v>-5.5949826704076555E-2</v>
      </c>
      <c r="R25" s="14">
        <f t="shared" si="7"/>
        <v>-7.4659500600881334E-2</v>
      </c>
      <c r="S25" s="14">
        <f t="shared" si="7"/>
        <v>-7.243722412498399E-2</v>
      </c>
      <c r="T25" s="14">
        <f t="shared" si="7"/>
        <v>5.3390616086708587E-2</v>
      </c>
      <c r="U25" s="14"/>
      <c r="V25" s="14"/>
      <c r="W25" s="14"/>
      <c r="Z25" s="9" t="s">
        <v>18</v>
      </c>
      <c r="AA25" s="8">
        <f ca="1"/>
        <v>51726</v>
      </c>
      <c r="AC25" s="26" t="str">
        <f>_xlfn.CONCAT(A1," ",AA18," across Years")</f>
        <v>Brazil Grinds (Reported) Q3 across Years</v>
      </c>
    </row>
    <row r="26" spans="2:29" x14ac:dyDescent="0.55000000000000004">
      <c r="B26" s="22" t="s">
        <v>45</v>
      </c>
      <c r="C26" s="43">
        <v>56096</v>
      </c>
      <c r="P26" s="28" t="s">
        <v>28</v>
      </c>
      <c r="Q26" s="14">
        <f t="shared" si="7"/>
        <v>6.0472027972027886E-2</v>
      </c>
      <c r="R26" s="14">
        <f t="shared" si="7"/>
        <v>0.15471058280272021</v>
      </c>
      <c r="S26" s="14">
        <f t="shared" si="7"/>
        <v>0.23264355106231727</v>
      </c>
      <c r="T26" s="14">
        <f t="shared" si="7"/>
        <v>8.3481410028599878E-2</v>
      </c>
      <c r="U26" s="14"/>
      <c r="V26" s="14"/>
      <c r="W26" s="14"/>
      <c r="Z26" s="9" t="s">
        <v>20</v>
      </c>
      <c r="AA26" s="8">
        <f ca="1"/>
        <v>59308</v>
      </c>
    </row>
    <row r="27" spans="2:29" x14ac:dyDescent="0.55000000000000004">
      <c r="B27" s="21" t="s">
        <v>46</v>
      </c>
      <c r="C27" s="39">
        <v>57200</v>
      </c>
      <c r="P27" s="28" t="s">
        <v>30</v>
      </c>
      <c r="Q27" s="13">
        <f t="shared" si="7"/>
        <v>3.9004929194348836E-2</v>
      </c>
      <c r="R27" s="13">
        <f t="shared" si="7"/>
        <v>-6.3640339915021271E-2</v>
      </c>
      <c r="S27" s="13">
        <f t="shared" si="7"/>
        <v>-0.12800756095216737</v>
      </c>
      <c r="T27" s="13">
        <f t="shared" si="7"/>
        <v>-0.13519930026240157</v>
      </c>
      <c r="U27" s="13"/>
      <c r="V27" s="13"/>
      <c r="W27" s="13"/>
      <c r="Z27" s="9" t="s">
        <v>22</v>
      </c>
      <c r="AA27" s="8">
        <f ca="1"/>
        <v>45484</v>
      </c>
    </row>
    <row r="28" spans="2:29" x14ac:dyDescent="0.55000000000000004">
      <c r="B28" s="21" t="s">
        <v>47</v>
      </c>
      <c r="C28" s="39">
        <v>55439</v>
      </c>
      <c r="P28" s="28" t="s">
        <v>74</v>
      </c>
      <c r="Q28" s="13">
        <f t="shared" si="7"/>
        <v>-7.2510908369695093E-3</v>
      </c>
      <c r="R28" s="13">
        <f t="shared" si="7"/>
        <v>-8.6750525507991005E-2</v>
      </c>
      <c r="S28" s="13">
        <f t="shared" si="7"/>
        <v>-0.11716726370901076</v>
      </c>
      <c r="T28" s="13">
        <f t="shared" si="7"/>
        <v>-0.12458459760150264</v>
      </c>
      <c r="U28" s="13"/>
      <c r="V28" s="13"/>
      <c r="W28" s="13"/>
      <c r="Z28" s="9" t="s">
        <v>24</v>
      </c>
      <c r="AA28" s="8">
        <f ca="1"/>
        <v>54599</v>
      </c>
    </row>
    <row r="29" spans="2:29" x14ac:dyDescent="0.55000000000000004">
      <c r="B29" s="21" t="s">
        <v>48</v>
      </c>
      <c r="C29" s="39">
        <v>50644</v>
      </c>
      <c r="P29" s="28" t="s">
        <v>165</v>
      </c>
      <c r="Q29" s="13">
        <f t="shared" si="7"/>
        <v>-0.1304340877125687</v>
      </c>
      <c r="R29" s="13">
        <f t="shared" si="7"/>
        <v>-8.0559716488254329E-3</v>
      </c>
      <c r="S29" s="13">
        <f t="shared" si="7"/>
        <v>8.6147699606716976E-2</v>
      </c>
      <c r="Z29" s="9" t="s">
        <v>26</v>
      </c>
      <c r="AA29" s="8">
        <f ca="1"/>
        <v>50644</v>
      </c>
    </row>
    <row r="30" spans="2:29" x14ac:dyDescent="0.55000000000000004">
      <c r="B30" s="22" t="s">
        <v>49</v>
      </c>
      <c r="C30" s="43">
        <v>59091</v>
      </c>
      <c r="Z30" s="9" t="s">
        <v>28</v>
      </c>
      <c r="AA30" s="8">
        <f ca="1"/>
        <v>62426</v>
      </c>
    </row>
    <row r="31" spans="2:29" x14ac:dyDescent="0.55000000000000004">
      <c r="B31" s="21" t="s">
        <v>50</v>
      </c>
      <c r="C31" s="39">
        <v>60659</v>
      </c>
      <c r="Z31" s="9" t="s">
        <v>30</v>
      </c>
      <c r="AA31" s="8">
        <f ca="1"/>
        <v>54435</v>
      </c>
    </row>
    <row r="32" spans="2:29" ht="15.6" x14ac:dyDescent="0.6">
      <c r="B32" s="21" t="s">
        <v>51</v>
      </c>
      <c r="C32" s="39">
        <v>64016</v>
      </c>
      <c r="P32" s="149" t="s">
        <v>52</v>
      </c>
      <c r="Q32" s="149"/>
      <c r="R32" s="149"/>
      <c r="S32" s="149"/>
      <c r="T32" s="149"/>
      <c r="U32" s="92"/>
      <c r="V32" s="92"/>
      <c r="W32" s="92"/>
      <c r="Z32" s="7" t="s">
        <v>74</v>
      </c>
      <c r="AA32" s="8">
        <f ca="1"/>
        <v>48057</v>
      </c>
    </row>
    <row r="33" spans="2:27" x14ac:dyDescent="0.55000000000000004">
      <c r="B33" s="21" t="s">
        <v>53</v>
      </c>
      <c r="C33" s="39">
        <v>62426</v>
      </c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W33" s="18"/>
      <c r="Z33" s="7" t="s">
        <v>165</v>
      </c>
      <c r="AA33" s="8">
        <f ca="1"/>
        <v>52197</v>
      </c>
    </row>
    <row r="34" spans="2:27" x14ac:dyDescent="0.55000000000000004">
      <c r="B34" s="22" t="s">
        <v>54</v>
      </c>
      <c r="C34" s="40">
        <v>64024</v>
      </c>
      <c r="P34" s="28" t="s">
        <v>16</v>
      </c>
      <c r="Q34" s="17"/>
      <c r="R34" s="17">
        <f t="shared" ref="R34:T43" si="8">IFERROR(R7/Q7-1,"")</f>
        <v>0</v>
      </c>
      <c r="S34" s="17">
        <f t="shared" si="8"/>
        <v>-5.5025237784568914E-2</v>
      </c>
      <c r="T34" s="17">
        <f t="shared" si="8"/>
        <v>-8.6480986900674406E-3</v>
      </c>
      <c r="U34" s="17"/>
      <c r="V34" s="17"/>
      <c r="W34" s="17"/>
    </row>
    <row r="35" spans="2:27" x14ac:dyDescent="0.55000000000000004">
      <c r="B35" s="21" t="s">
        <v>55</v>
      </c>
      <c r="C35" s="48">
        <v>63025</v>
      </c>
      <c r="P35" s="28" t="s">
        <v>18</v>
      </c>
      <c r="Q35" s="17">
        <f t="shared" ref="Q35:Q43" si="9">IFERROR(Q8/T7-1,"")</f>
        <v>0.10446256757995043</v>
      </c>
      <c r="R35" s="17">
        <f t="shared" si="8"/>
        <v>-3.252302331369783E-2</v>
      </c>
      <c r="S35" s="17">
        <f t="shared" si="8"/>
        <v>-0.11283766400823259</v>
      </c>
      <c r="T35" s="17">
        <f t="shared" si="8"/>
        <v>0.16295480029385612</v>
      </c>
      <c r="U35" s="17"/>
      <c r="V35" s="17"/>
      <c r="W35" s="17"/>
    </row>
    <row r="36" spans="2:27" x14ac:dyDescent="0.55000000000000004">
      <c r="B36" s="21" t="s">
        <v>56</v>
      </c>
      <c r="C36" s="40">
        <v>59942</v>
      </c>
      <c r="P36" s="28" t="s">
        <v>20</v>
      </c>
      <c r="Q36" s="17">
        <f t="shared" si="9"/>
        <v>7.1814479261906872E-3</v>
      </c>
      <c r="R36" s="17">
        <f t="shared" si="8"/>
        <v>-6.8034396817799214E-2</v>
      </c>
      <c r="S36" s="17">
        <f t="shared" si="8"/>
        <v>5.0349774196404962E-2</v>
      </c>
      <c r="T36" s="17">
        <f t="shared" si="8"/>
        <v>-8.7003439670870764E-3</v>
      </c>
      <c r="U36" s="17"/>
      <c r="V36" s="17"/>
      <c r="W36" s="17"/>
    </row>
    <row r="37" spans="2:27" x14ac:dyDescent="0.55000000000000004">
      <c r="B37" s="21" t="s">
        <v>57</v>
      </c>
      <c r="C37" s="40">
        <v>54435</v>
      </c>
      <c r="P37" s="28" t="s">
        <v>22</v>
      </c>
      <c r="Q37" s="17">
        <f t="shared" si="9"/>
        <v>-2.2077833718873285E-2</v>
      </c>
      <c r="R37" s="17">
        <f t="shared" si="8"/>
        <v>4.6422235363690056E-2</v>
      </c>
      <c r="S37" s="17">
        <f t="shared" si="8"/>
        <v>-0.24398716819307553</v>
      </c>
      <c r="T37" s="17">
        <f t="shared" si="8"/>
        <v>0.28163749890071244</v>
      </c>
      <c r="U37" s="17"/>
      <c r="V37" s="17"/>
      <c r="W37" s="17"/>
    </row>
    <row r="38" spans="2:27" x14ac:dyDescent="0.55000000000000004">
      <c r="B38" s="21" t="s">
        <v>58</v>
      </c>
      <c r="C38" s="40">
        <v>55368</v>
      </c>
      <c r="P38" s="28" t="s">
        <v>24</v>
      </c>
      <c r="Q38" s="17">
        <f t="shared" si="9"/>
        <v>3.9386557793254839E-2</v>
      </c>
      <c r="R38" s="17">
        <f t="shared" si="8"/>
        <v>-1.1189965340815289E-2</v>
      </c>
      <c r="S38" s="17">
        <f t="shared" si="8"/>
        <v>-8.8680064094004529E-2</v>
      </c>
      <c r="T38" s="17">
        <f t="shared" si="8"/>
        <v>2.7418084580303592E-2</v>
      </c>
      <c r="U38" s="17"/>
      <c r="V38" s="17"/>
      <c r="W38" s="17"/>
    </row>
    <row r="39" spans="2:27" x14ac:dyDescent="0.55000000000000004">
      <c r="B39" s="66" t="s">
        <v>73</v>
      </c>
      <c r="C39" s="48">
        <v>62568</v>
      </c>
      <c r="P39" s="28" t="s">
        <v>26</v>
      </c>
      <c r="Q39" s="17">
        <f t="shared" si="9"/>
        <v>1.968054763262983E-2</v>
      </c>
      <c r="R39" s="17">
        <f t="shared" si="8"/>
        <v>-3.0786713286713341E-2</v>
      </c>
      <c r="S39" s="17">
        <f t="shared" si="8"/>
        <v>-8.64914590811523E-2</v>
      </c>
      <c r="T39" s="17">
        <f t="shared" si="8"/>
        <v>0.16679172261274777</v>
      </c>
      <c r="U39" s="17"/>
      <c r="V39" s="17"/>
      <c r="W39" s="17"/>
    </row>
    <row r="40" spans="2:27" x14ac:dyDescent="0.55000000000000004">
      <c r="B40" s="21" t="s">
        <v>151</v>
      </c>
      <c r="C40" s="40">
        <v>54742</v>
      </c>
      <c r="P40" s="28" t="s">
        <v>28</v>
      </c>
      <c r="Q40" s="17">
        <f t="shared" si="9"/>
        <v>2.6535343791778798E-2</v>
      </c>
      <c r="R40" s="17">
        <f t="shared" si="8"/>
        <v>5.5342158624441584E-2</v>
      </c>
      <c r="S40" s="17">
        <f t="shared" si="8"/>
        <v>-2.4837540614846332E-2</v>
      </c>
      <c r="T40" s="17">
        <f t="shared" si="8"/>
        <v>2.5598308397142278E-2</v>
      </c>
      <c r="U40" s="17"/>
      <c r="V40" s="17"/>
      <c r="W40" s="17"/>
    </row>
    <row r="41" spans="2:27" x14ac:dyDescent="0.55000000000000004">
      <c r="B41" s="21" t="s">
        <v>160</v>
      </c>
      <c r="C41" s="40">
        <v>48057</v>
      </c>
      <c r="P41" s="28" t="s">
        <v>30</v>
      </c>
      <c r="Q41" s="17">
        <f t="shared" si="9"/>
        <v>-1.5603523678620501E-2</v>
      </c>
      <c r="R41" s="17">
        <f t="shared" si="8"/>
        <v>-4.8917096390321269E-2</v>
      </c>
      <c r="S41" s="17">
        <f t="shared" si="8"/>
        <v>-9.1872143071635937E-2</v>
      </c>
      <c r="T41" s="17">
        <f t="shared" si="8"/>
        <v>1.7139707908514712E-2</v>
      </c>
      <c r="U41" s="17"/>
      <c r="V41" s="17"/>
      <c r="W41" s="17"/>
    </row>
    <row r="42" spans="2:27" x14ac:dyDescent="0.55000000000000004">
      <c r="B42" s="21" t="s">
        <v>162</v>
      </c>
      <c r="C42" s="40">
        <v>48470</v>
      </c>
      <c r="P42" s="28" t="s">
        <v>74</v>
      </c>
      <c r="Q42" s="17">
        <f t="shared" si="9"/>
        <v>0.13003901170351106</v>
      </c>
      <c r="R42" s="17">
        <f t="shared" si="8"/>
        <v>-0.12507991305459665</v>
      </c>
      <c r="S42" s="17">
        <f t="shared" si="8"/>
        <v>-0.12211830039092475</v>
      </c>
      <c r="T42" s="17">
        <f t="shared" si="8"/>
        <v>8.593961337578282E-3</v>
      </c>
      <c r="U42" s="17"/>
      <c r="V42" s="17"/>
      <c r="W42" s="17"/>
    </row>
    <row r="43" spans="2:27" x14ac:dyDescent="0.55000000000000004">
      <c r="B43" s="66" t="s">
        <v>187</v>
      </c>
      <c r="C43" s="48">
        <v>54407</v>
      </c>
      <c r="P43" s="28" t="s">
        <v>165</v>
      </c>
      <c r="Q43" s="17">
        <f t="shared" si="9"/>
        <v>0.12248813699195371</v>
      </c>
      <c r="R43" s="17">
        <f t="shared" si="8"/>
        <v>-1.9482787141360536E-3</v>
      </c>
      <c r="S43" s="17">
        <f t="shared" si="8"/>
        <v>-3.8746984401760609E-2</v>
      </c>
    </row>
    <row r="44" spans="2:27" x14ac:dyDescent="0.55000000000000004">
      <c r="B44" s="21" t="s">
        <v>209</v>
      </c>
      <c r="C44" s="39">
        <v>54301</v>
      </c>
    </row>
    <row r="45" spans="2:27" x14ac:dyDescent="0.55000000000000004">
      <c r="B45" s="21" t="s">
        <v>210</v>
      </c>
      <c r="C45" s="39">
        <v>52197</v>
      </c>
    </row>
    <row r="46" spans="2:27" x14ac:dyDescent="0.55000000000000004">
      <c r="B46" s="21" t="s">
        <v>211</v>
      </c>
      <c r="C46" s="39">
        <v>56430</v>
      </c>
    </row>
  </sheetData>
  <mergeCells count="4">
    <mergeCell ref="A1:AG1"/>
    <mergeCell ref="P18:T18"/>
    <mergeCell ref="Y18:Z18"/>
    <mergeCell ref="P32:T32"/>
  </mergeCells>
  <conditionalFormatting sqref="Q21:W28 Q29:S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{91B4B6FD-B8B5-4AC6-8FF1-5396AEDA321E}</x14:id>
        </ext>
      </extLst>
    </cfRule>
  </conditionalFormatting>
  <conditionalFormatting sqref="Q34:W42 Q43:S4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{C43AF87D-037C-41CB-B4F2-792B538D7CDF}</x14:id>
        </ext>
      </extLst>
    </cfRule>
  </conditionalFormatting>
  <conditionalFormatting sqref="U7:U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6:V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:V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{C1CF2D1E-6054-45A6-9F8B-A7266D8D467F}</x14:id>
        </ext>
      </extLst>
    </cfRule>
  </conditionalFormatting>
  <conditionalFormatting sqref="W7:W15 Q7:T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{9DD561F2-72AC-4D2E-BD07-402CBFD5EC3B}</x14:id>
        </ext>
      </extLst>
    </cfRule>
  </conditionalFormatting>
  <dataValidations count="1">
    <dataValidation type="list" allowBlank="1" showInputMessage="1" showErrorMessage="1" sqref="AA18" xr:uid="{F4B982B0-2B3A-4449-BE47-F1FB6F301759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4B6FD-B8B5-4AC6-8FF1-5396AEDA32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Q21:W28 Q29:S29</xm:sqref>
        </x14:conditionalFormatting>
        <x14:conditionalFormatting xmlns:xm="http://schemas.microsoft.com/office/excel/2006/main">
          <x14:cfRule type="dataBar" id="{C43AF87D-037C-41CB-B4F2-792B538D7C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Q34:W42 Q43:S43</xm:sqref>
        </x14:conditionalFormatting>
        <x14:conditionalFormatting xmlns:xm="http://schemas.microsoft.com/office/excel/2006/main">
          <x14:cfRule type="dataBar" id="{C1CF2D1E-6054-45A6-9F8B-A7266D8D46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>
          <x14:cfRule type="dataBar" id="{9DD561F2-72AC-4D2E-BD07-402CBFD5E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423D-E748-40D1-8AF1-D9F00C29FFE8}">
  <sheetPr codeName="Sheet14"/>
  <dimension ref="A1:AH54"/>
  <sheetViews>
    <sheetView showGridLines="0" zoomScale="55" zoomScaleNormal="55" workbookViewId="0">
      <selection activeCell="C44" sqref="C44"/>
    </sheetView>
  </sheetViews>
  <sheetFormatPr defaultColWidth="9.15625" defaultRowHeight="14.4" x14ac:dyDescent="0.55000000000000004"/>
  <cols>
    <col min="1" max="1" width="5" style="29" customWidth="1"/>
    <col min="2" max="2" width="12.83984375" style="29" bestFit="1" customWidth="1"/>
    <col min="3" max="3" width="9.26171875" style="29" customWidth="1"/>
    <col min="4" max="5" width="9.15625" style="29"/>
    <col min="6" max="6" width="5.83984375" style="29" customWidth="1"/>
    <col min="7" max="7" width="6.41796875" style="29" customWidth="1"/>
    <col min="8" max="10" width="9.15625" style="29"/>
    <col min="11" max="11" width="10.83984375" style="29" bestFit="1" customWidth="1"/>
    <col min="12" max="12" width="5.578125" style="29" customWidth="1"/>
    <col min="13" max="13" width="9.15625" style="29"/>
    <col min="14" max="14" width="6" style="29" customWidth="1"/>
    <col min="15" max="16" width="9.15625" style="29"/>
    <col min="17" max="17" width="11.83984375" style="29" customWidth="1"/>
    <col min="18" max="18" width="11" style="29" customWidth="1"/>
    <col min="19" max="19" width="11.68359375" style="29" customWidth="1"/>
    <col min="20" max="20" width="9.41796875" style="29" bestFit="1" customWidth="1"/>
    <col min="21" max="21" width="9.83984375" style="29" bestFit="1" customWidth="1"/>
    <col min="22" max="23" width="9.41796875" style="29" customWidth="1"/>
    <col min="24" max="24" width="4.15625" style="29" customWidth="1"/>
    <col min="25" max="25" width="9.15625" style="29"/>
    <col min="26" max="26" width="13.578125" style="29" customWidth="1"/>
    <col min="27" max="27" width="11.578125" style="29" bestFit="1" customWidth="1"/>
    <col min="28" max="16384" width="9.15625" style="29"/>
  </cols>
  <sheetData>
    <row r="1" spans="1:34" s="1" customFormat="1" ht="55.5" customHeight="1" x14ac:dyDescent="0.55000000000000004">
      <c r="A1" s="148" t="s">
        <v>183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4" s="32" customFormat="1" ht="5.25" customHeight="1" x14ac:dyDescent="0.6"/>
    <row r="3" spans="1:34" ht="9.75" customHeight="1" x14ac:dyDescent="0.55000000000000004">
      <c r="Y3" s="20">
        <f>COUNT(Q16:T16)</f>
        <v>2</v>
      </c>
      <c r="Z3" s="33" t="str">
        <f ca="1">OFFSET(P6,0,$Y$3,1,1)</f>
        <v>Q2</v>
      </c>
    </row>
    <row r="4" spans="1:34" x14ac:dyDescent="0.55000000000000004">
      <c r="C4" s="68">
        <v>-0.05</v>
      </c>
      <c r="Y4" s="20"/>
      <c r="Z4" s="33"/>
    </row>
    <row r="5" spans="1:34" ht="14.7" thickBot="1" x14ac:dyDescent="0.6">
      <c r="Q5" s="29">
        <v>1</v>
      </c>
      <c r="R5" s="29">
        <v>2</v>
      </c>
      <c r="S5" s="29">
        <v>3</v>
      </c>
      <c r="T5" s="29">
        <v>4</v>
      </c>
    </row>
    <row r="6" spans="1:34" ht="15.6" x14ac:dyDescent="0.6">
      <c r="B6" s="34" t="s">
        <v>7</v>
      </c>
      <c r="C6" s="34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W6" s="24"/>
      <c r="Y6" s="35" t="s">
        <v>13</v>
      </c>
      <c r="Z6" s="35" t="str">
        <f ca="1">_xlfn.CONCAT("YTD (Q1 to ",Z3,")")</f>
        <v>YTD (Q1 to Q2)</v>
      </c>
      <c r="AA6" s="35" t="s">
        <v>14</v>
      </c>
      <c r="AE6" s="15" t="s">
        <v>9</v>
      </c>
      <c r="AF6" s="15" t="s">
        <v>10</v>
      </c>
      <c r="AG6" s="15" t="s">
        <v>11</v>
      </c>
      <c r="AH6" s="15" t="s">
        <v>12</v>
      </c>
    </row>
    <row r="7" spans="1:34" x14ac:dyDescent="0.55000000000000004">
      <c r="B7" s="36" t="s">
        <v>15</v>
      </c>
      <c r="C7" s="88">
        <f>ECA!C7-German!C7</f>
        <v>248318</v>
      </c>
      <c r="P7" s="28" t="s">
        <v>16</v>
      </c>
      <c r="Q7" s="38">
        <f>C7</f>
        <v>248318</v>
      </c>
      <c r="R7" s="38">
        <f>C8</f>
        <v>248318</v>
      </c>
      <c r="S7" s="38">
        <f>C9</f>
        <v>244121</v>
      </c>
      <c r="T7" s="38">
        <f>C10</f>
        <v>249931</v>
      </c>
      <c r="U7" s="95">
        <f>SUM(Q7:T7)</f>
        <v>990688</v>
      </c>
      <c r="V7" s="96"/>
      <c r="W7" s="38"/>
      <c r="Y7" s="28" t="str">
        <f>P7</f>
        <v>16/17</v>
      </c>
      <c r="Z7" s="39">
        <f ca="1">SUM(OFFSET(Q7,0,0,1,$Y$3))</f>
        <v>496636</v>
      </c>
      <c r="AD7" s="28" t="str">
        <f t="shared" ref="AD7:AD15" si="0">P7</f>
        <v>16/17</v>
      </c>
      <c r="AE7" s="38">
        <f t="shared" ref="AE7:AE15" si="1">Q7</f>
        <v>248318</v>
      </c>
      <c r="AF7" s="38">
        <f>AE7+R7</f>
        <v>496636</v>
      </c>
      <c r="AG7" s="38">
        <f>AF7+S7</f>
        <v>740757</v>
      </c>
      <c r="AH7" s="38">
        <f>AG7+T7</f>
        <v>990688</v>
      </c>
    </row>
    <row r="8" spans="1:34" x14ac:dyDescent="0.55000000000000004">
      <c r="B8" s="36" t="s">
        <v>17</v>
      </c>
      <c r="C8" s="88">
        <f>ECA!C8-German!C8</f>
        <v>248318</v>
      </c>
      <c r="P8" s="28" t="s">
        <v>18</v>
      </c>
      <c r="Q8" s="38">
        <f>C11</f>
        <v>254737</v>
      </c>
      <c r="R8" s="38">
        <f>C12</f>
        <v>258790</v>
      </c>
      <c r="S8" s="38">
        <f>C13</f>
        <v>261752</v>
      </c>
      <c r="T8" s="38">
        <f>C14</f>
        <v>256976</v>
      </c>
      <c r="U8" s="95">
        <f t="shared" ref="U8:U15" si="2">SUM(Q8:T8)</f>
        <v>1032255</v>
      </c>
      <c r="V8" s="97">
        <f>U8/U7-1</f>
        <v>4.1957710197357834E-2</v>
      </c>
      <c r="W8" s="38"/>
      <c r="Y8" s="28" t="str">
        <f t="shared" ref="Y8:Y14" si="3">P8</f>
        <v>17/18</v>
      </c>
      <c r="Z8" s="39">
        <f t="shared" ref="Z8:Z16" ca="1" si="4">SUM(OFFSET(Q8,0,0,1,$Y$3))</f>
        <v>513527</v>
      </c>
      <c r="AA8" s="41">
        <f ca="1">Z8/Z7-1</f>
        <v>3.4010824829452613E-2</v>
      </c>
      <c r="AD8" s="28" t="str">
        <f t="shared" si="0"/>
        <v>17/18</v>
      </c>
      <c r="AE8" s="38">
        <f t="shared" si="1"/>
        <v>254737</v>
      </c>
      <c r="AF8" s="38">
        <f t="shared" ref="AF8:AF14" si="5">AE8+R8</f>
        <v>513527</v>
      </c>
      <c r="AG8" s="38">
        <f t="shared" ref="AG8:AH14" si="6">AF8+S8</f>
        <v>775279</v>
      </c>
      <c r="AH8" s="38">
        <f t="shared" si="6"/>
        <v>1032255</v>
      </c>
    </row>
    <row r="9" spans="1:34" x14ac:dyDescent="0.55000000000000004">
      <c r="B9" s="36" t="s">
        <v>19</v>
      </c>
      <c r="C9" s="88">
        <f>ECA!C9-German!C9</f>
        <v>244121</v>
      </c>
      <c r="P9" s="28" t="s">
        <v>20</v>
      </c>
      <c r="Q9" s="38">
        <f>C15</f>
        <v>259922</v>
      </c>
      <c r="R9" s="38">
        <f>C16</f>
        <v>268861</v>
      </c>
      <c r="S9" s="38">
        <f>C17</f>
        <v>250687</v>
      </c>
      <c r="T9" s="38">
        <f>C18</f>
        <v>259607</v>
      </c>
      <c r="U9" s="95">
        <f t="shared" si="2"/>
        <v>1039077</v>
      </c>
      <c r="V9" s="97">
        <f t="shared" ref="V9:V15" si="7">U9/U8-1</f>
        <v>6.6088321199704314E-3</v>
      </c>
      <c r="W9" s="38"/>
      <c r="Y9" s="28" t="str">
        <f t="shared" si="3"/>
        <v>18/19</v>
      </c>
      <c r="Z9" s="39">
        <f t="shared" ca="1" si="4"/>
        <v>528783</v>
      </c>
      <c r="AA9" s="41">
        <f t="shared" ref="AA9:AA16" ca="1" si="8">Z9/Z8-1</f>
        <v>2.9708272398530244E-2</v>
      </c>
      <c r="AD9" s="28" t="str">
        <f t="shared" si="0"/>
        <v>18/19</v>
      </c>
      <c r="AE9" s="38">
        <f t="shared" si="1"/>
        <v>259922</v>
      </c>
      <c r="AF9" s="38">
        <f t="shared" si="5"/>
        <v>528783</v>
      </c>
      <c r="AG9" s="38">
        <f t="shared" si="6"/>
        <v>779470</v>
      </c>
      <c r="AH9" s="38">
        <f t="shared" si="6"/>
        <v>1039077</v>
      </c>
    </row>
    <row r="10" spans="1:34" x14ac:dyDescent="0.55000000000000004">
      <c r="B10" s="42" t="s">
        <v>21</v>
      </c>
      <c r="C10" s="88">
        <f>ECA!C10-German!C10</f>
        <v>249931</v>
      </c>
      <c r="P10" s="28" t="s">
        <v>22</v>
      </c>
      <c r="Q10" s="38">
        <f>C19</f>
        <v>256951</v>
      </c>
      <c r="R10" s="38">
        <f>C20</f>
        <v>269375</v>
      </c>
      <c r="S10" s="38">
        <f>C21</f>
        <v>235223</v>
      </c>
      <c r="T10" s="38">
        <f>C22</f>
        <v>252375</v>
      </c>
      <c r="U10" s="95">
        <f t="shared" si="2"/>
        <v>1013924</v>
      </c>
      <c r="V10" s="97">
        <f t="shared" si="7"/>
        <v>-2.4207060689438786E-2</v>
      </c>
      <c r="W10" s="38"/>
      <c r="Y10" s="28" t="str">
        <f t="shared" si="3"/>
        <v>19/20</v>
      </c>
      <c r="Z10" s="39">
        <f t="shared" ca="1" si="4"/>
        <v>526326</v>
      </c>
      <c r="AA10" s="41">
        <f t="shared" ca="1" si="8"/>
        <v>-4.6465185151565169E-3</v>
      </c>
      <c r="AD10" s="28" t="str">
        <f t="shared" si="0"/>
        <v>19/20</v>
      </c>
      <c r="AE10" s="38">
        <f t="shared" si="1"/>
        <v>256951</v>
      </c>
      <c r="AF10" s="38">
        <f t="shared" si="5"/>
        <v>526326</v>
      </c>
      <c r="AG10" s="38">
        <f t="shared" si="6"/>
        <v>761549</v>
      </c>
      <c r="AH10" s="38">
        <f t="shared" si="6"/>
        <v>1013924</v>
      </c>
    </row>
    <row r="11" spans="1:34" x14ac:dyDescent="0.55000000000000004">
      <c r="B11" s="36" t="s">
        <v>23</v>
      </c>
      <c r="C11" s="88">
        <f>ECA!C11-German!C11</f>
        <v>254737</v>
      </c>
      <c r="P11" s="28" t="s">
        <v>24</v>
      </c>
      <c r="Q11" s="38">
        <f>C23</f>
        <v>252117</v>
      </c>
      <c r="R11" s="38">
        <f>C24</f>
        <v>266333</v>
      </c>
      <c r="S11" s="38">
        <f>C25</f>
        <v>263790</v>
      </c>
      <c r="T11" s="38">
        <f>C26</f>
        <v>267196</v>
      </c>
      <c r="U11" s="95">
        <f t="shared" si="2"/>
        <v>1049436</v>
      </c>
      <c r="V11" s="97">
        <f t="shared" si="7"/>
        <v>3.5024321349529153E-2</v>
      </c>
      <c r="W11" s="38"/>
      <c r="Y11" s="28" t="str">
        <f t="shared" si="3"/>
        <v>20/21</v>
      </c>
      <c r="Z11" s="39">
        <f t="shared" ca="1" si="4"/>
        <v>518450</v>
      </c>
      <c r="AA11" s="41">
        <f t="shared" ca="1" si="8"/>
        <v>-1.4964109696271932E-2</v>
      </c>
      <c r="AD11" s="28" t="str">
        <f t="shared" si="0"/>
        <v>20/21</v>
      </c>
      <c r="AE11" s="38">
        <f t="shared" si="1"/>
        <v>252117</v>
      </c>
      <c r="AF11" s="38">
        <f t="shared" si="5"/>
        <v>518450</v>
      </c>
      <c r="AG11" s="38">
        <f t="shared" si="6"/>
        <v>782240</v>
      </c>
      <c r="AH11" s="38">
        <f t="shared" si="6"/>
        <v>1049436</v>
      </c>
    </row>
    <row r="12" spans="1:34" x14ac:dyDescent="0.55000000000000004">
      <c r="B12" s="36" t="s">
        <v>25</v>
      </c>
      <c r="C12" s="88">
        <f>ECA!C12-German!C12</f>
        <v>258790</v>
      </c>
      <c r="P12" s="28" t="s">
        <v>26</v>
      </c>
      <c r="Q12" s="38">
        <f>C27</f>
        <v>265677</v>
      </c>
      <c r="R12" s="38">
        <f>C28</f>
        <v>275480</v>
      </c>
      <c r="S12" s="38">
        <f>C29</f>
        <v>267583</v>
      </c>
      <c r="T12" s="38">
        <f>C30</f>
        <v>266147</v>
      </c>
      <c r="U12" s="95">
        <f t="shared" si="2"/>
        <v>1074887</v>
      </c>
      <c r="V12" s="97">
        <f t="shared" si="7"/>
        <v>2.4252074447608019E-2</v>
      </c>
      <c r="W12" s="38"/>
      <c r="Y12" s="28" t="str">
        <f t="shared" si="3"/>
        <v>21/22</v>
      </c>
      <c r="Z12" s="39">
        <f t="shared" ca="1" si="4"/>
        <v>541157</v>
      </c>
      <c r="AA12" s="41">
        <f t="shared" ca="1" si="8"/>
        <v>4.3797859002796757E-2</v>
      </c>
      <c r="AD12" s="28" t="str">
        <f t="shared" si="0"/>
        <v>21/22</v>
      </c>
      <c r="AE12" s="38">
        <f t="shared" si="1"/>
        <v>265677</v>
      </c>
      <c r="AF12" s="38">
        <f t="shared" si="5"/>
        <v>541157</v>
      </c>
      <c r="AG12" s="38">
        <f t="shared" si="6"/>
        <v>808740</v>
      </c>
      <c r="AH12" s="38">
        <f t="shared" si="6"/>
        <v>1074887</v>
      </c>
    </row>
    <row r="13" spans="1:34" x14ac:dyDescent="0.55000000000000004">
      <c r="B13" s="36" t="s">
        <v>27</v>
      </c>
      <c r="C13" s="88">
        <f>ECA!C13-German!C13</f>
        <v>261752</v>
      </c>
      <c r="P13" s="28" t="s">
        <v>28</v>
      </c>
      <c r="Q13" s="38">
        <f>IF(C31=0,"",C31)</f>
        <v>260031</v>
      </c>
      <c r="R13" s="38">
        <f>IF(C32=0,"",C32)</f>
        <v>273452</v>
      </c>
      <c r="S13" s="38">
        <f>IF(C33=0,"",C33)</f>
        <v>248981</v>
      </c>
      <c r="T13" s="38">
        <f>IF(C34=0,NA(),C34)</f>
        <v>267154</v>
      </c>
      <c r="U13" s="95">
        <f t="shared" si="2"/>
        <v>1049618</v>
      </c>
      <c r="V13" s="97">
        <f t="shared" si="7"/>
        <v>-2.3508517639528659E-2</v>
      </c>
      <c r="W13" s="38"/>
      <c r="Y13" s="28" t="str">
        <f t="shared" si="3"/>
        <v>22/23</v>
      </c>
      <c r="Z13" s="39">
        <f t="shared" ca="1" si="4"/>
        <v>533483</v>
      </c>
      <c r="AA13" s="41">
        <f t="shared" ca="1" si="8"/>
        <v>-1.4180727589220843E-2</v>
      </c>
      <c r="AD13" s="28" t="str">
        <f t="shared" si="0"/>
        <v>22/23</v>
      </c>
      <c r="AE13" s="38">
        <f t="shared" si="1"/>
        <v>260031</v>
      </c>
      <c r="AF13" s="38">
        <f t="shared" si="5"/>
        <v>533483</v>
      </c>
      <c r="AG13" s="38">
        <f t="shared" si="6"/>
        <v>782464</v>
      </c>
      <c r="AH13" s="38">
        <f t="shared" si="6"/>
        <v>1049618</v>
      </c>
    </row>
    <row r="14" spans="1:34" x14ac:dyDescent="0.55000000000000004">
      <c r="B14" s="42" t="s">
        <v>29</v>
      </c>
      <c r="C14" s="88">
        <f>ECA!C14-German!C14</f>
        <v>256976</v>
      </c>
      <c r="P14" s="28" t="s">
        <v>30</v>
      </c>
      <c r="Q14" s="38">
        <f>C35</f>
        <v>253318</v>
      </c>
      <c r="R14" s="38">
        <f>C36</f>
        <v>261397.86956521741</v>
      </c>
      <c r="S14" s="38">
        <f>C37</f>
        <v>255502</v>
      </c>
      <c r="T14" s="38">
        <f>C38</f>
        <v>253982.86303543099</v>
      </c>
      <c r="U14" s="95">
        <f t="shared" si="2"/>
        <v>1024200.7326006484</v>
      </c>
      <c r="V14" s="97">
        <f t="shared" si="7"/>
        <v>-2.4215731246369221E-2</v>
      </c>
      <c r="W14" s="38"/>
      <c r="Y14" s="28" t="str">
        <f t="shared" si="3"/>
        <v>23/24</v>
      </c>
      <c r="Z14" s="39">
        <f t="shared" ca="1" si="4"/>
        <v>514715.86956521741</v>
      </c>
      <c r="AA14" s="41">
        <f t="shared" ca="1" si="8"/>
        <v>-3.5178497599328562E-2</v>
      </c>
      <c r="AD14" s="28" t="str">
        <f t="shared" si="0"/>
        <v>23/24</v>
      </c>
      <c r="AE14" s="38">
        <f t="shared" si="1"/>
        <v>253318</v>
      </c>
      <c r="AF14" s="38">
        <f t="shared" si="5"/>
        <v>514715.86956521741</v>
      </c>
      <c r="AG14" s="38">
        <f t="shared" si="6"/>
        <v>770217.86956521741</v>
      </c>
      <c r="AH14" s="38">
        <f t="shared" si="6"/>
        <v>1024200.7326006484</v>
      </c>
    </row>
    <row r="15" spans="1:34" x14ac:dyDescent="0.55000000000000004">
      <c r="B15" s="36" t="s">
        <v>31</v>
      </c>
      <c r="C15" s="88">
        <f>ECA!C15-German!C15</f>
        <v>259922</v>
      </c>
      <c r="P15" s="28" t="s">
        <v>74</v>
      </c>
      <c r="Q15" s="38">
        <f>C39</f>
        <v>241835.99599999998</v>
      </c>
      <c r="R15" s="38">
        <f>C40</f>
        <v>256104</v>
      </c>
      <c r="S15" s="38">
        <f>C41</f>
        <v>247482</v>
      </c>
      <c r="T15" s="38">
        <f>C42</f>
        <v>242471</v>
      </c>
      <c r="U15" s="95">
        <f t="shared" si="2"/>
        <v>987892.99600000004</v>
      </c>
      <c r="V15" s="97">
        <f t="shared" si="7"/>
        <v>-3.5449824868271529E-2</v>
      </c>
      <c r="W15" s="38"/>
      <c r="Y15" s="28" t="s">
        <v>74</v>
      </c>
      <c r="Z15" s="39">
        <f t="shared" ca="1" si="4"/>
        <v>497939.99599999998</v>
      </c>
      <c r="AA15" s="41">
        <f t="shared" ca="1" si="8"/>
        <v>-3.259249336801695E-2</v>
      </c>
      <c r="AD15" s="28" t="str">
        <f t="shared" si="0"/>
        <v>24/25</v>
      </c>
      <c r="AE15" s="38">
        <f t="shared" si="1"/>
        <v>241835.99599999998</v>
      </c>
    </row>
    <row r="16" spans="1:34" ht="14.7" thickBot="1" x14ac:dyDescent="0.6">
      <c r="B16" s="36" t="s">
        <v>32</v>
      </c>
      <c r="C16" s="88">
        <f>ECA!C16-German!C16</f>
        <v>268861</v>
      </c>
      <c r="P16" s="28" t="s">
        <v>165</v>
      </c>
      <c r="Q16" s="38">
        <f>C43</f>
        <v>223374</v>
      </c>
      <c r="R16" s="38">
        <f>C44</f>
        <v>233347.90000000002</v>
      </c>
      <c r="S16" s="38"/>
      <c r="T16" s="38"/>
      <c r="U16" s="98"/>
      <c r="V16" s="99"/>
      <c r="Y16" s="29" t="s">
        <v>165</v>
      </c>
      <c r="Z16" s="39">
        <f t="shared" ca="1" si="4"/>
        <v>456721.9</v>
      </c>
      <c r="AA16" s="41">
        <f t="shared" ca="1" si="8"/>
        <v>-8.2777234869881755E-2</v>
      </c>
    </row>
    <row r="17" spans="2:29" x14ac:dyDescent="0.55000000000000004">
      <c r="B17" s="36" t="s">
        <v>33</v>
      </c>
      <c r="C17" s="88">
        <f>ECA!C17-German!C17</f>
        <v>250687</v>
      </c>
    </row>
    <row r="18" spans="2:29" ht="15.6" x14ac:dyDescent="0.6">
      <c r="B18" s="42" t="s">
        <v>34</v>
      </c>
      <c r="C18" s="88">
        <f>ECA!C18-German!C18</f>
        <v>259607</v>
      </c>
      <c r="P18" s="149" t="s">
        <v>35</v>
      </c>
      <c r="Q18" s="149"/>
      <c r="R18" s="149"/>
      <c r="S18" s="149"/>
      <c r="T18" s="149"/>
      <c r="U18" s="92"/>
      <c r="V18" s="92"/>
      <c r="W18" s="92"/>
      <c r="Y18" s="150" t="s">
        <v>36</v>
      </c>
      <c r="Z18" s="150"/>
      <c r="AA18" s="25" t="s">
        <v>10</v>
      </c>
    </row>
    <row r="19" spans="2:29" x14ac:dyDescent="0.55000000000000004">
      <c r="B19" s="36" t="s">
        <v>37</v>
      </c>
      <c r="C19" s="88">
        <f>ECA!C19-German!C19</f>
        <v>256951</v>
      </c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  <c r="W19" s="18"/>
    </row>
    <row r="20" spans="2:29" x14ac:dyDescent="0.55000000000000004">
      <c r="B20" s="36" t="s">
        <v>38</v>
      </c>
      <c r="C20" s="88">
        <f>ECA!C20-German!C20</f>
        <v>269375</v>
      </c>
      <c r="P20" s="28" t="str">
        <f>P7</f>
        <v>16/17</v>
      </c>
      <c r="Q20" s="38"/>
      <c r="R20" s="38"/>
      <c r="S20" s="38"/>
      <c r="T20" s="38"/>
      <c r="U20" s="38"/>
      <c r="V20" s="38"/>
      <c r="W20" s="38"/>
    </row>
    <row r="21" spans="2:29" x14ac:dyDescent="0.55000000000000004">
      <c r="B21" s="36" t="s">
        <v>39</v>
      </c>
      <c r="C21" s="88">
        <f>ECA!C21-German!C21</f>
        <v>235223</v>
      </c>
      <c r="P21" s="28" t="str">
        <f t="shared" ref="P21:P27" si="9">P8</f>
        <v>17/18</v>
      </c>
      <c r="Q21" s="41">
        <f t="shared" ref="Q21:T29" si="10">IFERROR(Q8/Q7-1,"")</f>
        <v>2.5849918249985837E-2</v>
      </c>
      <c r="R21" s="41">
        <f t="shared" si="10"/>
        <v>4.2171731408919166E-2</v>
      </c>
      <c r="S21" s="41">
        <f t="shared" si="10"/>
        <v>7.2222381523916468E-2</v>
      </c>
      <c r="T21" s="41">
        <f t="shared" si="10"/>
        <v>2.8187779827232307E-2</v>
      </c>
      <c r="U21" s="41"/>
      <c r="V21" s="41"/>
      <c r="W21" s="41"/>
    </row>
    <row r="22" spans="2:29" x14ac:dyDescent="0.55000000000000004">
      <c r="B22" s="42" t="s">
        <v>40</v>
      </c>
      <c r="C22" s="88">
        <f>ECA!C22-German!C22</f>
        <v>252375</v>
      </c>
      <c r="P22" s="28" t="str">
        <f t="shared" si="9"/>
        <v>18/19</v>
      </c>
      <c r="Q22" s="41">
        <f t="shared" si="10"/>
        <v>2.0354326226657227E-2</v>
      </c>
      <c r="R22" s="41">
        <f t="shared" si="10"/>
        <v>3.8915723173229333E-2</v>
      </c>
      <c r="S22" s="41">
        <f t="shared" si="10"/>
        <v>-4.2272838411931857E-2</v>
      </c>
      <c r="T22" s="41">
        <f t="shared" si="10"/>
        <v>1.023831019239152E-2</v>
      </c>
      <c r="U22" s="41"/>
      <c r="V22" s="41"/>
      <c r="W22" s="41"/>
      <c r="Z22" s="29">
        <f>_xlfn.XLOOKUP(AA18,Q6:T6,Q5:T5)</f>
        <v>2</v>
      </c>
    </row>
    <row r="23" spans="2:29" x14ac:dyDescent="0.55000000000000004">
      <c r="B23" s="36" t="s">
        <v>41</v>
      </c>
      <c r="C23" s="88">
        <f>ECA!C23-German!C23</f>
        <v>252117</v>
      </c>
      <c r="P23" s="28" t="str">
        <f t="shared" si="9"/>
        <v>19/20</v>
      </c>
      <c r="Q23" s="41">
        <f t="shared" si="10"/>
        <v>-1.1430352182577819E-2</v>
      </c>
      <c r="R23" s="41">
        <f t="shared" si="10"/>
        <v>1.9117685346703439E-3</v>
      </c>
      <c r="S23" s="41">
        <f t="shared" si="10"/>
        <v>-6.1686485537742253E-2</v>
      </c>
      <c r="T23" s="41">
        <f t="shared" si="10"/>
        <v>-2.785749228641754E-2</v>
      </c>
      <c r="U23" s="41"/>
      <c r="V23" s="41"/>
      <c r="W23" s="41"/>
      <c r="Z23" s="29" t="s">
        <v>42</v>
      </c>
    </row>
    <row r="24" spans="2:29" x14ac:dyDescent="0.55000000000000004">
      <c r="B24" s="36" t="s">
        <v>43</v>
      </c>
      <c r="C24" s="88">
        <f>ECA!C24-German!C24</f>
        <v>266333</v>
      </c>
      <c r="P24" s="28" t="str">
        <f t="shared" si="9"/>
        <v>20/21</v>
      </c>
      <c r="Q24" s="41">
        <f t="shared" si="10"/>
        <v>-1.8812925421578419E-2</v>
      </c>
      <c r="R24" s="41">
        <f t="shared" si="10"/>
        <v>-1.1292807424593931E-2</v>
      </c>
      <c r="S24" s="41">
        <f t="shared" si="10"/>
        <v>0.12144645719168623</v>
      </c>
      <c r="T24" s="41">
        <f t="shared" si="10"/>
        <v>5.872610203070816E-2</v>
      </c>
      <c r="U24" s="41"/>
      <c r="V24" s="41"/>
      <c r="W24" s="41"/>
      <c r="Z24" s="28" t="str">
        <f>P20</f>
        <v>16/17</v>
      </c>
      <c r="AA24" s="39" cm="1">
        <f t="array" aca="1" ref="AA24:AA33" ca="1">OFFSET(P7,0,$Z$22,COUNT($Q$7:$Q$16),1)</f>
        <v>248318</v>
      </c>
    </row>
    <row r="25" spans="2:29" x14ac:dyDescent="0.55000000000000004">
      <c r="B25" s="36" t="s">
        <v>44</v>
      </c>
      <c r="C25" s="88">
        <f>ECA!C25-German!C25</f>
        <v>263790</v>
      </c>
      <c r="P25" s="28" t="str">
        <f t="shared" si="9"/>
        <v>21/22</v>
      </c>
      <c r="Q25" s="41">
        <f t="shared" si="10"/>
        <v>5.3784552410190534E-2</v>
      </c>
      <c r="R25" s="41">
        <f t="shared" si="10"/>
        <v>3.4344223209290536E-2</v>
      </c>
      <c r="S25" s="41">
        <f t="shared" si="10"/>
        <v>1.4378861973539658E-2</v>
      </c>
      <c r="T25" s="41">
        <f t="shared" si="10"/>
        <v>-3.925956975403877E-3</v>
      </c>
      <c r="U25" s="41"/>
      <c r="V25" s="41"/>
      <c r="W25" s="41"/>
      <c r="Z25" s="28" t="str">
        <f t="shared" ref="Z25:Z32" si="11">P21</f>
        <v>17/18</v>
      </c>
      <c r="AA25" s="39">
        <f ca="1"/>
        <v>258790</v>
      </c>
      <c r="AC25" s="29" t="str">
        <f>_xlfn.CONCAT(A1," ",AA18," across Years")</f>
        <v>ECA : Non German Grind Q2 across Years</v>
      </c>
    </row>
    <row r="26" spans="2:29" x14ac:dyDescent="0.55000000000000004">
      <c r="B26" s="42" t="s">
        <v>45</v>
      </c>
      <c r="C26" s="88">
        <f>ECA!C26-German!C26</f>
        <v>267196</v>
      </c>
      <c r="P26" s="28" t="str">
        <f t="shared" si="9"/>
        <v>22/23</v>
      </c>
      <c r="Q26" s="41">
        <f t="shared" si="10"/>
        <v>-2.1251369143734711E-2</v>
      </c>
      <c r="R26" s="41">
        <f t="shared" si="10"/>
        <v>-7.3616959488892464E-3</v>
      </c>
      <c r="S26" s="41">
        <f t="shared" si="10"/>
        <v>-6.9518616653524323E-2</v>
      </c>
      <c r="T26" s="41">
        <f t="shared" si="10"/>
        <v>3.7836233359760385E-3</v>
      </c>
      <c r="U26" s="41"/>
      <c r="V26" s="41"/>
      <c r="W26" s="41"/>
      <c r="Z26" s="28" t="str">
        <f t="shared" si="11"/>
        <v>18/19</v>
      </c>
      <c r="AA26" s="39">
        <f ca="1"/>
        <v>268861</v>
      </c>
    </row>
    <row r="27" spans="2:29" x14ac:dyDescent="0.55000000000000004">
      <c r="B27" s="36" t="s">
        <v>46</v>
      </c>
      <c r="C27" s="88">
        <f>ECA!C27-German!C27</f>
        <v>265677</v>
      </c>
      <c r="P27" s="28" t="str">
        <f t="shared" si="9"/>
        <v>23/24</v>
      </c>
      <c r="Q27" s="41">
        <f t="shared" si="10"/>
        <v>-2.5816152689487004E-2</v>
      </c>
      <c r="R27" s="41">
        <f t="shared" si="10"/>
        <v>-4.4081339448175938E-2</v>
      </c>
      <c r="S27" s="41">
        <f t="shared" si="10"/>
        <v>2.619075351131217E-2</v>
      </c>
      <c r="T27" s="41">
        <f t="shared" si="10"/>
        <v>-4.9301664824666691E-2</v>
      </c>
      <c r="U27" s="41"/>
      <c r="V27" s="41"/>
      <c r="W27" s="41"/>
      <c r="Z27" s="28" t="str">
        <f t="shared" si="11"/>
        <v>19/20</v>
      </c>
      <c r="AA27" s="39">
        <f ca="1"/>
        <v>269375</v>
      </c>
    </row>
    <row r="28" spans="2:29" x14ac:dyDescent="0.55000000000000004">
      <c r="B28" s="36" t="s">
        <v>47</v>
      </c>
      <c r="C28" s="88">
        <f>ECA!C28-German!C28</f>
        <v>275480</v>
      </c>
      <c r="P28" s="28" t="s">
        <v>74</v>
      </c>
      <c r="Q28" s="41">
        <f t="shared" si="10"/>
        <v>-4.5326443442629483E-2</v>
      </c>
      <c r="R28" s="41">
        <f t="shared" si="10"/>
        <v>-2.0252152682126656E-2</v>
      </c>
      <c r="S28" s="41">
        <f t="shared" si="10"/>
        <v>-3.1389186777402878E-2</v>
      </c>
      <c r="T28" s="41">
        <f t="shared" si="10"/>
        <v>-4.5325353442547289E-2</v>
      </c>
      <c r="U28" s="41"/>
      <c r="V28" s="41"/>
      <c r="W28" s="41"/>
      <c r="Z28" s="28" t="str">
        <f t="shared" si="11"/>
        <v>20/21</v>
      </c>
      <c r="AA28" s="39">
        <f ca="1"/>
        <v>266333</v>
      </c>
    </row>
    <row r="29" spans="2:29" x14ac:dyDescent="0.55000000000000004">
      <c r="B29" s="36" t="s">
        <v>48</v>
      </c>
      <c r="C29" s="88">
        <f>ECA!C29-German!C29</f>
        <v>267583</v>
      </c>
      <c r="P29" s="28" t="s">
        <v>165</v>
      </c>
      <c r="Q29" s="41">
        <f t="shared" si="10"/>
        <v>-7.6340976138225436E-2</v>
      </c>
      <c r="R29" s="41">
        <f t="shared" si="10"/>
        <v>-8.8854918314434705E-2</v>
      </c>
      <c r="Z29" s="28" t="str">
        <f t="shared" si="11"/>
        <v>21/22</v>
      </c>
      <c r="AA29" s="39">
        <f ca="1"/>
        <v>275480</v>
      </c>
    </row>
    <row r="30" spans="2:29" x14ac:dyDescent="0.55000000000000004">
      <c r="B30" s="42" t="s">
        <v>49</v>
      </c>
      <c r="C30" s="88">
        <f>ECA!C30-German!C30</f>
        <v>266147</v>
      </c>
      <c r="Z30" s="28" t="str">
        <f t="shared" si="11"/>
        <v>22/23</v>
      </c>
      <c r="AA30" s="39">
        <f ca="1"/>
        <v>273452</v>
      </c>
    </row>
    <row r="31" spans="2:29" x14ac:dyDescent="0.55000000000000004">
      <c r="B31" s="36" t="s">
        <v>50</v>
      </c>
      <c r="C31" s="88">
        <f>ECA!C31-German!C31</f>
        <v>260031</v>
      </c>
      <c r="Z31" s="28" t="str">
        <f t="shared" si="11"/>
        <v>23/24</v>
      </c>
      <c r="AA31" s="39">
        <f ca="1"/>
        <v>261397.86956521741</v>
      </c>
    </row>
    <row r="32" spans="2:29" ht="15.6" x14ac:dyDescent="0.6">
      <c r="B32" s="36" t="s">
        <v>51</v>
      </c>
      <c r="C32" s="88">
        <f>ECA!C32-German!C32</f>
        <v>273452</v>
      </c>
      <c r="P32" s="149" t="s">
        <v>52</v>
      </c>
      <c r="Q32" s="149"/>
      <c r="R32" s="149"/>
      <c r="S32" s="149"/>
      <c r="T32" s="149"/>
      <c r="U32" s="92"/>
      <c r="V32" s="92"/>
      <c r="W32" s="92"/>
      <c r="Z32" s="28" t="str">
        <f t="shared" si="11"/>
        <v>24/25</v>
      </c>
      <c r="AA32" s="39">
        <f ca="1"/>
        <v>256104</v>
      </c>
    </row>
    <row r="33" spans="2:27" x14ac:dyDescent="0.55000000000000004">
      <c r="B33" s="36" t="s">
        <v>53</v>
      </c>
      <c r="C33" s="88">
        <f>ECA!C33-German!C33</f>
        <v>248981</v>
      </c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W33" s="18"/>
      <c r="Z33" s="29" t="s">
        <v>165</v>
      </c>
      <c r="AA33" s="39">
        <f ca="1"/>
        <v>233347.90000000002</v>
      </c>
    </row>
    <row r="34" spans="2:27" x14ac:dyDescent="0.55000000000000004">
      <c r="B34" s="42" t="s">
        <v>54</v>
      </c>
      <c r="C34" s="88">
        <f>ECA!C34-German!C34</f>
        <v>267154</v>
      </c>
      <c r="P34" s="28" t="str">
        <f>P20</f>
        <v>16/17</v>
      </c>
      <c r="Q34" s="41"/>
      <c r="R34" s="41">
        <f t="shared" ref="R34:T43" si="12">IFERROR(R7/Q7-1,"")</f>
        <v>0</v>
      </c>
      <c r="S34" s="41">
        <f t="shared" si="12"/>
        <v>-1.6901714736748841E-2</v>
      </c>
      <c r="T34" s="41">
        <f t="shared" si="12"/>
        <v>2.3799673112923525E-2</v>
      </c>
      <c r="U34" s="41"/>
      <c r="V34" s="41"/>
      <c r="W34" s="41"/>
    </row>
    <row r="35" spans="2:27" x14ac:dyDescent="0.55000000000000004">
      <c r="B35" s="36" t="s">
        <v>55</v>
      </c>
      <c r="C35" s="88">
        <f>ECA!C35-German!C35</f>
        <v>253318</v>
      </c>
      <c r="P35" s="28" t="str">
        <f t="shared" ref="P35:P41" si="13">P21</f>
        <v>17/18</v>
      </c>
      <c r="Q35" s="41">
        <f t="shared" ref="Q35:Q43" si="14">IFERROR(Q8/T7-1,"")</f>
        <v>1.922930728881167E-2</v>
      </c>
      <c r="R35" s="41">
        <f t="shared" si="12"/>
        <v>1.5910527328185431E-2</v>
      </c>
      <c r="S35" s="41">
        <f t="shared" si="12"/>
        <v>1.1445573631129413E-2</v>
      </c>
      <c r="T35" s="41">
        <f t="shared" si="12"/>
        <v>-1.8246278920504899E-2</v>
      </c>
      <c r="U35" s="41"/>
      <c r="V35" s="41"/>
      <c r="W35" s="41"/>
    </row>
    <row r="36" spans="2:27" x14ac:dyDescent="0.55000000000000004">
      <c r="B36" s="36" t="s">
        <v>56</v>
      </c>
      <c r="C36" s="88">
        <f>ECA!C36-German!C36</f>
        <v>261397.86956521741</v>
      </c>
      <c r="P36" s="28" t="str">
        <f t="shared" si="13"/>
        <v>18/19</v>
      </c>
      <c r="Q36" s="41">
        <f t="shared" si="14"/>
        <v>1.1464105597409846E-2</v>
      </c>
      <c r="R36" s="41">
        <f t="shared" si="12"/>
        <v>3.4391086556736283E-2</v>
      </c>
      <c r="S36" s="41">
        <f t="shared" si="12"/>
        <v>-6.7596267216145201E-2</v>
      </c>
      <c r="T36" s="41">
        <f t="shared" si="12"/>
        <v>3.5582220059277025E-2</v>
      </c>
      <c r="U36" s="41"/>
      <c r="V36" s="41"/>
      <c r="W36" s="41"/>
    </row>
    <row r="37" spans="2:27" x14ac:dyDescent="0.55000000000000004">
      <c r="B37" s="36" t="s">
        <v>57</v>
      </c>
      <c r="C37" s="88">
        <f>ECA!C37-German!C37</f>
        <v>255502</v>
      </c>
      <c r="P37" s="28" t="str">
        <f t="shared" si="13"/>
        <v>19/20</v>
      </c>
      <c r="Q37" s="41">
        <f t="shared" si="14"/>
        <v>-1.0230848937047177E-2</v>
      </c>
      <c r="R37" s="41">
        <f t="shared" si="12"/>
        <v>4.8351631244867743E-2</v>
      </c>
      <c r="S37" s="41">
        <f t="shared" si="12"/>
        <v>-0.12678236658932718</v>
      </c>
      <c r="T37" s="41">
        <f t="shared" si="12"/>
        <v>7.2918039477432028E-2</v>
      </c>
      <c r="U37" s="41"/>
      <c r="V37" s="41"/>
      <c r="W37" s="41"/>
    </row>
    <row r="38" spans="2:27" x14ac:dyDescent="0.55000000000000004">
      <c r="B38" s="42" t="s">
        <v>58</v>
      </c>
      <c r="C38" s="88">
        <f>ECA!C38-German!C38</f>
        <v>253982.86303543099</v>
      </c>
      <c r="P38" s="28" t="str">
        <f t="shared" si="13"/>
        <v>20/21</v>
      </c>
      <c r="Q38" s="41">
        <f t="shared" si="14"/>
        <v>-1.0222882615156248E-3</v>
      </c>
      <c r="R38" s="41">
        <f t="shared" si="12"/>
        <v>5.6386518957468157E-2</v>
      </c>
      <c r="S38" s="41">
        <f t="shared" si="12"/>
        <v>-9.5481971817236166E-3</v>
      </c>
      <c r="T38" s="41">
        <f t="shared" si="12"/>
        <v>1.2911785890291627E-2</v>
      </c>
      <c r="U38" s="41"/>
      <c r="V38" s="41"/>
      <c r="W38" s="41"/>
    </row>
    <row r="39" spans="2:27" x14ac:dyDescent="0.55000000000000004">
      <c r="B39" s="36" t="s">
        <v>73</v>
      </c>
      <c r="C39" s="88">
        <f>ECA!C39-German!C39</f>
        <v>241835.99599999998</v>
      </c>
      <c r="P39" s="28" t="str">
        <f t="shared" si="13"/>
        <v>21/22</v>
      </c>
      <c r="Q39" s="41">
        <f t="shared" si="14"/>
        <v>-5.6849653437925918E-3</v>
      </c>
      <c r="R39" s="41">
        <f t="shared" si="12"/>
        <v>3.6898188401705889E-2</v>
      </c>
      <c r="S39" s="41">
        <f t="shared" si="12"/>
        <v>-2.8666327864091734E-2</v>
      </c>
      <c r="T39" s="41">
        <f t="shared" si="12"/>
        <v>-5.3665591610827512E-3</v>
      </c>
      <c r="U39" s="41"/>
      <c r="V39" s="41"/>
      <c r="W39" s="41"/>
    </row>
    <row r="40" spans="2:27" x14ac:dyDescent="0.55000000000000004">
      <c r="B40" s="36" t="s">
        <v>151</v>
      </c>
      <c r="C40" s="88">
        <f>ECA!C40-German!C40</f>
        <v>256104</v>
      </c>
      <c r="P40" s="28" t="str">
        <f t="shared" si="13"/>
        <v>22/23</v>
      </c>
      <c r="Q40" s="41">
        <f t="shared" si="14"/>
        <v>-2.2979781849879921E-2</v>
      </c>
      <c r="R40" s="41">
        <f t="shared" si="12"/>
        <v>5.161307690236927E-2</v>
      </c>
      <c r="S40" s="41">
        <f t="shared" si="12"/>
        <v>-8.9489197372847884E-2</v>
      </c>
      <c r="T40" s="41">
        <f t="shared" si="12"/>
        <v>7.2989505223290063E-2</v>
      </c>
      <c r="U40" s="41"/>
      <c r="V40" s="41"/>
      <c r="W40" s="41"/>
    </row>
    <row r="41" spans="2:27" x14ac:dyDescent="0.55000000000000004">
      <c r="B41" s="36" t="s">
        <v>160</v>
      </c>
      <c r="C41" s="88">
        <f>ECA!C41-German!C41</f>
        <v>247482</v>
      </c>
      <c r="P41" s="28" t="str">
        <f t="shared" si="13"/>
        <v>23/24</v>
      </c>
      <c r="Q41" s="41">
        <f t="shared" si="14"/>
        <v>-5.179035312965552E-2</v>
      </c>
      <c r="R41" s="41">
        <f t="shared" si="12"/>
        <v>3.189615252456357E-2</v>
      </c>
      <c r="S41" s="41">
        <f t="shared" si="12"/>
        <v>-2.2555155384487269E-2</v>
      </c>
      <c r="T41" s="41">
        <f t="shared" si="12"/>
        <v>-5.9456950026575139E-3</v>
      </c>
      <c r="U41" s="41"/>
      <c r="V41" s="41"/>
      <c r="W41" s="41"/>
    </row>
    <row r="42" spans="2:27" x14ac:dyDescent="0.55000000000000004">
      <c r="B42" s="36" t="s">
        <v>162</v>
      </c>
      <c r="C42" s="88">
        <f>ECA!C42-German!C42</f>
        <v>242471</v>
      </c>
      <c r="P42" s="28" t="s">
        <v>74</v>
      </c>
      <c r="Q42" s="41">
        <f t="shared" si="14"/>
        <v>-4.7825537873933288E-2</v>
      </c>
      <c r="R42" s="41">
        <f t="shared" si="12"/>
        <v>5.899867776507528E-2</v>
      </c>
      <c r="S42" s="41">
        <f t="shared" si="12"/>
        <v>-3.3666010683159997E-2</v>
      </c>
      <c r="T42" s="41">
        <f t="shared" si="12"/>
        <v>-2.0247937223717316E-2</v>
      </c>
      <c r="U42" s="41"/>
      <c r="V42" s="41"/>
      <c r="W42" s="41"/>
    </row>
    <row r="43" spans="2:27" x14ac:dyDescent="0.55000000000000004">
      <c r="B43" s="100" t="s">
        <v>187</v>
      </c>
      <c r="C43" s="101">
        <f>ECA!C43-German!C43</f>
        <v>223374</v>
      </c>
      <c r="P43" s="28" t="s">
        <v>165</v>
      </c>
      <c r="Q43" s="41">
        <f t="shared" si="14"/>
        <v>-7.8759934177695445E-2</v>
      </c>
      <c r="R43" s="41">
        <f t="shared" si="12"/>
        <v>4.4651123228307776E-2</v>
      </c>
    </row>
    <row r="44" spans="2:27" x14ac:dyDescent="0.55000000000000004">
      <c r="B44" s="36" t="s">
        <v>209</v>
      </c>
      <c r="C44" s="101">
        <f>ECA!C44-German!C44</f>
        <v>233347.90000000002</v>
      </c>
    </row>
    <row r="50" spans="11:28" x14ac:dyDescent="0.55000000000000004">
      <c r="K50" s="39"/>
    </row>
    <row r="51" spans="11:28" x14ac:dyDescent="0.55000000000000004">
      <c r="K51" s="38"/>
      <c r="Z51" s="46"/>
    </row>
    <row r="52" spans="11:28" x14ac:dyDescent="0.55000000000000004">
      <c r="Z52" s="39"/>
      <c r="AB52" s="17"/>
    </row>
    <row r="54" spans="11:28" x14ac:dyDescent="0.55000000000000004">
      <c r="Z54" s="45"/>
    </row>
  </sheetData>
  <mergeCells count="4">
    <mergeCell ref="A1:AG1"/>
    <mergeCell ref="P18:T18"/>
    <mergeCell ref="Y18:Z18"/>
    <mergeCell ref="P32:T32"/>
  </mergeCells>
  <conditionalFormatting sqref="Q21:W28 Q29:R2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{5E884BC4-D368-4D19-83E3-DEE25B11DF0A}</x14:id>
        </ext>
      </extLst>
    </cfRule>
  </conditionalFormatting>
  <conditionalFormatting sqref="Q34:W42 Q43:R4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{2774C23E-2266-493F-993E-BA3215C2CC37}</x14:id>
        </ext>
      </extLst>
    </cfRule>
  </conditionalFormatting>
  <conditionalFormatting sqref="U7:U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6:V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:V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{D3254715-6FD3-49DE-A41F-B1A2B7E01EB1}</x14:id>
        </ext>
      </extLst>
    </cfRule>
  </conditionalFormatting>
  <conditionalFormatting sqref="W7:W15 Q7:T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{E47BE911-DFA4-420A-89A6-63249CF76B77}</x14:id>
        </ext>
      </extLst>
    </cfRule>
  </conditionalFormatting>
  <dataValidations count="1">
    <dataValidation type="list" allowBlank="1" showInputMessage="1" showErrorMessage="1" sqref="AA18" xr:uid="{88F10F20-C5B6-4A25-B92E-2145A35A179B}">
      <formula1>$Q$6:$T$6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884BC4-D368-4D19-83E3-DEE25B11DF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Q21:W28 Q29:R29</xm:sqref>
        </x14:conditionalFormatting>
        <x14:conditionalFormatting xmlns:xm="http://schemas.microsoft.com/office/excel/2006/main">
          <x14:cfRule type="dataBar" id="{2774C23E-2266-493F-993E-BA3215C2CC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Q34:W42 Q43:R43</xm:sqref>
        </x14:conditionalFormatting>
        <x14:conditionalFormatting xmlns:xm="http://schemas.microsoft.com/office/excel/2006/main">
          <x14:cfRule type="dataBar" id="{D3254715-6FD3-49DE-A41F-B1A2B7E01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>
          <x14:cfRule type="dataBar" id="{E47BE911-DFA4-420A-89A6-63249CF76B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00B8-8740-49F4-9EDF-46981434B0FE}">
  <sheetPr codeName="Sheet12"/>
  <dimension ref="C1:W153"/>
  <sheetViews>
    <sheetView showGridLines="0" zoomScale="85" zoomScaleNormal="85" workbookViewId="0">
      <selection activeCell="U45" sqref="U45"/>
    </sheetView>
  </sheetViews>
  <sheetFormatPr defaultColWidth="9.15625" defaultRowHeight="10.199999999999999" x14ac:dyDescent="0.55000000000000004"/>
  <cols>
    <col min="1" max="2" width="9.15625" style="53"/>
    <col min="3" max="3" width="9.578125" style="53" customWidth="1"/>
    <col min="4" max="4" width="14.41796875" style="53" customWidth="1"/>
    <col min="5" max="8" width="9.15625" style="53"/>
    <col min="9" max="9" width="11.3671875" style="53" customWidth="1"/>
    <col min="10" max="10" width="10.15625" style="53" customWidth="1"/>
    <col min="11" max="11" width="13.05078125" style="53" customWidth="1"/>
    <col min="12" max="16384" width="9.15625" style="53"/>
  </cols>
  <sheetData>
    <row r="1" spans="3:23" ht="10.5" x14ac:dyDescent="0.55000000000000004">
      <c r="C1" s="54" t="s">
        <v>75</v>
      </c>
      <c r="D1" s="54" t="s">
        <v>76</v>
      </c>
    </row>
    <row r="2" spans="3:23" ht="10.5" x14ac:dyDescent="0.55000000000000004">
      <c r="C2" s="55" t="s">
        <v>77</v>
      </c>
      <c r="D2" s="56">
        <v>85001</v>
      </c>
      <c r="G2" s="57" t="s">
        <v>7</v>
      </c>
      <c r="H2" s="57" t="s">
        <v>146</v>
      </c>
      <c r="I2" s="57" t="s">
        <v>3</v>
      </c>
      <c r="J2" s="57" t="s">
        <v>314</v>
      </c>
    </row>
    <row r="3" spans="3:23" ht="10.5" x14ac:dyDescent="0.55000000000000004">
      <c r="C3" s="55" t="s">
        <v>78</v>
      </c>
      <c r="D3" s="56">
        <v>81734</v>
      </c>
      <c r="G3" s="58" t="s">
        <v>15</v>
      </c>
      <c r="H3" s="56">
        <f t="shared" ref="H3:H37" si="0">D38</f>
        <v>57029</v>
      </c>
      <c r="I3" s="59">
        <v>177450</v>
      </c>
      <c r="J3" s="60">
        <f t="shared" ref="J3:J36" si="1">H3/I3</f>
        <v>0.32138067061143982</v>
      </c>
    </row>
    <row r="4" spans="3:23" ht="10.5" x14ac:dyDescent="0.55000000000000004">
      <c r="C4" s="55" t="s">
        <v>79</v>
      </c>
      <c r="D4" s="56">
        <v>81992</v>
      </c>
      <c r="G4" s="58" t="s">
        <v>17</v>
      </c>
      <c r="H4" s="56">
        <f t="shared" si="0"/>
        <v>54384</v>
      </c>
      <c r="I4" s="61">
        <v>177450</v>
      </c>
      <c r="J4" s="60">
        <f t="shared" si="1"/>
        <v>0.30647506339814035</v>
      </c>
    </row>
    <row r="5" spans="3:23" ht="12.3" x14ac:dyDescent="0.55000000000000004">
      <c r="C5" s="55" t="s">
        <v>80</v>
      </c>
      <c r="D5" s="56">
        <v>84922</v>
      </c>
      <c r="G5" s="58" t="s">
        <v>19</v>
      </c>
      <c r="H5" s="56">
        <f t="shared" si="0"/>
        <v>49072</v>
      </c>
      <c r="I5" s="61">
        <v>160878</v>
      </c>
      <c r="J5" s="60">
        <f t="shared" si="1"/>
        <v>0.3050261688981713</v>
      </c>
      <c r="T5" s="158" t="s">
        <v>164</v>
      </c>
      <c r="U5" s="158"/>
      <c r="V5" s="158"/>
      <c r="W5" s="158"/>
    </row>
    <row r="6" spans="3:23" ht="10.5" x14ac:dyDescent="0.55000000000000004">
      <c r="C6" s="55" t="s">
        <v>81</v>
      </c>
      <c r="D6" s="56">
        <v>72926</v>
      </c>
      <c r="G6" s="62" t="s">
        <v>21</v>
      </c>
      <c r="H6" s="56">
        <f t="shared" si="0"/>
        <v>55665</v>
      </c>
      <c r="I6" s="63">
        <v>189407</v>
      </c>
      <c r="J6" s="60">
        <f t="shared" si="1"/>
        <v>0.29389093328124094</v>
      </c>
    </row>
    <row r="7" spans="3:23" ht="10.5" x14ac:dyDescent="0.55000000000000004">
      <c r="C7" s="55" t="s">
        <v>82</v>
      </c>
      <c r="D7" s="56">
        <v>67104</v>
      </c>
      <c r="G7" s="58" t="s">
        <v>23</v>
      </c>
      <c r="H7" s="56">
        <f t="shared" si="0"/>
        <v>59137</v>
      </c>
      <c r="I7" s="64">
        <v>196476</v>
      </c>
      <c r="J7" s="60">
        <f t="shared" si="1"/>
        <v>0.30098841588794562</v>
      </c>
      <c r="T7" s="77" t="s">
        <v>152</v>
      </c>
      <c r="U7" s="78">
        <f>I40</f>
        <v>223503</v>
      </c>
      <c r="V7" s="73"/>
      <c r="W7" s="74" t="s">
        <v>155</v>
      </c>
    </row>
    <row r="8" spans="3:23" ht="10.5" x14ac:dyDescent="0.55000000000000004">
      <c r="C8" s="55" t="s">
        <v>83</v>
      </c>
      <c r="D8" s="56">
        <v>64118</v>
      </c>
      <c r="G8" s="58" t="s">
        <v>25</v>
      </c>
      <c r="H8" s="56">
        <f t="shared" si="0"/>
        <v>58841</v>
      </c>
      <c r="I8" s="64">
        <v>190244</v>
      </c>
      <c r="J8" s="60">
        <f t="shared" si="1"/>
        <v>0.30929227728601166</v>
      </c>
    </row>
    <row r="9" spans="3:23" ht="10.5" x14ac:dyDescent="0.55000000000000004">
      <c r="C9" s="55" t="s">
        <v>84</v>
      </c>
      <c r="D9" s="56">
        <v>72014</v>
      </c>
      <c r="G9" s="58" t="s">
        <v>27</v>
      </c>
      <c r="H9" s="56">
        <f t="shared" si="0"/>
        <v>57512</v>
      </c>
      <c r="I9" s="64">
        <v>185394</v>
      </c>
      <c r="J9" s="60">
        <f t="shared" si="1"/>
        <v>0.31021500156423615</v>
      </c>
      <c r="T9" s="77" t="s">
        <v>153</v>
      </c>
      <c r="U9" s="78">
        <f>K46</f>
        <v>224712.39408351789</v>
      </c>
      <c r="W9" s="74" t="s">
        <v>156</v>
      </c>
    </row>
    <row r="10" spans="3:23" ht="10.5" x14ac:dyDescent="0.55000000000000004">
      <c r="C10" s="55" t="s">
        <v>85</v>
      </c>
      <c r="D10" s="56">
        <v>74993</v>
      </c>
      <c r="G10" s="62" t="s">
        <v>29</v>
      </c>
      <c r="H10" s="56">
        <f t="shared" si="0"/>
        <v>60857</v>
      </c>
      <c r="I10" s="63">
        <v>196418</v>
      </c>
      <c r="J10" s="60">
        <f t="shared" si="1"/>
        <v>0.30983412925495629</v>
      </c>
      <c r="W10" s="74" t="s">
        <v>310</v>
      </c>
    </row>
    <row r="11" spans="3:23" ht="10.5" x14ac:dyDescent="0.55000000000000004">
      <c r="C11" s="55" t="s">
        <v>86</v>
      </c>
      <c r="D11" s="56">
        <v>73498</v>
      </c>
      <c r="G11" s="58" t="s">
        <v>31</v>
      </c>
      <c r="H11" s="56">
        <f t="shared" si="0"/>
        <v>72451</v>
      </c>
      <c r="I11" s="64">
        <v>208900</v>
      </c>
      <c r="J11" s="60">
        <f t="shared" si="1"/>
        <v>0.34682144566778361</v>
      </c>
      <c r="U11" s="85"/>
      <c r="W11" s="74"/>
    </row>
    <row r="12" spans="3:23" ht="10.5" x14ac:dyDescent="0.55000000000000004">
      <c r="C12" s="55" t="s">
        <v>87</v>
      </c>
      <c r="D12" s="56">
        <v>75117</v>
      </c>
      <c r="G12" s="58" t="s">
        <v>32</v>
      </c>
      <c r="H12" s="56">
        <f t="shared" si="0"/>
        <v>79722</v>
      </c>
      <c r="I12" s="64">
        <v>208388</v>
      </c>
      <c r="J12" s="60">
        <f t="shared" si="1"/>
        <v>0.38256521488761347</v>
      </c>
    </row>
    <row r="13" spans="3:23" ht="10.5" x14ac:dyDescent="0.55000000000000004">
      <c r="C13" s="55" t="s">
        <v>88</v>
      </c>
      <c r="D13" s="56">
        <v>73529</v>
      </c>
      <c r="G13" s="58" t="s">
        <v>33</v>
      </c>
      <c r="H13" s="56">
        <f t="shared" si="0"/>
        <v>83449</v>
      </c>
      <c r="I13" s="64">
        <v>215574</v>
      </c>
      <c r="J13" s="60">
        <f t="shared" si="1"/>
        <v>0.38710141297187972</v>
      </c>
    </row>
    <row r="14" spans="3:23" ht="10.5" x14ac:dyDescent="0.55000000000000004">
      <c r="C14" s="55" t="s">
        <v>89</v>
      </c>
      <c r="D14" s="56">
        <v>80268</v>
      </c>
      <c r="G14" s="62" t="s">
        <v>34</v>
      </c>
      <c r="H14" s="56">
        <f t="shared" si="0"/>
        <v>91197</v>
      </c>
      <c r="I14" s="63">
        <v>225356</v>
      </c>
      <c r="J14" s="60">
        <f t="shared" si="1"/>
        <v>0.40467970677505816</v>
      </c>
    </row>
    <row r="15" spans="3:23" ht="12.3" x14ac:dyDescent="0.55000000000000004">
      <c r="C15" s="55" t="s">
        <v>90</v>
      </c>
      <c r="D15" s="56">
        <v>81419</v>
      </c>
      <c r="G15" s="58" t="s">
        <v>37</v>
      </c>
      <c r="H15" s="56">
        <f t="shared" si="0"/>
        <v>89358</v>
      </c>
      <c r="I15" s="64">
        <v>227013</v>
      </c>
      <c r="J15" s="60">
        <f t="shared" si="1"/>
        <v>0.39362503468964333</v>
      </c>
      <c r="T15" s="75" t="s">
        <v>157</v>
      </c>
      <c r="U15" s="76">
        <f>AVERAGE(U7:U10)</f>
        <v>224107.69704175895</v>
      </c>
    </row>
    <row r="16" spans="3:23" ht="10.5" x14ac:dyDescent="0.55000000000000004">
      <c r="C16" s="55" t="s">
        <v>91</v>
      </c>
      <c r="D16" s="56">
        <v>72089</v>
      </c>
      <c r="G16" s="58" t="s">
        <v>38</v>
      </c>
      <c r="H16" s="56">
        <f t="shared" si="0"/>
        <v>74831</v>
      </c>
      <c r="I16" s="64">
        <v>207356</v>
      </c>
      <c r="J16" s="60">
        <f t="shared" si="1"/>
        <v>0.3608817685526341</v>
      </c>
    </row>
    <row r="17" spans="3:10" ht="10.5" x14ac:dyDescent="0.55000000000000004">
      <c r="C17" s="55" t="s">
        <v>92</v>
      </c>
      <c r="D17" s="56">
        <v>71451</v>
      </c>
      <c r="G17" s="58" t="s">
        <v>39</v>
      </c>
      <c r="H17" s="56">
        <f t="shared" si="0"/>
        <v>77426</v>
      </c>
      <c r="I17" s="64">
        <v>202674</v>
      </c>
      <c r="J17" s="60">
        <f t="shared" si="1"/>
        <v>0.38202236103298892</v>
      </c>
    </row>
    <row r="18" spans="3:10" ht="10.5" x14ac:dyDescent="0.55000000000000004">
      <c r="C18" s="55" t="s">
        <v>93</v>
      </c>
      <c r="D18" s="56">
        <v>74312</v>
      </c>
      <c r="G18" s="62" t="s">
        <v>40</v>
      </c>
      <c r="H18" s="56">
        <f t="shared" si="0"/>
        <v>76491</v>
      </c>
      <c r="I18" s="63">
        <v>202665</v>
      </c>
      <c r="J18" s="60">
        <f t="shared" si="1"/>
        <v>0.37742580119902303</v>
      </c>
    </row>
    <row r="19" spans="3:10" ht="10.5" x14ac:dyDescent="0.55000000000000004">
      <c r="C19" s="55" t="s">
        <v>94</v>
      </c>
      <c r="D19" s="56">
        <v>74562</v>
      </c>
      <c r="G19" s="58" t="s">
        <v>41</v>
      </c>
      <c r="H19" s="56">
        <f t="shared" si="0"/>
        <v>87163</v>
      </c>
      <c r="I19" s="64">
        <v>217546</v>
      </c>
      <c r="J19" s="60">
        <f t="shared" si="1"/>
        <v>0.4006646870087246</v>
      </c>
    </row>
    <row r="20" spans="3:10" ht="10.5" x14ac:dyDescent="0.55000000000000004">
      <c r="C20" s="55" t="s">
        <v>95</v>
      </c>
      <c r="D20" s="56">
        <v>74493</v>
      </c>
      <c r="G20" s="58" t="s">
        <v>43</v>
      </c>
      <c r="H20" s="56">
        <f t="shared" si="0"/>
        <v>83990</v>
      </c>
      <c r="I20" s="64">
        <v>213858</v>
      </c>
      <c r="J20" s="60">
        <f t="shared" si="1"/>
        <v>0.39273723685810208</v>
      </c>
    </row>
    <row r="21" spans="3:10" ht="10.5" x14ac:dyDescent="0.55000000000000004">
      <c r="C21" s="55" t="s">
        <v>96</v>
      </c>
      <c r="D21" s="56">
        <v>73454</v>
      </c>
      <c r="G21" s="58" t="s">
        <v>44</v>
      </c>
      <c r="H21" s="56">
        <f t="shared" si="0"/>
        <v>87328</v>
      </c>
      <c r="I21" s="64">
        <v>220865</v>
      </c>
      <c r="J21" s="60">
        <f t="shared" si="1"/>
        <v>0.3953908496140176</v>
      </c>
    </row>
    <row r="22" spans="3:10" ht="10.5" x14ac:dyDescent="0.55000000000000004">
      <c r="C22" s="55" t="s">
        <v>97</v>
      </c>
      <c r="D22" s="56">
        <v>77016</v>
      </c>
      <c r="G22" s="62" t="s">
        <v>45</v>
      </c>
      <c r="H22" s="56">
        <f t="shared" si="0"/>
        <v>79120</v>
      </c>
      <c r="I22" s="63">
        <v>210970</v>
      </c>
      <c r="J22" s="60">
        <f t="shared" si="1"/>
        <v>0.37502962506517512</v>
      </c>
    </row>
    <row r="23" spans="3:10" ht="10.5" x14ac:dyDescent="0.55000000000000004">
      <c r="C23" s="55" t="s">
        <v>98</v>
      </c>
      <c r="D23" s="56">
        <v>72203</v>
      </c>
      <c r="G23" s="58" t="s">
        <v>46</v>
      </c>
      <c r="H23" s="56">
        <f t="shared" si="0"/>
        <v>101544</v>
      </c>
      <c r="I23" s="64">
        <v>231309</v>
      </c>
      <c r="J23" s="60">
        <f t="shared" si="1"/>
        <v>0.43899718558292156</v>
      </c>
    </row>
    <row r="24" spans="3:10" ht="10.5" x14ac:dyDescent="0.55000000000000004">
      <c r="C24" s="55" t="s">
        <v>99</v>
      </c>
      <c r="D24" s="56">
        <v>72191</v>
      </c>
      <c r="G24" s="58" t="s">
        <v>47</v>
      </c>
      <c r="H24" s="56">
        <f t="shared" si="0"/>
        <v>90424</v>
      </c>
      <c r="I24" s="64">
        <v>213313</v>
      </c>
      <c r="J24" s="60">
        <f t="shared" si="1"/>
        <v>0.42390290324546559</v>
      </c>
    </row>
    <row r="25" spans="3:10" ht="10.5" x14ac:dyDescent="0.55000000000000004">
      <c r="C25" s="55" t="s">
        <v>100</v>
      </c>
      <c r="D25" s="56">
        <v>71150</v>
      </c>
      <c r="G25" s="58" t="s">
        <v>48</v>
      </c>
      <c r="H25" s="56">
        <f t="shared" si="0"/>
        <v>92331</v>
      </c>
      <c r="I25" s="64">
        <v>228895</v>
      </c>
      <c r="J25" s="60">
        <f t="shared" si="1"/>
        <v>0.40337709430088031</v>
      </c>
    </row>
    <row r="26" spans="3:10" ht="10.5" x14ac:dyDescent="0.55000000000000004">
      <c r="C26" s="55" t="s">
        <v>101</v>
      </c>
      <c r="D26" s="56">
        <v>70064</v>
      </c>
      <c r="G26" s="62" t="s">
        <v>49</v>
      </c>
      <c r="H26" s="56">
        <f t="shared" si="0"/>
        <v>91022</v>
      </c>
      <c r="I26" s="63">
        <v>231080</v>
      </c>
      <c r="J26" s="60">
        <f t="shared" si="1"/>
        <v>0.39389821706768219</v>
      </c>
    </row>
    <row r="27" spans="3:10" ht="10.5" x14ac:dyDescent="0.55000000000000004">
      <c r="C27" s="55" t="s">
        <v>102</v>
      </c>
      <c r="D27" s="56">
        <v>62359</v>
      </c>
      <c r="G27" s="58" t="s">
        <v>50</v>
      </c>
      <c r="H27" s="56">
        <f t="shared" si="0"/>
        <v>93763</v>
      </c>
      <c r="I27" s="64">
        <v>230806</v>
      </c>
      <c r="J27" s="60">
        <f t="shared" si="1"/>
        <v>0.40624160550418964</v>
      </c>
    </row>
    <row r="28" spans="3:10" ht="10.5" x14ac:dyDescent="0.55000000000000004">
      <c r="C28" s="55" t="s">
        <v>103</v>
      </c>
      <c r="D28" s="56">
        <v>65046</v>
      </c>
      <c r="G28" s="58" t="s">
        <v>51</v>
      </c>
      <c r="H28" s="56">
        <f t="shared" si="0"/>
        <v>90655</v>
      </c>
      <c r="I28" s="64">
        <v>222028</v>
      </c>
      <c r="J28" s="60">
        <f t="shared" si="1"/>
        <v>0.4083043580088998</v>
      </c>
    </row>
    <row r="29" spans="3:10" ht="10.5" x14ac:dyDescent="0.55000000000000004">
      <c r="C29" s="55" t="s">
        <v>104</v>
      </c>
      <c r="D29" s="56">
        <v>61428</v>
      </c>
      <c r="G29" s="58" t="s">
        <v>53</v>
      </c>
      <c r="H29" s="56">
        <f t="shared" si="0"/>
        <v>92087</v>
      </c>
      <c r="I29" s="64">
        <v>213977</v>
      </c>
      <c r="J29" s="60">
        <f t="shared" si="1"/>
        <v>0.43035933768582607</v>
      </c>
    </row>
    <row r="30" spans="3:10" ht="10.5" x14ac:dyDescent="0.55000000000000004">
      <c r="C30" s="55" t="s">
        <v>105</v>
      </c>
      <c r="D30" s="56">
        <v>55590</v>
      </c>
      <c r="G30" s="62" t="s">
        <v>54</v>
      </c>
      <c r="H30" s="56">
        <f t="shared" si="0"/>
        <v>87907</v>
      </c>
      <c r="I30" s="63">
        <v>211468</v>
      </c>
      <c r="J30" s="60">
        <f t="shared" si="1"/>
        <v>0.41569882913726902</v>
      </c>
    </row>
    <row r="31" spans="3:10" ht="10.5" x14ac:dyDescent="0.55000000000000004">
      <c r="C31" s="55" t="s">
        <v>106</v>
      </c>
      <c r="D31" s="56">
        <v>45208</v>
      </c>
      <c r="G31" s="58" t="s">
        <v>55</v>
      </c>
      <c r="H31" s="56">
        <f t="shared" si="0"/>
        <v>99557</v>
      </c>
      <c r="I31" s="64">
        <f>CAA!C35</f>
        <v>211202</v>
      </c>
      <c r="J31" s="60">
        <f t="shared" si="1"/>
        <v>0.47138284675334513</v>
      </c>
    </row>
    <row r="32" spans="3:10" ht="10.5" x14ac:dyDescent="0.55000000000000004">
      <c r="C32" s="55" t="s">
        <v>107</v>
      </c>
      <c r="D32" s="56">
        <v>45610</v>
      </c>
      <c r="G32" s="58" t="s">
        <v>56</v>
      </c>
      <c r="H32" s="56">
        <f t="shared" si="0"/>
        <v>99433</v>
      </c>
      <c r="I32" s="64">
        <f>CAA!C36</f>
        <v>225562</v>
      </c>
      <c r="J32" s="60">
        <f t="shared" si="1"/>
        <v>0.44082336563782909</v>
      </c>
    </row>
    <row r="33" spans="3:15" ht="10.5" x14ac:dyDescent="0.55000000000000004">
      <c r="C33" s="55" t="s">
        <v>108</v>
      </c>
      <c r="D33" s="56">
        <v>48847</v>
      </c>
      <c r="G33" s="58" t="s">
        <v>57</v>
      </c>
      <c r="H33" s="56">
        <f t="shared" si="0"/>
        <v>89984</v>
      </c>
      <c r="I33" s="64">
        <f>CAA!C37</f>
        <v>215528</v>
      </c>
      <c r="J33" s="60">
        <f t="shared" si="1"/>
        <v>0.4175049181544857</v>
      </c>
    </row>
    <row r="34" spans="3:15" ht="10.5" x14ac:dyDescent="0.55000000000000004">
      <c r="C34" s="55" t="s">
        <v>109</v>
      </c>
      <c r="D34" s="56">
        <v>48030</v>
      </c>
      <c r="G34" s="58" t="s">
        <v>58</v>
      </c>
      <c r="H34" s="56">
        <v>93878</v>
      </c>
      <c r="I34" s="64">
        <f>CAA!C38</f>
        <v>221205</v>
      </c>
      <c r="J34" s="60">
        <f t="shared" si="1"/>
        <v>0.42439366198774892</v>
      </c>
    </row>
    <row r="35" spans="3:15" ht="10.5" x14ac:dyDescent="0.55000000000000004">
      <c r="C35" s="55" t="s">
        <v>110</v>
      </c>
      <c r="D35" s="56">
        <v>47010</v>
      </c>
      <c r="G35" s="58" t="s">
        <v>73</v>
      </c>
      <c r="H35" s="56">
        <f t="shared" si="0"/>
        <v>85310</v>
      </c>
      <c r="I35" s="64">
        <f>CAA!C39</f>
        <v>214505</v>
      </c>
      <c r="J35" s="60">
        <f t="shared" si="1"/>
        <v>0.39770634717139458</v>
      </c>
    </row>
    <row r="36" spans="3:15" ht="10.5" x14ac:dyDescent="0.55000000000000004">
      <c r="C36" s="55" t="s">
        <v>111</v>
      </c>
      <c r="D36" s="56">
        <v>45873</v>
      </c>
      <c r="G36" s="58" t="s">
        <v>151</v>
      </c>
      <c r="H36" s="56">
        <f t="shared" si="0"/>
        <v>84192</v>
      </c>
      <c r="I36" s="64">
        <f>CAA!C40</f>
        <v>217459</v>
      </c>
      <c r="J36" s="60">
        <f t="shared" si="1"/>
        <v>0.38716263755466546</v>
      </c>
    </row>
    <row r="37" spans="3:15" ht="10.5" x14ac:dyDescent="0.55000000000000004">
      <c r="C37" s="55" t="s">
        <v>112</v>
      </c>
      <c r="D37" s="56">
        <v>53181</v>
      </c>
      <c r="F37" s="79"/>
      <c r="G37" s="58" t="s">
        <v>160</v>
      </c>
      <c r="H37" s="56">
        <f t="shared" si="0"/>
        <v>70196</v>
      </c>
      <c r="I37" s="64">
        <f>CAA!C41</f>
        <v>182118</v>
      </c>
      <c r="J37" s="60">
        <f t="shared" ref="J37:J42" si="2">H37/I37</f>
        <v>0.38544240547337438</v>
      </c>
    </row>
    <row r="38" spans="3:15" ht="10.5" x14ac:dyDescent="0.55000000000000004">
      <c r="C38" s="55" t="s">
        <v>113</v>
      </c>
      <c r="D38" s="56">
        <v>57029</v>
      </c>
      <c r="G38" s="58" t="s">
        <v>162</v>
      </c>
      <c r="H38" s="56">
        <v>60780</v>
      </c>
      <c r="I38" s="64">
        <f>CAA!C42</f>
        <v>183413</v>
      </c>
      <c r="J38" s="60">
        <f t="shared" si="2"/>
        <v>0.33138327163287223</v>
      </c>
    </row>
    <row r="39" spans="3:15" ht="10.5" x14ac:dyDescent="0.55000000000000004">
      <c r="C39" s="55" t="s">
        <v>114</v>
      </c>
      <c r="D39" s="56">
        <v>54384</v>
      </c>
      <c r="G39" s="58" t="s">
        <v>187</v>
      </c>
      <c r="H39" s="56">
        <v>79528</v>
      </c>
      <c r="I39" s="64">
        <f>CAA!C43</f>
        <v>197022</v>
      </c>
      <c r="J39" s="60">
        <f t="shared" si="2"/>
        <v>0.40365035376759956</v>
      </c>
    </row>
    <row r="40" spans="3:15" ht="10.5" x14ac:dyDescent="0.55000000000000004">
      <c r="C40" s="55" t="s">
        <v>115</v>
      </c>
      <c r="D40" s="56">
        <v>49072</v>
      </c>
      <c r="E40" s="53" t="s">
        <v>302</v>
      </c>
      <c r="F40" s="133">
        <f>H40/H36-1</f>
        <v>8.675408589889777E-2</v>
      </c>
      <c r="G40" s="58" t="s">
        <v>209</v>
      </c>
      <c r="H40" s="56">
        <v>91496</v>
      </c>
      <c r="I40" s="64">
        <v>223503</v>
      </c>
      <c r="J40" s="60">
        <f t="shared" si="2"/>
        <v>0.40937258112866493</v>
      </c>
    </row>
    <row r="41" spans="3:15" ht="10.5" x14ac:dyDescent="0.55000000000000004">
      <c r="C41" s="55" t="s">
        <v>116</v>
      </c>
      <c r="D41" s="56">
        <v>55665</v>
      </c>
      <c r="E41" s="53" t="s">
        <v>304</v>
      </c>
      <c r="F41" s="133">
        <f>H40/H39-1</f>
        <v>0.1504878784830499</v>
      </c>
      <c r="G41" s="53" t="s">
        <v>210</v>
      </c>
      <c r="H41" s="56">
        <v>90833.623999999996</v>
      </c>
      <c r="I41" s="64">
        <v>224646</v>
      </c>
      <c r="J41" s="60">
        <f t="shared" si="2"/>
        <v>0.40434115897901585</v>
      </c>
    </row>
    <row r="42" spans="3:15" ht="10.5" x14ac:dyDescent="0.55000000000000004">
      <c r="C42" s="55" t="s">
        <v>117</v>
      </c>
      <c r="D42" s="56">
        <v>59137</v>
      </c>
      <c r="G42" s="53" t="s">
        <v>211</v>
      </c>
      <c r="H42" s="56">
        <v>89400</v>
      </c>
      <c r="I42" s="64">
        <f>H42/J41</f>
        <v>221100.41981810614</v>
      </c>
      <c r="J42" s="60">
        <f t="shared" si="2"/>
        <v>0.40434115897901585</v>
      </c>
    </row>
    <row r="43" spans="3:15" x14ac:dyDescent="0.55000000000000004">
      <c r="C43" s="55" t="s">
        <v>118</v>
      </c>
      <c r="D43" s="56">
        <v>58841</v>
      </c>
      <c r="H43" s="140"/>
    </row>
    <row r="44" spans="3:15" x14ac:dyDescent="0.55000000000000004">
      <c r="C44" s="55" t="s">
        <v>119</v>
      </c>
      <c r="D44" s="56">
        <v>57512</v>
      </c>
      <c r="H44" s="79"/>
    </row>
    <row r="45" spans="3:15" x14ac:dyDescent="0.55000000000000004">
      <c r="C45" s="55" t="s">
        <v>120</v>
      </c>
      <c r="D45" s="56">
        <v>60857</v>
      </c>
      <c r="G45" s="135"/>
      <c r="H45" s="136" t="s">
        <v>305</v>
      </c>
      <c r="I45" s="135" t="s">
        <v>308</v>
      </c>
      <c r="J45" s="135" t="s">
        <v>306</v>
      </c>
      <c r="K45" s="135" t="s">
        <v>307</v>
      </c>
    </row>
    <row r="46" spans="3:15" x14ac:dyDescent="0.55000000000000004">
      <c r="C46" s="55" t="s">
        <v>121</v>
      </c>
      <c r="D46" s="56">
        <v>72451</v>
      </c>
      <c r="G46" s="135" t="s">
        <v>3</v>
      </c>
      <c r="H46" s="137">
        <f>H40/J39</f>
        <v>226671.42279448747</v>
      </c>
      <c r="I46" s="137">
        <f>H40/J36</f>
        <v>236324.45676548843</v>
      </c>
      <c r="J46" s="137">
        <f>$H$40/AVERAGE(J36:J39)</f>
        <v>242753.12623911654</v>
      </c>
      <c r="K46" s="137">
        <f>H40/AVERAGE(J20:J39)</f>
        <v>224712.39408351789</v>
      </c>
      <c r="L46" s="134"/>
      <c r="N46" s="159" t="s">
        <v>311</v>
      </c>
      <c r="O46" s="159"/>
    </row>
    <row r="47" spans="3:15" x14ac:dyDescent="0.55000000000000004">
      <c r="C47" s="55" t="s">
        <v>122</v>
      </c>
      <c r="D47" s="56">
        <v>79722</v>
      </c>
      <c r="G47" s="135"/>
      <c r="H47" s="136"/>
      <c r="I47" s="136"/>
      <c r="J47" s="135"/>
      <c r="K47" s="135"/>
      <c r="N47" s="53" cm="1">
        <f t="array" ref="N47:O47">LINEST(I3:I39,H3:H39)</f>
        <v>1.0765057458532896</v>
      </c>
      <c r="O47" s="53">
        <v>122254.42297029553</v>
      </c>
    </row>
    <row r="48" spans="3:15" x14ac:dyDescent="0.55000000000000004">
      <c r="C48" s="55" t="s">
        <v>123</v>
      </c>
      <c r="D48" s="56">
        <v>83449</v>
      </c>
      <c r="G48" s="135"/>
      <c r="H48" s="135"/>
      <c r="I48" s="135"/>
      <c r="J48" s="135" t="s">
        <v>157</v>
      </c>
      <c r="K48" s="138">
        <f>AVERAGE(H46:K46)</f>
        <v>232615.34997065261</v>
      </c>
    </row>
    <row r="49" spans="3:11" x14ac:dyDescent="0.55000000000000004">
      <c r="C49" s="55" t="s">
        <v>124</v>
      </c>
      <c r="D49" s="56">
        <v>91197</v>
      </c>
      <c r="G49" s="135"/>
      <c r="H49" s="135"/>
      <c r="I49" s="136"/>
      <c r="J49" s="135"/>
      <c r="K49" s="135"/>
    </row>
    <row r="50" spans="3:11" x14ac:dyDescent="0.55000000000000004">
      <c r="C50" s="55" t="s">
        <v>125</v>
      </c>
      <c r="D50" s="56">
        <v>89358</v>
      </c>
    </row>
    <row r="51" spans="3:11" x14ac:dyDescent="0.55000000000000004">
      <c r="C51" s="55" t="s">
        <v>126</v>
      </c>
      <c r="D51" s="56">
        <v>74831</v>
      </c>
    </row>
    <row r="52" spans="3:11" x14ac:dyDescent="0.55000000000000004">
      <c r="C52" s="55" t="s">
        <v>127</v>
      </c>
      <c r="D52" s="56">
        <v>77426</v>
      </c>
      <c r="I52" s="79"/>
    </row>
    <row r="53" spans="3:11" x14ac:dyDescent="0.55000000000000004">
      <c r="C53" s="55" t="s">
        <v>128</v>
      </c>
      <c r="D53" s="56">
        <v>76491</v>
      </c>
    </row>
    <row r="54" spans="3:11" x14ac:dyDescent="0.55000000000000004">
      <c r="C54" s="55" t="s">
        <v>129</v>
      </c>
      <c r="D54" s="56">
        <v>87163</v>
      </c>
    </row>
    <row r="55" spans="3:11" x14ac:dyDescent="0.55000000000000004">
      <c r="C55" s="55" t="s">
        <v>130</v>
      </c>
      <c r="D55" s="56">
        <v>83990</v>
      </c>
    </row>
    <row r="56" spans="3:11" x14ac:dyDescent="0.55000000000000004">
      <c r="C56" s="55" t="s">
        <v>131</v>
      </c>
      <c r="D56" s="56">
        <v>87328</v>
      </c>
    </row>
    <row r="57" spans="3:11" x14ac:dyDescent="0.55000000000000004">
      <c r="C57" s="55" t="s">
        <v>132</v>
      </c>
      <c r="D57" s="56">
        <v>79120</v>
      </c>
    </row>
    <row r="58" spans="3:11" x14ac:dyDescent="0.55000000000000004">
      <c r="C58" s="55" t="s">
        <v>133</v>
      </c>
      <c r="D58" s="56">
        <v>101544</v>
      </c>
    </row>
    <row r="59" spans="3:11" x14ac:dyDescent="0.55000000000000004">
      <c r="C59" s="55" t="s">
        <v>134</v>
      </c>
      <c r="D59" s="56">
        <v>90424</v>
      </c>
    </row>
    <row r="60" spans="3:11" x14ac:dyDescent="0.55000000000000004">
      <c r="C60" s="55" t="s">
        <v>135</v>
      </c>
      <c r="D60" s="56">
        <v>92331</v>
      </c>
    </row>
    <row r="61" spans="3:11" x14ac:dyDescent="0.55000000000000004">
      <c r="C61" s="55" t="s">
        <v>136</v>
      </c>
      <c r="D61" s="56">
        <v>91022</v>
      </c>
    </row>
    <row r="62" spans="3:11" x14ac:dyDescent="0.55000000000000004">
      <c r="C62" s="55" t="s">
        <v>137</v>
      </c>
      <c r="D62" s="56">
        <v>93763</v>
      </c>
    </row>
    <row r="63" spans="3:11" x14ac:dyDescent="0.55000000000000004">
      <c r="C63" s="55" t="s">
        <v>138</v>
      </c>
      <c r="D63" s="56">
        <v>90655</v>
      </c>
    </row>
    <row r="64" spans="3:11" x14ac:dyDescent="0.55000000000000004">
      <c r="C64" s="55" t="s">
        <v>139</v>
      </c>
      <c r="D64" s="56">
        <v>92087</v>
      </c>
    </row>
    <row r="65" spans="3:4" x14ac:dyDescent="0.55000000000000004">
      <c r="C65" s="55" t="s">
        <v>140</v>
      </c>
      <c r="D65" s="56">
        <v>87907</v>
      </c>
    </row>
    <row r="66" spans="3:4" x14ac:dyDescent="0.55000000000000004">
      <c r="C66" s="55" t="s">
        <v>141</v>
      </c>
      <c r="D66" s="56">
        <v>99557</v>
      </c>
    </row>
    <row r="67" spans="3:4" x14ac:dyDescent="0.55000000000000004">
      <c r="C67" s="55" t="s">
        <v>142</v>
      </c>
      <c r="D67" s="56">
        <v>99433</v>
      </c>
    </row>
    <row r="68" spans="3:4" x14ac:dyDescent="0.55000000000000004">
      <c r="C68" s="55" t="s">
        <v>143</v>
      </c>
      <c r="D68" s="56">
        <v>89984</v>
      </c>
    </row>
    <row r="69" spans="3:4" x14ac:dyDescent="0.55000000000000004">
      <c r="C69" s="55" t="s">
        <v>144</v>
      </c>
      <c r="D69" s="56">
        <v>93590</v>
      </c>
    </row>
    <row r="70" spans="3:4" x14ac:dyDescent="0.55000000000000004">
      <c r="C70" s="55" t="s">
        <v>145</v>
      </c>
      <c r="D70" s="56">
        <v>85310</v>
      </c>
    </row>
    <row r="71" spans="3:4" x14ac:dyDescent="0.55000000000000004">
      <c r="C71" s="55" t="s">
        <v>154</v>
      </c>
      <c r="D71" s="56">
        <v>84192</v>
      </c>
    </row>
    <row r="72" spans="3:4" x14ac:dyDescent="0.55000000000000004">
      <c r="C72" s="55" t="s">
        <v>159</v>
      </c>
      <c r="D72" s="56">
        <v>70196</v>
      </c>
    </row>
    <row r="73" spans="3:4" x14ac:dyDescent="0.55000000000000004">
      <c r="C73" s="53" t="s">
        <v>163</v>
      </c>
      <c r="D73" s="56">
        <f>H38</f>
        <v>60780</v>
      </c>
    </row>
    <row r="74" spans="3:4" x14ac:dyDescent="0.55000000000000004">
      <c r="C74" s="53" t="s">
        <v>212</v>
      </c>
      <c r="D74" s="56">
        <f>H39</f>
        <v>79528</v>
      </c>
    </row>
    <row r="75" spans="3:4" x14ac:dyDescent="0.55000000000000004">
      <c r="C75" s="53" t="s">
        <v>309</v>
      </c>
      <c r="D75" s="56">
        <f>H40</f>
        <v>91496</v>
      </c>
    </row>
    <row r="117" spans="7:10" x14ac:dyDescent="0.55000000000000004">
      <c r="G117" s="53" t="s">
        <v>7</v>
      </c>
      <c r="H117" s="53" t="s">
        <v>146</v>
      </c>
      <c r="I117" s="53" t="s">
        <v>3</v>
      </c>
      <c r="J117" s="53" t="s">
        <v>147</v>
      </c>
    </row>
    <row r="118" spans="7:10" x14ac:dyDescent="0.55000000000000004">
      <c r="G118" s="53" t="s">
        <v>15</v>
      </c>
      <c r="H118" s="56">
        <v>57029</v>
      </c>
      <c r="I118" s="56">
        <v>177450</v>
      </c>
      <c r="J118" s="53">
        <v>0.32138067061143982</v>
      </c>
    </row>
    <row r="119" spans="7:10" x14ac:dyDescent="0.55000000000000004">
      <c r="G119" s="53" t="s">
        <v>17</v>
      </c>
      <c r="H119" s="56">
        <v>54384</v>
      </c>
      <c r="I119" s="56">
        <v>177450</v>
      </c>
      <c r="J119" s="53">
        <v>0.30647506339814035</v>
      </c>
    </row>
    <row r="120" spans="7:10" x14ac:dyDescent="0.55000000000000004">
      <c r="G120" s="53" t="s">
        <v>19</v>
      </c>
      <c r="H120" s="56">
        <v>49072</v>
      </c>
      <c r="I120" s="56">
        <v>160878</v>
      </c>
      <c r="J120" s="53">
        <v>0.3050261688981713</v>
      </c>
    </row>
    <row r="121" spans="7:10" x14ac:dyDescent="0.55000000000000004">
      <c r="G121" s="53" t="s">
        <v>21</v>
      </c>
      <c r="H121" s="56">
        <v>55665</v>
      </c>
      <c r="I121" s="56">
        <v>189407</v>
      </c>
      <c r="J121" s="53">
        <v>0.29389093328124094</v>
      </c>
    </row>
    <row r="122" spans="7:10" x14ac:dyDescent="0.55000000000000004">
      <c r="G122" s="53" t="s">
        <v>23</v>
      </c>
      <c r="H122" s="56">
        <v>59137</v>
      </c>
      <c r="I122" s="56">
        <v>196476</v>
      </c>
      <c r="J122" s="53">
        <v>0.30098841588794562</v>
      </c>
    </row>
    <row r="123" spans="7:10" x14ac:dyDescent="0.55000000000000004">
      <c r="G123" s="53" t="s">
        <v>25</v>
      </c>
      <c r="H123" s="56">
        <v>58841</v>
      </c>
      <c r="I123" s="56">
        <v>190244</v>
      </c>
      <c r="J123" s="53">
        <v>0.30929227728601166</v>
      </c>
    </row>
    <row r="124" spans="7:10" x14ac:dyDescent="0.55000000000000004">
      <c r="G124" s="53" t="s">
        <v>27</v>
      </c>
      <c r="H124" s="56">
        <v>57512</v>
      </c>
      <c r="I124" s="56">
        <v>185394</v>
      </c>
      <c r="J124" s="53">
        <v>0.31021500156423615</v>
      </c>
    </row>
    <row r="125" spans="7:10" x14ac:dyDescent="0.55000000000000004">
      <c r="G125" s="53" t="s">
        <v>29</v>
      </c>
      <c r="H125" s="56">
        <v>60857</v>
      </c>
      <c r="I125" s="56">
        <v>196418</v>
      </c>
      <c r="J125" s="53">
        <v>0.30983412925495629</v>
      </c>
    </row>
    <row r="126" spans="7:10" x14ac:dyDescent="0.55000000000000004">
      <c r="G126" s="53" t="s">
        <v>31</v>
      </c>
      <c r="H126" s="56">
        <v>72451</v>
      </c>
      <c r="I126" s="56">
        <v>208900</v>
      </c>
      <c r="J126" s="53">
        <v>0.34682144566778361</v>
      </c>
    </row>
    <row r="127" spans="7:10" x14ac:dyDescent="0.55000000000000004">
      <c r="G127" s="53" t="s">
        <v>32</v>
      </c>
      <c r="H127" s="56">
        <v>79722</v>
      </c>
      <c r="I127" s="56">
        <v>208388</v>
      </c>
      <c r="J127" s="53">
        <v>0.38256521488761347</v>
      </c>
    </row>
    <row r="128" spans="7:10" x14ac:dyDescent="0.55000000000000004">
      <c r="G128" s="53" t="s">
        <v>33</v>
      </c>
      <c r="H128" s="56">
        <v>83449</v>
      </c>
      <c r="I128" s="56">
        <v>215574</v>
      </c>
      <c r="J128" s="53">
        <v>0.38710141297187972</v>
      </c>
    </row>
    <row r="129" spans="7:19" x14ac:dyDescent="0.55000000000000004">
      <c r="G129" s="53" t="s">
        <v>34</v>
      </c>
      <c r="H129" s="56">
        <v>91197</v>
      </c>
      <c r="I129" s="56">
        <v>225356</v>
      </c>
      <c r="J129" s="53">
        <v>0.40467970677505816</v>
      </c>
    </row>
    <row r="130" spans="7:19" x14ac:dyDescent="0.55000000000000004">
      <c r="G130" s="53" t="s">
        <v>37</v>
      </c>
      <c r="H130" s="56">
        <v>89358</v>
      </c>
      <c r="I130" s="56">
        <v>227013</v>
      </c>
      <c r="J130" s="53">
        <v>0.39362503468964333</v>
      </c>
    </row>
    <row r="131" spans="7:19" x14ac:dyDescent="0.55000000000000004">
      <c r="G131" s="53" t="s">
        <v>38</v>
      </c>
      <c r="H131" s="56">
        <v>74831</v>
      </c>
      <c r="I131" s="56">
        <v>207356</v>
      </c>
      <c r="J131" s="53">
        <v>0.3608817685526341</v>
      </c>
    </row>
    <row r="132" spans="7:19" x14ac:dyDescent="0.55000000000000004">
      <c r="G132" s="53" t="s">
        <v>39</v>
      </c>
      <c r="H132" s="56">
        <v>77426</v>
      </c>
      <c r="I132" s="56">
        <v>202674</v>
      </c>
      <c r="J132" s="53">
        <v>0.38202236103298892</v>
      </c>
    </row>
    <row r="133" spans="7:19" x14ac:dyDescent="0.55000000000000004">
      <c r="G133" s="53" t="s">
        <v>40</v>
      </c>
      <c r="H133" s="56">
        <v>76491</v>
      </c>
      <c r="I133" s="56">
        <v>202665</v>
      </c>
      <c r="J133" s="53">
        <v>0.37742580119902303</v>
      </c>
    </row>
    <row r="134" spans="7:19" x14ac:dyDescent="0.55000000000000004">
      <c r="G134" s="53" t="s">
        <v>41</v>
      </c>
      <c r="H134" s="56">
        <v>87163</v>
      </c>
      <c r="I134" s="56">
        <v>217546</v>
      </c>
      <c r="J134" s="53">
        <v>0.4006646870087246</v>
      </c>
    </row>
    <row r="135" spans="7:19" x14ac:dyDescent="0.55000000000000004">
      <c r="G135" s="53" t="s">
        <v>43</v>
      </c>
      <c r="H135" s="56">
        <v>83990</v>
      </c>
      <c r="I135" s="56">
        <v>213858</v>
      </c>
      <c r="J135" s="53">
        <v>0.39273723685810208</v>
      </c>
    </row>
    <row r="136" spans="7:19" x14ac:dyDescent="0.55000000000000004">
      <c r="G136" s="53" t="s">
        <v>44</v>
      </c>
      <c r="H136" s="56">
        <v>87328</v>
      </c>
      <c r="I136" s="56">
        <v>220865</v>
      </c>
      <c r="J136" s="53">
        <v>0.3953908496140176</v>
      </c>
    </row>
    <row r="137" spans="7:19" x14ac:dyDescent="0.55000000000000004">
      <c r="G137" s="53" t="s">
        <v>45</v>
      </c>
      <c r="H137" s="56">
        <v>79120</v>
      </c>
      <c r="I137" s="56">
        <v>210970</v>
      </c>
      <c r="J137" s="53">
        <v>0.37502962506517512</v>
      </c>
    </row>
    <row r="138" spans="7:19" x14ac:dyDescent="0.55000000000000004">
      <c r="G138" s="53" t="s">
        <v>46</v>
      </c>
      <c r="H138" s="56">
        <v>101544</v>
      </c>
      <c r="I138" s="56">
        <v>231309</v>
      </c>
      <c r="J138" s="53">
        <v>0.43899718558292156</v>
      </c>
    </row>
    <row r="139" spans="7:19" x14ac:dyDescent="0.55000000000000004">
      <c r="G139" s="53" t="s">
        <v>47</v>
      </c>
      <c r="H139" s="56">
        <v>90424</v>
      </c>
      <c r="I139" s="56">
        <v>213313</v>
      </c>
      <c r="J139" s="53">
        <v>0.42390290324546559</v>
      </c>
    </row>
    <row r="140" spans="7:19" x14ac:dyDescent="0.55000000000000004">
      <c r="G140" s="53" t="s">
        <v>48</v>
      </c>
      <c r="H140" s="56">
        <v>92331</v>
      </c>
      <c r="I140" s="56">
        <v>228895</v>
      </c>
      <c r="J140" s="53">
        <v>0.40337709430088031</v>
      </c>
    </row>
    <row r="141" spans="7:19" x14ac:dyDescent="0.55000000000000004">
      <c r="G141" s="53" t="s">
        <v>49</v>
      </c>
      <c r="H141" s="56">
        <v>91022</v>
      </c>
      <c r="I141" s="56">
        <v>231080</v>
      </c>
      <c r="J141" s="53">
        <v>0.39389821706768219</v>
      </c>
    </row>
    <row r="142" spans="7:19" x14ac:dyDescent="0.55000000000000004">
      <c r="G142" s="53" t="s">
        <v>50</v>
      </c>
      <c r="H142" s="56">
        <v>93763</v>
      </c>
      <c r="I142" s="56">
        <v>230806</v>
      </c>
      <c r="J142" s="53">
        <v>0.40624160550418964</v>
      </c>
    </row>
    <row r="143" spans="7:19" x14ac:dyDescent="0.55000000000000004">
      <c r="G143" s="53" t="s">
        <v>51</v>
      </c>
      <c r="H143" s="56">
        <v>90655</v>
      </c>
      <c r="I143" s="56">
        <v>222028</v>
      </c>
      <c r="J143" s="53">
        <v>0.4083043580088998</v>
      </c>
    </row>
    <row r="144" spans="7:19" x14ac:dyDescent="0.55000000000000004">
      <c r="G144" s="53" t="s">
        <v>53</v>
      </c>
      <c r="H144" s="56">
        <v>92087</v>
      </c>
      <c r="I144" s="56">
        <v>213977</v>
      </c>
      <c r="J144" s="53">
        <v>0.43035933768582607</v>
      </c>
      <c r="P144" s="159" t="s">
        <v>177</v>
      </c>
      <c r="Q144" s="159"/>
      <c r="R144" s="159"/>
      <c r="S144" s="159"/>
    </row>
    <row r="145" spans="7:19" x14ac:dyDescent="0.55000000000000004">
      <c r="G145" s="53" t="s">
        <v>54</v>
      </c>
      <c r="H145" s="56">
        <v>87907</v>
      </c>
      <c r="I145" s="56">
        <v>211468</v>
      </c>
      <c r="J145" s="53">
        <v>0.41569882913726902</v>
      </c>
      <c r="P145" s="86" t="s">
        <v>7</v>
      </c>
      <c r="Q145" s="86" t="s">
        <v>174</v>
      </c>
      <c r="R145" s="86" t="s">
        <v>175</v>
      </c>
      <c r="S145" s="86" t="s">
        <v>176</v>
      </c>
    </row>
    <row r="146" spans="7:19" x14ac:dyDescent="0.55000000000000004">
      <c r="G146" s="53" t="s">
        <v>55</v>
      </c>
      <c r="H146" s="56">
        <v>99557</v>
      </c>
      <c r="I146" s="56">
        <v>211202</v>
      </c>
      <c r="J146" s="53">
        <v>0.47138284675334513</v>
      </c>
      <c r="L146" s="53" t="s">
        <v>55</v>
      </c>
      <c r="M146" s="56">
        <v>99557</v>
      </c>
      <c r="N146" s="56">
        <v>211202</v>
      </c>
      <c r="P146" s="53" t="s">
        <v>55</v>
      </c>
      <c r="Q146" s="56">
        <v>211202</v>
      </c>
      <c r="R146" s="56">
        <v>211202</v>
      </c>
      <c r="S146" s="56">
        <f>R146-Q146</f>
        <v>0</v>
      </c>
    </row>
    <row r="147" spans="7:19" x14ac:dyDescent="0.55000000000000004">
      <c r="G147" s="53" t="s">
        <v>56</v>
      </c>
      <c r="H147" s="56">
        <v>99433</v>
      </c>
      <c r="I147" s="56">
        <v>221530</v>
      </c>
      <c r="J147" s="53">
        <v>0.44884665733760665</v>
      </c>
      <c r="L147" s="53" t="s">
        <v>56</v>
      </c>
      <c r="M147" s="56">
        <v>99433</v>
      </c>
      <c r="N147" s="56">
        <v>225562</v>
      </c>
      <c r="P147" s="53" t="s">
        <v>56</v>
      </c>
      <c r="Q147" s="56">
        <v>221530</v>
      </c>
      <c r="R147" s="56">
        <v>225562</v>
      </c>
      <c r="S147" s="56">
        <f t="shared" ref="S147:S152" si="3">R147-Q147</f>
        <v>4032</v>
      </c>
    </row>
    <row r="148" spans="7:19" x14ac:dyDescent="0.55000000000000004">
      <c r="G148" s="53" t="s">
        <v>57</v>
      </c>
      <c r="H148" s="56">
        <v>89984</v>
      </c>
      <c r="I148" s="56">
        <v>210968</v>
      </c>
      <c r="J148" s="53">
        <v>0.42652914186037694</v>
      </c>
      <c r="L148" s="53" t="s">
        <v>57</v>
      </c>
      <c r="M148" s="56">
        <v>89984</v>
      </c>
      <c r="N148" s="56">
        <v>215528</v>
      </c>
      <c r="P148" s="53" t="s">
        <v>57</v>
      </c>
      <c r="Q148" s="56">
        <v>210968</v>
      </c>
      <c r="R148" s="56">
        <v>215528</v>
      </c>
      <c r="S148" s="56">
        <f t="shared" si="3"/>
        <v>4560</v>
      </c>
    </row>
    <row r="149" spans="7:19" x14ac:dyDescent="0.55000000000000004">
      <c r="G149" s="53" t="s">
        <v>58</v>
      </c>
      <c r="H149" s="56">
        <v>93878</v>
      </c>
      <c r="I149" s="56">
        <v>216998</v>
      </c>
      <c r="J149" s="53">
        <v>0.43262149881565731</v>
      </c>
      <c r="L149" s="53" t="s">
        <v>58</v>
      </c>
      <c r="M149" s="56">
        <v>93878</v>
      </c>
      <c r="N149" s="56">
        <v>221205</v>
      </c>
      <c r="P149" s="53" t="s">
        <v>58</v>
      </c>
      <c r="Q149" s="56">
        <v>216998</v>
      </c>
      <c r="R149" s="56">
        <v>221205</v>
      </c>
      <c r="S149" s="56">
        <f t="shared" si="3"/>
        <v>4207</v>
      </c>
    </row>
    <row r="150" spans="7:19" x14ac:dyDescent="0.55000000000000004">
      <c r="G150" s="53" t="s">
        <v>73</v>
      </c>
      <c r="H150" s="56">
        <v>85310</v>
      </c>
      <c r="I150" s="56">
        <v>210111</v>
      </c>
      <c r="J150" s="53">
        <v>0.40602348282574446</v>
      </c>
      <c r="L150" s="53" t="s">
        <v>73</v>
      </c>
      <c r="M150" s="56">
        <v>85310</v>
      </c>
      <c r="N150" s="56">
        <v>214505</v>
      </c>
      <c r="P150" s="53" t="s">
        <v>73</v>
      </c>
      <c r="Q150" s="56">
        <v>210111</v>
      </c>
      <c r="R150" s="56">
        <v>214505</v>
      </c>
      <c r="S150" s="56">
        <f t="shared" si="3"/>
        <v>4394</v>
      </c>
    </row>
    <row r="151" spans="7:19" x14ac:dyDescent="0.55000000000000004">
      <c r="G151" s="53" t="s">
        <v>151</v>
      </c>
      <c r="H151" s="56">
        <v>84192</v>
      </c>
      <c r="I151" s="56">
        <v>213898</v>
      </c>
      <c r="J151" s="53">
        <v>0.393608168379321</v>
      </c>
      <c r="L151" s="53" t="s">
        <v>151</v>
      </c>
      <c r="M151" s="56">
        <v>84192</v>
      </c>
      <c r="N151" s="56">
        <v>217459</v>
      </c>
      <c r="P151" s="53" t="s">
        <v>151</v>
      </c>
      <c r="Q151" s="56">
        <v>213898</v>
      </c>
      <c r="R151" s="56">
        <v>217459</v>
      </c>
      <c r="S151" s="56">
        <f t="shared" si="3"/>
        <v>3561</v>
      </c>
    </row>
    <row r="152" spans="7:19" x14ac:dyDescent="0.55000000000000004">
      <c r="G152" s="53" t="s">
        <v>160</v>
      </c>
      <c r="H152" s="56">
        <v>70196</v>
      </c>
      <c r="I152" s="56">
        <v>176644</v>
      </c>
      <c r="J152" s="53">
        <v>0.39738683453726137</v>
      </c>
      <c r="L152" s="53" t="s">
        <v>160</v>
      </c>
      <c r="M152" s="56">
        <v>70196</v>
      </c>
      <c r="N152" s="56">
        <v>182118</v>
      </c>
      <c r="P152" s="53" t="s">
        <v>160</v>
      </c>
      <c r="Q152" s="56">
        <v>176644</v>
      </c>
      <c r="R152" s="56">
        <v>182118</v>
      </c>
      <c r="S152" s="56">
        <f t="shared" si="3"/>
        <v>5474</v>
      </c>
    </row>
    <row r="153" spans="7:19" x14ac:dyDescent="0.55000000000000004">
      <c r="G153" s="53" t="s">
        <v>162</v>
      </c>
      <c r="H153" s="56">
        <v>60780</v>
      </c>
      <c r="I153" s="56">
        <v>170485.17697162234</v>
      </c>
      <c r="J153" s="53">
        <v>0.35651193305865514</v>
      </c>
      <c r="L153" s="53" t="s">
        <v>162</v>
      </c>
      <c r="M153" s="56">
        <v>60780</v>
      </c>
      <c r="N153" s="56">
        <v>183413</v>
      </c>
      <c r="P153" s="53" t="s">
        <v>162</v>
      </c>
      <c r="Q153" s="56"/>
      <c r="R153" s="56">
        <v>183413</v>
      </c>
      <c r="S153" s="56"/>
    </row>
  </sheetData>
  <mergeCells count="3">
    <mergeCell ref="T5:W5"/>
    <mergeCell ref="P144:S144"/>
    <mergeCell ref="N46:O46"/>
  </mergeCells>
  <conditionalFormatting sqref="H3:H42">
    <cfRule type="colorScale" priority="1">
      <colorScale>
        <cfvo type="min"/>
        <cfvo type="max"/>
        <color rgb="FFFCFCFF"/>
        <color rgb="FF63BE7B"/>
      </colorScale>
    </cfRule>
  </conditionalFormatting>
  <conditionalFormatting sqref="J3:J42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9CDA-3663-4B9E-83F4-49B5AB249335}">
  <sheetPr codeName="Sheet15"/>
  <dimension ref="B6:O83"/>
  <sheetViews>
    <sheetView zoomScale="85" zoomScaleNormal="85" workbookViewId="0">
      <selection activeCell="B3" sqref="B3"/>
    </sheetView>
  </sheetViews>
  <sheetFormatPr defaultColWidth="8.83984375" defaultRowHeight="14.4" x14ac:dyDescent="0.55000000000000004"/>
  <cols>
    <col min="1" max="16384" width="8.83984375" style="29"/>
  </cols>
  <sheetData>
    <row r="6" spans="3:15" x14ac:dyDescent="0.55000000000000004">
      <c r="C6" s="29" t="s">
        <v>205</v>
      </c>
      <c r="D6" s="29" t="s">
        <v>188</v>
      </c>
      <c r="E6" s="29" t="s">
        <v>189</v>
      </c>
      <c r="F6" s="29" t="s">
        <v>190</v>
      </c>
      <c r="G6" s="29" t="s">
        <v>191</v>
      </c>
      <c r="H6" s="29" t="s">
        <v>192</v>
      </c>
      <c r="I6" s="29" t="s">
        <v>193</v>
      </c>
      <c r="J6" s="29" t="s">
        <v>194</v>
      </c>
      <c r="K6" s="29" t="s">
        <v>195</v>
      </c>
      <c r="L6" s="29" t="s">
        <v>196</v>
      </c>
      <c r="M6" s="29" t="s">
        <v>197</v>
      </c>
      <c r="N6" s="29" t="s">
        <v>198</v>
      </c>
      <c r="O6" s="29" t="s">
        <v>199</v>
      </c>
    </row>
    <row r="7" spans="3:15" x14ac:dyDescent="0.55000000000000004">
      <c r="C7" s="29" t="s">
        <v>200</v>
      </c>
      <c r="D7" s="29">
        <v>64608.321680000008</v>
      </c>
      <c r="E7" s="29">
        <v>70144.561620000037</v>
      </c>
      <c r="F7" s="29">
        <v>71966.927299999996</v>
      </c>
      <c r="G7" s="29">
        <v>65491.562459999994</v>
      </c>
      <c r="H7" s="29">
        <v>70839.163320000021</v>
      </c>
      <c r="I7" s="29">
        <v>75939.138300000021</v>
      </c>
      <c r="J7" s="29">
        <v>74901.661019999985</v>
      </c>
      <c r="K7" s="29">
        <v>68486.254520000017</v>
      </c>
      <c r="L7" s="29">
        <v>77818.680720000018</v>
      </c>
      <c r="M7" s="29">
        <v>60954.578869999998</v>
      </c>
      <c r="N7" s="29">
        <v>74513.378031200031</v>
      </c>
      <c r="O7" s="29">
        <v>83207.791159999993</v>
      </c>
    </row>
    <row r="8" spans="3:15" x14ac:dyDescent="0.55000000000000004">
      <c r="C8" s="29" t="s">
        <v>201</v>
      </c>
      <c r="D8" s="29">
        <v>81667.022315999988</v>
      </c>
      <c r="E8" s="29">
        <v>72727.012679999927</v>
      </c>
      <c r="F8" s="29">
        <v>78745.965919999959</v>
      </c>
      <c r="G8" s="29">
        <v>64829.123589600007</v>
      </c>
      <c r="H8" s="29">
        <v>67295.725705400007</v>
      </c>
      <c r="I8" s="29">
        <v>75050.721705200005</v>
      </c>
      <c r="J8" s="29">
        <v>68934.506449599983</v>
      </c>
      <c r="K8" s="29">
        <v>68274.253935600005</v>
      </c>
      <c r="L8" s="29">
        <v>86296.825665399971</v>
      </c>
      <c r="M8" s="29">
        <v>55551.872674399994</v>
      </c>
      <c r="N8" s="29">
        <v>75313.845152600043</v>
      </c>
      <c r="O8" s="29">
        <v>80594.583258599989</v>
      </c>
    </row>
    <row r="9" spans="3:15" x14ac:dyDescent="0.55000000000000004">
      <c r="C9" s="29" t="s">
        <v>16</v>
      </c>
      <c r="D9" s="29">
        <v>75342.817216000025</v>
      </c>
      <c r="E9" s="29">
        <v>88270.892697800038</v>
      </c>
      <c r="F9" s="29">
        <v>67195.462089200038</v>
      </c>
      <c r="G9" s="29">
        <v>70469.737330800039</v>
      </c>
      <c r="H9" s="29">
        <v>73927.778786999988</v>
      </c>
      <c r="I9" s="29">
        <v>84784.262299800059</v>
      </c>
      <c r="J9" s="29">
        <v>67185.086374000006</v>
      </c>
      <c r="K9" s="29">
        <v>75678.81406179996</v>
      </c>
      <c r="L9" s="29">
        <v>70818.298859000002</v>
      </c>
      <c r="M9" s="29">
        <v>76801.756205199999</v>
      </c>
      <c r="N9" s="29">
        <v>76522.789315199989</v>
      </c>
      <c r="O9" s="29">
        <v>78967.244780000023</v>
      </c>
    </row>
    <row r="10" spans="3:15" x14ac:dyDescent="0.55000000000000004">
      <c r="C10" s="29" t="s">
        <v>18</v>
      </c>
      <c r="D10" s="29">
        <v>93729.74281120002</v>
      </c>
      <c r="E10" s="29">
        <v>84582.843400800004</v>
      </c>
      <c r="F10" s="29">
        <v>70305.858929199996</v>
      </c>
      <c r="G10" s="29">
        <v>81183.349914000049</v>
      </c>
      <c r="H10" s="29">
        <v>85335.57809000001</v>
      </c>
      <c r="I10" s="29">
        <v>92207.838168199931</v>
      </c>
      <c r="J10" s="29">
        <v>74624.805720999982</v>
      </c>
      <c r="K10" s="29">
        <v>87341.294149999972</v>
      </c>
      <c r="L10" s="29">
        <v>85467.904895</v>
      </c>
      <c r="M10" s="29">
        <v>87638.697455000016</v>
      </c>
      <c r="N10" s="29">
        <v>84078.626365000033</v>
      </c>
      <c r="O10" s="29">
        <v>88656.113128199984</v>
      </c>
    </row>
    <row r="11" spans="3:15" x14ac:dyDescent="0.55000000000000004">
      <c r="C11" s="29" t="s">
        <v>20</v>
      </c>
      <c r="D11" s="29">
        <v>88410.229389999949</v>
      </c>
      <c r="E11" s="29">
        <v>83177.101489999986</v>
      </c>
      <c r="F11" s="29">
        <v>83552.260994000011</v>
      </c>
      <c r="G11" s="29">
        <v>81167.069615000015</v>
      </c>
      <c r="H11" s="29">
        <v>81037.19365000003</v>
      </c>
      <c r="I11" s="29">
        <v>88896.328764999998</v>
      </c>
      <c r="J11" s="29">
        <v>87489.257165000032</v>
      </c>
      <c r="K11" s="29">
        <v>111392.15154400001</v>
      </c>
      <c r="L11" s="29">
        <v>82824.503730999975</v>
      </c>
      <c r="M11" s="29">
        <v>92421.799656000032</v>
      </c>
      <c r="N11" s="29">
        <v>105203.68916860002</v>
      </c>
      <c r="O11" s="29">
        <v>92741.846740000023</v>
      </c>
    </row>
    <row r="12" spans="3:15" x14ac:dyDescent="0.55000000000000004">
      <c r="C12" s="29" t="s">
        <v>22</v>
      </c>
      <c r="D12" s="29">
        <v>94787.575458000007</v>
      </c>
      <c r="E12" s="29">
        <v>93323.486455000093</v>
      </c>
      <c r="F12" s="29">
        <v>90120.746081000005</v>
      </c>
      <c r="G12" s="29">
        <v>89489.633200000011</v>
      </c>
      <c r="H12" s="29">
        <v>95988.198218999969</v>
      </c>
      <c r="I12" s="29">
        <v>93246.493363400034</v>
      </c>
      <c r="J12" s="29">
        <v>88475.368643399983</v>
      </c>
      <c r="K12" s="29">
        <v>93475.890474799977</v>
      </c>
      <c r="L12" s="29">
        <v>81526.67576379994</v>
      </c>
      <c r="M12" s="29">
        <v>83409.486810599992</v>
      </c>
      <c r="N12" s="29">
        <v>85501.79929699999</v>
      </c>
      <c r="O12" s="29">
        <v>86268.375433200024</v>
      </c>
    </row>
    <row r="13" spans="3:15" x14ac:dyDescent="0.55000000000000004">
      <c r="C13" s="29" t="s">
        <v>24</v>
      </c>
      <c r="D13" s="29">
        <v>93928.123794600077</v>
      </c>
      <c r="E13" s="29">
        <v>83102.454970000021</v>
      </c>
      <c r="F13" s="29">
        <v>103816.22137500004</v>
      </c>
      <c r="G13" s="29">
        <v>81628.317687999937</v>
      </c>
      <c r="H13" s="29">
        <v>87338.091462000011</v>
      </c>
      <c r="I13" s="29">
        <v>95952.86076999997</v>
      </c>
      <c r="J13" s="29">
        <v>92652.964767200028</v>
      </c>
      <c r="K13" s="29">
        <v>79667.649100000024</v>
      </c>
      <c r="L13" s="29">
        <v>90382.806010000015</v>
      </c>
      <c r="M13" s="29">
        <v>94406.106074800089</v>
      </c>
      <c r="N13" s="29">
        <v>93316.527870000005</v>
      </c>
      <c r="O13" s="29">
        <v>94474.669923000038</v>
      </c>
    </row>
    <row r="14" spans="3:15" x14ac:dyDescent="0.55000000000000004">
      <c r="C14" s="29" t="s">
        <v>26</v>
      </c>
      <c r="D14" s="29">
        <v>88550.146674400021</v>
      </c>
      <c r="E14" s="29">
        <v>115568.05073000002</v>
      </c>
      <c r="F14" s="29">
        <v>94655.871416000053</v>
      </c>
      <c r="G14" s="29">
        <v>86205.288808000056</v>
      </c>
      <c r="H14" s="29">
        <v>90661.478112000041</v>
      </c>
      <c r="I14" s="29">
        <v>96441.383382000029</v>
      </c>
      <c r="J14" s="29">
        <v>96793.749894000051</v>
      </c>
      <c r="K14" s="29">
        <v>88253.255590000001</v>
      </c>
      <c r="L14" s="29">
        <v>116583.51987999998</v>
      </c>
      <c r="M14" s="29">
        <v>100111.67813999995</v>
      </c>
      <c r="N14" s="29">
        <v>95649.635136999976</v>
      </c>
      <c r="O14" s="29">
        <v>98404.688167000044</v>
      </c>
    </row>
    <row r="15" spans="3:15" x14ac:dyDescent="0.55000000000000004">
      <c r="C15" s="29" t="s">
        <v>28</v>
      </c>
      <c r="D15" s="29">
        <v>96279.377168999985</v>
      </c>
      <c r="E15" s="29">
        <v>101122.44209200003</v>
      </c>
      <c r="F15" s="29">
        <v>104254.501019</v>
      </c>
      <c r="G15" s="29">
        <v>86793.142108799992</v>
      </c>
      <c r="H15" s="29">
        <v>96576.558363999982</v>
      </c>
      <c r="I15" s="29">
        <v>102709.74060900006</v>
      </c>
      <c r="J15" s="29">
        <v>78962.996765000018</v>
      </c>
      <c r="K15" s="29">
        <v>105359.43900700001</v>
      </c>
      <c r="L15" s="29">
        <v>98990.011987999998</v>
      </c>
      <c r="M15" s="29">
        <v>88021.426421199954</v>
      </c>
      <c r="N15" s="29">
        <v>94123.42087700007</v>
      </c>
      <c r="O15" s="29">
        <v>97207.171405999936</v>
      </c>
    </row>
    <row r="16" spans="3:15" x14ac:dyDescent="0.55000000000000004">
      <c r="C16" s="29" t="s">
        <v>30</v>
      </c>
      <c r="D16" s="29">
        <v>94870.764017999958</v>
      </c>
      <c r="E16" s="29">
        <v>98658.696412000005</v>
      </c>
      <c r="F16" s="29">
        <v>95069.044268999976</v>
      </c>
      <c r="G16" s="29">
        <v>90029.939500999986</v>
      </c>
      <c r="H16" s="29">
        <v>96057.115120999995</v>
      </c>
      <c r="I16" s="29">
        <v>99825.043126600038</v>
      </c>
      <c r="J16" s="29">
        <v>82017.715908200014</v>
      </c>
      <c r="K16" s="29">
        <v>94743.880468000032</v>
      </c>
      <c r="L16" s="29">
        <v>79441.404633199956</v>
      </c>
      <c r="M16" s="29">
        <v>98647.99181800001</v>
      </c>
      <c r="N16" s="29">
        <v>95940.249634000065</v>
      </c>
      <c r="O16" s="29">
        <v>115351.78321059994</v>
      </c>
    </row>
    <row r="17" spans="2:15" x14ac:dyDescent="0.55000000000000004">
      <c r="C17" s="29" t="s">
        <v>74</v>
      </c>
      <c r="D17" s="29">
        <v>168072.26321400001</v>
      </c>
      <c r="E17" s="29">
        <v>146864.17783239987</v>
      </c>
      <c r="F17" s="29">
        <v>205486.97634600001</v>
      </c>
      <c r="G17" s="29">
        <v>148322.74004619991</v>
      </c>
      <c r="H17" s="29">
        <v>187603.44017800008</v>
      </c>
      <c r="I17" s="29">
        <v>160316.25990640002</v>
      </c>
      <c r="J17" s="29">
        <v>195420.2799348</v>
      </c>
      <c r="K17" s="29">
        <v>170361.42113540001</v>
      </c>
      <c r="L17" s="29">
        <v>146590.23827700008</v>
      </c>
      <c r="M17" s="29">
        <v>180169.52385700002</v>
      </c>
      <c r="N17" s="29">
        <v>155837.11499499998</v>
      </c>
      <c r="O17" s="29">
        <v>157879.29483300002</v>
      </c>
    </row>
    <row r="18" spans="2:15" x14ac:dyDescent="0.55000000000000004">
      <c r="C18" s="29" t="s">
        <v>165</v>
      </c>
      <c r="D18" s="29">
        <v>135839.39407499999</v>
      </c>
      <c r="E18" s="29">
        <v>175605.44584760003</v>
      </c>
      <c r="F18" s="29">
        <v>175605.44584760003</v>
      </c>
      <c r="G18" s="29" t="s">
        <v>202</v>
      </c>
      <c r="H18" s="29" t="s">
        <v>202</v>
      </c>
      <c r="I18" s="29" t="s">
        <v>202</v>
      </c>
      <c r="J18" s="29" t="s">
        <v>202</v>
      </c>
      <c r="K18" s="29" t="s">
        <v>202</v>
      </c>
      <c r="L18" s="29" t="s">
        <v>202</v>
      </c>
      <c r="M18" s="29" t="s">
        <v>202</v>
      </c>
      <c r="N18" s="29" t="s">
        <v>202</v>
      </c>
      <c r="O18" s="29" t="s">
        <v>202</v>
      </c>
    </row>
    <row r="21" spans="2:15" x14ac:dyDescent="0.55000000000000004">
      <c r="C21" s="91" t="s">
        <v>203</v>
      </c>
      <c r="D21" s="29">
        <v>1</v>
      </c>
      <c r="E21" s="29">
        <v>2</v>
      </c>
      <c r="F21" s="29">
        <v>3</v>
      </c>
      <c r="G21" s="29">
        <v>4</v>
      </c>
      <c r="K21" s="91" t="s">
        <v>203</v>
      </c>
      <c r="L21" s="29">
        <v>1</v>
      </c>
      <c r="M21" s="29">
        <v>2</v>
      </c>
      <c r="N21" s="29">
        <v>3</v>
      </c>
      <c r="O21" s="29">
        <v>4</v>
      </c>
    </row>
    <row r="22" spans="2:15" x14ac:dyDescent="0.55000000000000004">
      <c r="B22" s="29" t="str">
        <f>C7</f>
        <v>14/15</v>
      </c>
      <c r="C22" s="29">
        <v>1</v>
      </c>
      <c r="D22" s="29">
        <f>SUM(D7:F7)</f>
        <v>206719.81060000003</v>
      </c>
      <c r="E22" s="29">
        <f>SUM(G7:I7)</f>
        <v>212269.86408000003</v>
      </c>
      <c r="F22" s="29">
        <f>SUM(J7:L7)</f>
        <v>221206.59626000002</v>
      </c>
      <c r="G22" s="29">
        <f>SUM(M7:O7)</f>
        <v>218675.74806120002</v>
      </c>
      <c r="J22" s="29" t="s">
        <v>200</v>
      </c>
      <c r="K22" s="29">
        <v>1</v>
      </c>
    </row>
    <row r="23" spans="2:15" x14ac:dyDescent="0.55000000000000004">
      <c r="B23" s="29" t="str">
        <f t="shared" ref="B23:B33" si="0">C8</f>
        <v>15/16</v>
      </c>
      <c r="C23" s="29">
        <v>2</v>
      </c>
      <c r="D23" s="29">
        <f t="shared" ref="D23:D33" si="1">SUM(D8:F8)</f>
        <v>233140.00091599987</v>
      </c>
      <c r="E23" s="29">
        <f t="shared" ref="E23:E32" si="2">SUM(G8:I8)</f>
        <v>207175.57100020003</v>
      </c>
      <c r="F23" s="29">
        <f t="shared" ref="F23:F32" si="3">SUM(J8:L8)</f>
        <v>223505.58605059993</v>
      </c>
      <c r="G23" s="29">
        <f t="shared" ref="G23:G32" si="4">SUM(M8:O8)</f>
        <v>211460.30108560005</v>
      </c>
      <c r="J23" s="29" t="s">
        <v>201</v>
      </c>
      <c r="K23" s="29">
        <v>2</v>
      </c>
      <c r="L23" s="68">
        <f>D23/D22-1</f>
        <v>0.12780676529896096</v>
      </c>
      <c r="M23" s="68">
        <f t="shared" ref="M23:O32" si="5">E23/E22-1</f>
        <v>-2.3999134789477572E-2</v>
      </c>
      <c r="N23" s="68">
        <f t="shared" si="5"/>
        <v>1.0392953146377781E-2</v>
      </c>
      <c r="O23" s="68">
        <f t="shared" si="5"/>
        <v>-3.2996100571612619E-2</v>
      </c>
    </row>
    <row r="24" spans="2:15" x14ac:dyDescent="0.55000000000000004">
      <c r="B24" s="29" t="str">
        <f t="shared" si="0"/>
        <v>16/17</v>
      </c>
      <c r="C24" s="29">
        <v>3</v>
      </c>
      <c r="D24" s="29">
        <f t="shared" si="1"/>
        <v>230809.1720030001</v>
      </c>
      <c r="E24" s="29">
        <f t="shared" si="2"/>
        <v>229181.77841760009</v>
      </c>
      <c r="F24" s="29">
        <f t="shared" si="3"/>
        <v>213682.19929479997</v>
      </c>
      <c r="G24" s="29">
        <f t="shared" si="4"/>
        <v>232291.7903004</v>
      </c>
      <c r="J24" s="29" t="s">
        <v>16</v>
      </c>
      <c r="K24" s="29">
        <v>3</v>
      </c>
      <c r="L24" s="68">
        <f t="shared" ref="L24:L33" si="6">D24/D23-1</f>
        <v>-9.9975504153814176E-3</v>
      </c>
      <c r="M24" s="68">
        <f t="shared" si="5"/>
        <v>0.10622008816560147</v>
      </c>
      <c r="N24" s="68">
        <f t="shared" si="5"/>
        <v>-4.3951414948421141E-2</v>
      </c>
      <c r="O24" s="68">
        <f t="shared" si="5"/>
        <v>9.8512529812237792E-2</v>
      </c>
    </row>
    <row r="25" spans="2:15" x14ac:dyDescent="0.55000000000000004">
      <c r="B25" s="29" t="str">
        <f t="shared" si="0"/>
        <v>17/18</v>
      </c>
      <c r="C25" s="29">
        <v>4</v>
      </c>
      <c r="D25" s="29">
        <f t="shared" si="1"/>
        <v>248618.44514120003</v>
      </c>
      <c r="E25" s="29">
        <f t="shared" si="2"/>
        <v>258726.76617219998</v>
      </c>
      <c r="F25" s="29">
        <f t="shared" si="3"/>
        <v>247434.00476599997</v>
      </c>
      <c r="G25" s="29">
        <f t="shared" si="4"/>
        <v>260373.43694820005</v>
      </c>
      <c r="J25" s="29" t="s">
        <v>18</v>
      </c>
      <c r="K25" s="29">
        <v>4</v>
      </c>
      <c r="L25" s="68">
        <f t="shared" si="6"/>
        <v>7.716016215321142E-2</v>
      </c>
      <c r="M25" s="68">
        <f t="shared" si="5"/>
        <v>0.12891508198686252</v>
      </c>
      <c r="N25" s="68">
        <f t="shared" si="5"/>
        <v>0.15795328568588607</v>
      </c>
      <c r="O25" s="68">
        <f t="shared" si="5"/>
        <v>0.12088953557714999</v>
      </c>
    </row>
    <row r="26" spans="2:15" x14ac:dyDescent="0.55000000000000004">
      <c r="B26" s="29" t="str">
        <f t="shared" si="0"/>
        <v>18/19</v>
      </c>
      <c r="C26" s="29">
        <v>5</v>
      </c>
      <c r="D26" s="29">
        <f t="shared" si="1"/>
        <v>255139.59187399995</v>
      </c>
      <c r="E26" s="29">
        <f t="shared" si="2"/>
        <v>251100.59203000006</v>
      </c>
      <c r="F26" s="29">
        <f t="shared" si="3"/>
        <v>281705.91243999999</v>
      </c>
      <c r="G26" s="29">
        <f t="shared" si="4"/>
        <v>290367.33556460007</v>
      </c>
      <c r="J26" s="29" t="s">
        <v>20</v>
      </c>
      <c r="K26" s="29">
        <v>5</v>
      </c>
      <c r="L26" s="68">
        <f t="shared" si="6"/>
        <v>2.6229537108947376E-2</v>
      </c>
      <c r="M26" s="68">
        <f t="shared" si="5"/>
        <v>-2.9475783487836749E-2</v>
      </c>
      <c r="N26" s="68">
        <f t="shared" si="5"/>
        <v>0.1385092873811391</v>
      </c>
      <c r="O26" s="68">
        <f t="shared" si="5"/>
        <v>0.11519569341617264</v>
      </c>
    </row>
    <row r="27" spans="2:15" x14ac:dyDescent="0.55000000000000004">
      <c r="B27" s="29" t="str">
        <f t="shared" si="0"/>
        <v>19/20</v>
      </c>
      <c r="C27" s="29">
        <v>6</v>
      </c>
      <c r="D27" s="29">
        <f t="shared" si="1"/>
        <v>278231.80799400009</v>
      </c>
      <c r="E27" s="29">
        <f t="shared" si="2"/>
        <v>278724.32478240004</v>
      </c>
      <c r="F27" s="29">
        <f t="shared" si="3"/>
        <v>263477.93488199991</v>
      </c>
      <c r="G27" s="29">
        <f t="shared" si="4"/>
        <v>255179.66154080001</v>
      </c>
      <c r="J27" s="29" t="s">
        <v>22</v>
      </c>
      <c r="K27" s="29">
        <v>6</v>
      </c>
      <c r="L27" s="68">
        <f t="shared" si="6"/>
        <v>9.0508164375383116E-2</v>
      </c>
      <c r="M27" s="68">
        <f t="shared" si="5"/>
        <v>0.11001062374675596</v>
      </c>
      <c r="N27" s="68">
        <f t="shared" si="5"/>
        <v>-6.4705697513119831E-2</v>
      </c>
      <c r="O27" s="68">
        <f t="shared" si="5"/>
        <v>-0.12118330719045911</v>
      </c>
    </row>
    <row r="28" spans="2:15" x14ac:dyDescent="0.55000000000000004">
      <c r="B28" s="29" t="str">
        <f t="shared" si="0"/>
        <v>20/21</v>
      </c>
      <c r="C28" s="29">
        <v>7</v>
      </c>
      <c r="D28" s="29">
        <f t="shared" si="1"/>
        <v>280846.80013960012</v>
      </c>
      <c r="E28" s="29">
        <f t="shared" si="2"/>
        <v>264919.26991999993</v>
      </c>
      <c r="F28" s="29">
        <f t="shared" si="3"/>
        <v>262703.41987720004</v>
      </c>
      <c r="G28" s="29">
        <f t="shared" si="4"/>
        <v>282197.30386780016</v>
      </c>
      <c r="J28" s="29" t="s">
        <v>24</v>
      </c>
      <c r="K28" s="29">
        <v>7</v>
      </c>
      <c r="L28" s="68">
        <f t="shared" si="6"/>
        <v>9.3986096142408826E-3</v>
      </c>
      <c r="M28" s="68">
        <f t="shared" si="5"/>
        <v>-4.9529422568976411E-2</v>
      </c>
      <c r="N28" s="68">
        <f t="shared" si="5"/>
        <v>-2.9395820380433424E-3</v>
      </c>
      <c r="O28" s="68">
        <f t="shared" si="5"/>
        <v>0.10587694240154155</v>
      </c>
    </row>
    <row r="29" spans="2:15" x14ac:dyDescent="0.55000000000000004">
      <c r="B29" s="29" t="str">
        <f t="shared" si="0"/>
        <v>21/22</v>
      </c>
      <c r="C29" s="29">
        <v>8</v>
      </c>
      <c r="D29" s="29">
        <f t="shared" si="1"/>
        <v>298774.06882040011</v>
      </c>
      <c r="E29" s="29">
        <f t="shared" si="2"/>
        <v>273308.15030200011</v>
      </c>
      <c r="F29" s="29">
        <f t="shared" si="3"/>
        <v>301630.525364</v>
      </c>
      <c r="G29" s="29">
        <f t="shared" si="4"/>
        <v>294166.00144399994</v>
      </c>
      <c r="J29" s="29" t="s">
        <v>26</v>
      </c>
      <c r="K29" s="29">
        <v>8</v>
      </c>
      <c r="L29" s="68">
        <f t="shared" si="6"/>
        <v>6.3832910582883207E-2</v>
      </c>
      <c r="M29" s="68">
        <f t="shared" si="5"/>
        <v>3.1665799111304516E-2</v>
      </c>
      <c r="N29" s="68">
        <f t="shared" si="5"/>
        <v>0.1481789064831982</v>
      </c>
      <c r="O29" s="68">
        <f t="shared" si="5"/>
        <v>4.2412515683731389E-2</v>
      </c>
    </row>
    <row r="30" spans="2:15" x14ac:dyDescent="0.55000000000000004">
      <c r="B30" s="29" t="str">
        <f t="shared" si="0"/>
        <v>22/23</v>
      </c>
      <c r="C30" s="29">
        <v>9</v>
      </c>
      <c r="D30" s="29">
        <f t="shared" si="1"/>
        <v>301656.32028000004</v>
      </c>
      <c r="E30" s="29">
        <f t="shared" si="2"/>
        <v>286079.44108180003</v>
      </c>
      <c r="F30" s="29">
        <f t="shared" si="3"/>
        <v>283312.44776000001</v>
      </c>
      <c r="G30" s="29">
        <f t="shared" si="4"/>
        <v>279352.01870419993</v>
      </c>
      <c r="J30" s="29" t="s">
        <v>28</v>
      </c>
      <c r="K30" s="29">
        <v>9</v>
      </c>
      <c r="L30" s="68">
        <f t="shared" si="6"/>
        <v>9.6469264249721132E-3</v>
      </c>
      <c r="M30" s="68">
        <f t="shared" si="5"/>
        <v>4.6728539802738833E-2</v>
      </c>
      <c r="N30" s="68">
        <f t="shared" si="5"/>
        <v>-6.0730184990044345E-2</v>
      </c>
      <c r="O30" s="68">
        <f t="shared" si="5"/>
        <v>-5.0359262005402528E-2</v>
      </c>
    </row>
    <row r="31" spans="2:15" x14ac:dyDescent="0.55000000000000004">
      <c r="B31" s="29" t="str">
        <f t="shared" si="0"/>
        <v>23/24</v>
      </c>
      <c r="C31" s="29">
        <v>10</v>
      </c>
      <c r="D31" s="29">
        <f t="shared" si="1"/>
        <v>288598.50469899992</v>
      </c>
      <c r="E31" s="29">
        <f t="shared" si="2"/>
        <v>285912.0977486</v>
      </c>
      <c r="F31" s="29">
        <f t="shared" si="3"/>
        <v>256203.0010094</v>
      </c>
      <c r="G31" s="29">
        <f t="shared" si="4"/>
        <v>309940.02466260002</v>
      </c>
      <c r="J31" s="29" t="s">
        <v>30</v>
      </c>
      <c r="K31" s="29">
        <v>10</v>
      </c>
      <c r="L31" s="68">
        <f t="shared" si="6"/>
        <v>-4.3287061145875327E-2</v>
      </c>
      <c r="M31" s="68">
        <f t="shared" si="5"/>
        <v>-5.8495406928660287E-4</v>
      </c>
      <c r="N31" s="68">
        <f t="shared" si="5"/>
        <v>-9.5687453780940124E-2</v>
      </c>
      <c r="O31" s="68">
        <f t="shared" si="5"/>
        <v>0.10949627677754181</v>
      </c>
    </row>
    <row r="32" spans="2:15" x14ac:dyDescent="0.55000000000000004">
      <c r="B32" s="29" t="str">
        <f t="shared" si="0"/>
        <v>24/25</v>
      </c>
      <c r="C32" s="29">
        <v>11</v>
      </c>
      <c r="D32" s="29">
        <f t="shared" si="1"/>
        <v>520423.41739239986</v>
      </c>
      <c r="E32" s="29">
        <f t="shared" si="2"/>
        <v>496242.44013060001</v>
      </c>
      <c r="F32" s="29">
        <f t="shared" si="3"/>
        <v>512371.9393472001</v>
      </c>
      <c r="G32" s="29">
        <f t="shared" si="4"/>
        <v>493885.93368500005</v>
      </c>
      <c r="J32" s="29" t="s">
        <v>74</v>
      </c>
      <c r="K32" s="29">
        <v>11</v>
      </c>
      <c r="L32" s="68">
        <f t="shared" si="6"/>
        <v>0.803278287720814</v>
      </c>
      <c r="M32" s="68">
        <f t="shared" si="5"/>
        <v>0.73564687901713643</v>
      </c>
      <c r="N32" s="68">
        <f t="shared" si="5"/>
        <v>0.99986704811627614</v>
      </c>
      <c r="O32" s="68">
        <f t="shared" si="5"/>
        <v>0.5934887216410436</v>
      </c>
    </row>
    <row r="33" spans="2:15" x14ac:dyDescent="0.55000000000000004">
      <c r="B33" s="29" t="str">
        <f t="shared" si="0"/>
        <v>25/26</v>
      </c>
      <c r="C33" s="29">
        <v>12</v>
      </c>
      <c r="D33" s="29">
        <f t="shared" si="1"/>
        <v>487050.28577020008</v>
      </c>
      <c r="J33" s="29" t="s">
        <v>165</v>
      </c>
      <c r="K33" s="29">
        <v>12</v>
      </c>
      <c r="L33" s="68">
        <f t="shared" si="6"/>
        <v>-6.4126883047302186E-2</v>
      </c>
      <c r="M33" s="68"/>
      <c r="N33" s="68"/>
      <c r="O33" s="68"/>
    </row>
    <row r="39" spans="2:15" x14ac:dyDescent="0.55000000000000004">
      <c r="D39" s="91" t="s">
        <v>204</v>
      </c>
    </row>
    <row r="41" spans="2:15" x14ac:dyDescent="0.55000000000000004">
      <c r="E41" s="29">
        <v>1</v>
      </c>
      <c r="F41" s="29">
        <v>2</v>
      </c>
      <c r="G41" s="29">
        <v>3</v>
      </c>
      <c r="H41" s="29">
        <v>4</v>
      </c>
    </row>
    <row r="42" spans="2:15" x14ac:dyDescent="0.55000000000000004">
      <c r="C42" s="29">
        <v>1</v>
      </c>
      <c r="D42" s="29" t="s">
        <v>18</v>
      </c>
      <c r="E42" s="68">
        <v>0.10721893491124268</v>
      </c>
      <c r="F42" s="68">
        <v>7.2099182868413658E-2</v>
      </c>
      <c r="G42" s="68">
        <v>0.15238876664304635</v>
      </c>
      <c r="H42" s="68">
        <v>3.7015527409229865E-2</v>
      </c>
      <c r="J42" s="68">
        <v>7.716016215321142E-2</v>
      </c>
      <c r="K42" s="68">
        <v>0.12891508198686252</v>
      </c>
      <c r="L42" s="68">
        <v>0.15795328568588607</v>
      </c>
      <c r="M42" s="68">
        <v>0.12088953557714999</v>
      </c>
    </row>
    <row r="43" spans="2:15" x14ac:dyDescent="0.55000000000000004">
      <c r="C43" s="29">
        <v>2</v>
      </c>
      <c r="D43" s="29" t="s">
        <v>20</v>
      </c>
      <c r="E43" s="68">
        <v>6.3234186363728906E-2</v>
      </c>
      <c r="F43" s="68">
        <v>9.537225878345712E-2</v>
      </c>
      <c r="G43" s="68">
        <v>0.16278843975533186</v>
      </c>
      <c r="H43" s="68">
        <v>0.14732865623313551</v>
      </c>
      <c r="J43" s="68">
        <v>2.6229537108947376E-2</v>
      </c>
      <c r="K43" s="68">
        <v>-2.9475783487836749E-2</v>
      </c>
      <c r="L43" s="68">
        <v>0.1385092873811391</v>
      </c>
      <c r="M43" s="68">
        <v>0.11519569341617264</v>
      </c>
    </row>
    <row r="44" spans="2:15" x14ac:dyDescent="0.55000000000000004">
      <c r="C44" s="29">
        <v>3</v>
      </c>
      <c r="D44" s="29" t="s">
        <v>22</v>
      </c>
      <c r="E44" s="68">
        <v>8.670655816179984E-2</v>
      </c>
      <c r="F44" s="68">
        <v>-4.9523005163445433E-3</v>
      </c>
      <c r="G44" s="68">
        <v>-5.9840240474268724E-2</v>
      </c>
      <c r="H44" s="68">
        <v>-0.10068957560482084</v>
      </c>
      <c r="J44" s="68">
        <v>9.0508164375383116E-2</v>
      </c>
      <c r="K44" s="68">
        <v>0.11001062374675596</v>
      </c>
      <c r="L44" s="68">
        <v>-6.4705697513119831E-2</v>
      </c>
      <c r="M44" s="68">
        <v>-0.12118330719045911</v>
      </c>
    </row>
    <row r="45" spans="2:15" x14ac:dyDescent="0.55000000000000004">
      <c r="C45" s="29">
        <v>4</v>
      </c>
      <c r="D45" s="29" t="s">
        <v>24</v>
      </c>
      <c r="E45" s="68">
        <v>-4.1702457568509321E-2</v>
      </c>
      <c r="F45" s="68">
        <v>3.1356700553637262E-2</v>
      </c>
      <c r="G45" s="68">
        <v>8.9754975971264139E-2</v>
      </c>
      <c r="H45" s="68">
        <v>4.0978955419041174E-2</v>
      </c>
      <c r="J45" s="68">
        <v>9.3986096142408826E-3</v>
      </c>
      <c r="K45" s="68">
        <v>-4.9529422568976411E-2</v>
      </c>
      <c r="L45" s="68">
        <v>-2.9395820380433424E-3</v>
      </c>
      <c r="M45" s="68">
        <v>0.10587694240154155</v>
      </c>
    </row>
    <row r="46" spans="2:15" x14ac:dyDescent="0.55000000000000004">
      <c r="C46" s="29">
        <v>5</v>
      </c>
      <c r="D46" s="29" t="s">
        <v>26</v>
      </c>
      <c r="E46" s="68">
        <v>6.3264780781995489E-2</v>
      </c>
      <c r="F46" s="68">
        <v>-2.5484199796126372E-3</v>
      </c>
      <c r="G46" s="68">
        <v>3.635705068707118E-2</v>
      </c>
      <c r="H46" s="68">
        <v>9.5321609707541333E-2</v>
      </c>
      <c r="J46" s="68">
        <v>6.3832910582883207E-2</v>
      </c>
      <c r="K46" s="68">
        <v>3.1665799111304516E-2</v>
      </c>
      <c r="L46" s="68">
        <v>0.1481789064831982</v>
      </c>
      <c r="M46" s="68">
        <v>4.2412515683731389E-2</v>
      </c>
    </row>
    <row r="47" spans="2:15" x14ac:dyDescent="0.55000000000000004">
      <c r="C47" s="29">
        <v>6</v>
      </c>
      <c r="D47" s="29" t="s">
        <v>28</v>
      </c>
      <c r="E47" s="68">
        <v>-2.1745803232905425E-3</v>
      </c>
      <c r="F47" s="68">
        <v>4.0855456535701107E-2</v>
      </c>
      <c r="G47" s="68">
        <v>-6.5173988073134015E-2</v>
      </c>
      <c r="H47" s="68">
        <v>-8.4871040332352488E-2</v>
      </c>
      <c r="J47" s="68">
        <v>9.6469264249721132E-3</v>
      </c>
      <c r="K47" s="68">
        <v>4.6728539802738833E-2</v>
      </c>
      <c r="L47" s="68">
        <v>-6.0730184990044345E-2</v>
      </c>
      <c r="M47" s="68">
        <v>-5.0359262005402528E-2</v>
      </c>
    </row>
    <row r="48" spans="2:15" x14ac:dyDescent="0.55000000000000004">
      <c r="C48" s="29">
        <v>7</v>
      </c>
      <c r="D48" s="29" t="s">
        <v>30</v>
      </c>
      <c r="E48" s="68">
        <v>-8.4937133350086236E-2</v>
      </c>
      <c r="F48" s="68">
        <v>1.5916911380546628E-2</v>
      </c>
      <c r="G48" s="68">
        <v>7.2484425896242044E-3</v>
      </c>
      <c r="H48" s="68">
        <v>4.6044791646963068E-2</v>
      </c>
      <c r="J48" s="68">
        <v>-4.3287061145875327E-2</v>
      </c>
      <c r="K48" s="68">
        <v>-5.8495406928660287E-4</v>
      </c>
      <c r="L48" s="68">
        <v>-9.5687453780940124E-2</v>
      </c>
      <c r="M48" s="68">
        <v>0.10949627677754181</v>
      </c>
    </row>
    <row r="49" spans="4:13" x14ac:dyDescent="0.55000000000000004">
      <c r="D49" s="29" t="s">
        <v>74</v>
      </c>
      <c r="E49" s="68">
        <v>1.5639056448329081E-2</v>
      </c>
      <c r="F49" s="68">
        <v>-3.5923604153181854E-2</v>
      </c>
      <c r="G49" s="68">
        <v>-0.15501466166808953</v>
      </c>
      <c r="H49" s="68">
        <v>-0.17084604778373003</v>
      </c>
      <c r="J49" s="68">
        <v>0.803278287720814</v>
      </c>
      <c r="K49" s="68">
        <v>0.73564687901713643</v>
      </c>
      <c r="L49" s="68">
        <v>0.99986704811627614</v>
      </c>
      <c r="M49" s="68">
        <v>0.5934887216410436</v>
      </c>
    </row>
    <row r="50" spans="4:13" x14ac:dyDescent="0.55000000000000004">
      <c r="D50" s="29" t="s">
        <v>165</v>
      </c>
    </row>
    <row r="54" spans="4:13" x14ac:dyDescent="0.55000000000000004">
      <c r="G54" s="29" t="s">
        <v>203</v>
      </c>
      <c r="H54" s="29" t="s">
        <v>8</v>
      </c>
    </row>
    <row r="55" spans="4:13" x14ac:dyDescent="0.55000000000000004">
      <c r="E55" s="29">
        <v>1</v>
      </c>
      <c r="F55" s="29">
        <v>1</v>
      </c>
      <c r="G55" s="68">
        <f>INDEX($E$42:$H$48,MATCH(E55,$C$42:$C$48),MATCH(F55,$E$41:$H$41))</f>
        <v>0.10721893491124268</v>
      </c>
      <c r="H55" s="68">
        <f>INDEX($J$42:$M$48,MATCH(E55,$C$42:$C$48),MATCH(F55,$E$41:$H$41))</f>
        <v>7.716016215321142E-2</v>
      </c>
    </row>
    <row r="56" spans="4:13" x14ac:dyDescent="0.55000000000000004">
      <c r="E56" s="29">
        <v>1</v>
      </c>
      <c r="F56" s="29">
        <v>2</v>
      </c>
      <c r="G56" s="68">
        <f t="shared" ref="G56:G82" si="7">INDEX($E$42:$H$48,MATCH(E56,$C$42:$C$48),MATCH(F56,$E$41:$H$41))</f>
        <v>7.2099182868413658E-2</v>
      </c>
      <c r="H56" s="68">
        <f t="shared" ref="H56:H82" si="8">INDEX($J$42:$M$48,MATCH(E56,$C$42:$C$48),MATCH(F56,$E$41:$H$41))</f>
        <v>0.12891508198686252</v>
      </c>
    </row>
    <row r="57" spans="4:13" x14ac:dyDescent="0.55000000000000004">
      <c r="E57" s="29">
        <v>1</v>
      </c>
      <c r="F57" s="29">
        <v>3</v>
      </c>
      <c r="G57" s="68">
        <f t="shared" si="7"/>
        <v>0.15238876664304635</v>
      </c>
      <c r="H57" s="68">
        <f t="shared" si="8"/>
        <v>0.15795328568588607</v>
      </c>
    </row>
    <row r="58" spans="4:13" x14ac:dyDescent="0.55000000000000004">
      <c r="E58" s="29">
        <v>1</v>
      </c>
      <c r="F58" s="29">
        <v>4</v>
      </c>
      <c r="G58" s="68">
        <f t="shared" si="7"/>
        <v>3.7015527409229865E-2</v>
      </c>
      <c r="H58" s="68">
        <f t="shared" si="8"/>
        <v>0.12088953557714999</v>
      </c>
    </row>
    <row r="59" spans="4:13" x14ac:dyDescent="0.55000000000000004">
      <c r="E59" s="29">
        <f>E55+1</f>
        <v>2</v>
      </c>
      <c r="F59" s="29">
        <f>F55</f>
        <v>1</v>
      </c>
      <c r="G59" s="68">
        <f t="shared" si="7"/>
        <v>6.3234186363728906E-2</v>
      </c>
      <c r="H59" s="68">
        <f t="shared" si="8"/>
        <v>2.6229537108947376E-2</v>
      </c>
    </row>
    <row r="60" spans="4:13" x14ac:dyDescent="0.55000000000000004">
      <c r="E60" s="29">
        <f t="shared" ref="E60:E82" si="9">E56+1</f>
        <v>2</v>
      </c>
      <c r="F60" s="29">
        <f t="shared" ref="F60:F82" si="10">F56</f>
        <v>2</v>
      </c>
      <c r="G60" s="68">
        <f t="shared" si="7"/>
        <v>9.537225878345712E-2</v>
      </c>
      <c r="H60" s="68">
        <f t="shared" si="8"/>
        <v>-2.9475783487836749E-2</v>
      </c>
    </row>
    <row r="61" spans="4:13" x14ac:dyDescent="0.55000000000000004">
      <c r="E61" s="29">
        <f t="shared" si="9"/>
        <v>2</v>
      </c>
      <c r="F61" s="29">
        <f t="shared" si="10"/>
        <v>3</v>
      </c>
      <c r="G61" s="68">
        <f t="shared" si="7"/>
        <v>0.16278843975533186</v>
      </c>
      <c r="H61" s="68">
        <f t="shared" si="8"/>
        <v>0.1385092873811391</v>
      </c>
    </row>
    <row r="62" spans="4:13" x14ac:dyDescent="0.55000000000000004">
      <c r="E62" s="29">
        <f t="shared" si="9"/>
        <v>2</v>
      </c>
      <c r="F62" s="29">
        <f t="shared" si="10"/>
        <v>4</v>
      </c>
      <c r="G62" s="68">
        <f t="shared" si="7"/>
        <v>0.14732865623313551</v>
      </c>
      <c r="H62" s="68">
        <f t="shared" si="8"/>
        <v>0.11519569341617264</v>
      </c>
    </row>
    <row r="63" spans="4:13" x14ac:dyDescent="0.55000000000000004">
      <c r="E63" s="29">
        <f t="shared" si="9"/>
        <v>3</v>
      </c>
      <c r="F63" s="29">
        <f t="shared" si="10"/>
        <v>1</v>
      </c>
      <c r="G63" s="68">
        <f t="shared" si="7"/>
        <v>8.670655816179984E-2</v>
      </c>
      <c r="H63" s="68">
        <f t="shared" si="8"/>
        <v>9.0508164375383116E-2</v>
      </c>
    </row>
    <row r="64" spans="4:13" x14ac:dyDescent="0.55000000000000004">
      <c r="E64" s="29">
        <f t="shared" si="9"/>
        <v>3</v>
      </c>
      <c r="F64" s="29">
        <f t="shared" si="10"/>
        <v>2</v>
      </c>
      <c r="G64" s="68">
        <f t="shared" si="7"/>
        <v>-4.9523005163445433E-3</v>
      </c>
      <c r="H64" s="68">
        <f t="shared" si="8"/>
        <v>0.11001062374675596</v>
      </c>
    </row>
    <row r="65" spans="5:8" x14ac:dyDescent="0.55000000000000004">
      <c r="E65" s="29">
        <f t="shared" si="9"/>
        <v>3</v>
      </c>
      <c r="F65" s="29">
        <f t="shared" si="10"/>
        <v>3</v>
      </c>
      <c r="G65" s="68">
        <f t="shared" si="7"/>
        <v>-5.9840240474268724E-2</v>
      </c>
      <c r="H65" s="68">
        <f t="shared" si="8"/>
        <v>-6.4705697513119831E-2</v>
      </c>
    </row>
    <row r="66" spans="5:8" x14ac:dyDescent="0.55000000000000004">
      <c r="E66" s="29">
        <f t="shared" si="9"/>
        <v>3</v>
      </c>
      <c r="F66" s="29">
        <f t="shared" si="10"/>
        <v>4</v>
      </c>
      <c r="G66" s="68">
        <f t="shared" si="7"/>
        <v>-0.10068957560482084</v>
      </c>
      <c r="H66" s="68">
        <f t="shared" si="8"/>
        <v>-0.12118330719045911</v>
      </c>
    </row>
    <row r="67" spans="5:8" x14ac:dyDescent="0.55000000000000004">
      <c r="E67" s="29">
        <f t="shared" si="9"/>
        <v>4</v>
      </c>
      <c r="F67" s="29">
        <f t="shared" si="10"/>
        <v>1</v>
      </c>
      <c r="G67" s="68">
        <f t="shared" si="7"/>
        <v>-4.1702457568509321E-2</v>
      </c>
      <c r="H67" s="68">
        <f t="shared" si="8"/>
        <v>9.3986096142408826E-3</v>
      </c>
    </row>
    <row r="68" spans="5:8" x14ac:dyDescent="0.55000000000000004">
      <c r="E68" s="29">
        <f t="shared" si="9"/>
        <v>4</v>
      </c>
      <c r="F68" s="29">
        <f t="shared" si="10"/>
        <v>2</v>
      </c>
      <c r="G68" s="68">
        <f t="shared" si="7"/>
        <v>3.1356700553637262E-2</v>
      </c>
      <c r="H68" s="68">
        <f t="shared" si="8"/>
        <v>-4.9529422568976411E-2</v>
      </c>
    </row>
    <row r="69" spans="5:8" x14ac:dyDescent="0.55000000000000004">
      <c r="E69" s="29">
        <f t="shared" si="9"/>
        <v>4</v>
      </c>
      <c r="F69" s="29">
        <f t="shared" si="10"/>
        <v>3</v>
      </c>
      <c r="G69" s="68">
        <f t="shared" si="7"/>
        <v>8.9754975971264139E-2</v>
      </c>
      <c r="H69" s="68">
        <f t="shared" si="8"/>
        <v>-2.9395820380433424E-3</v>
      </c>
    </row>
    <row r="70" spans="5:8" x14ac:dyDescent="0.55000000000000004">
      <c r="E70" s="29">
        <f t="shared" si="9"/>
        <v>4</v>
      </c>
      <c r="F70" s="29">
        <f t="shared" si="10"/>
        <v>4</v>
      </c>
      <c r="G70" s="68">
        <f t="shared" si="7"/>
        <v>4.0978955419041174E-2</v>
      </c>
      <c r="H70" s="68">
        <f t="shared" si="8"/>
        <v>0.10587694240154155</v>
      </c>
    </row>
    <row r="71" spans="5:8" x14ac:dyDescent="0.55000000000000004">
      <c r="E71" s="29">
        <f t="shared" si="9"/>
        <v>5</v>
      </c>
      <c r="F71" s="29">
        <f t="shared" si="10"/>
        <v>1</v>
      </c>
      <c r="G71" s="68">
        <f t="shared" si="7"/>
        <v>6.3264780781995489E-2</v>
      </c>
      <c r="H71" s="68">
        <f t="shared" si="8"/>
        <v>6.3832910582883207E-2</v>
      </c>
    </row>
    <row r="72" spans="5:8" x14ac:dyDescent="0.55000000000000004">
      <c r="E72" s="29">
        <f t="shared" si="9"/>
        <v>5</v>
      </c>
      <c r="F72" s="29">
        <f t="shared" si="10"/>
        <v>2</v>
      </c>
      <c r="G72" s="68">
        <f t="shared" si="7"/>
        <v>-2.5484199796126372E-3</v>
      </c>
      <c r="H72" s="68">
        <f t="shared" si="8"/>
        <v>3.1665799111304516E-2</v>
      </c>
    </row>
    <row r="73" spans="5:8" x14ac:dyDescent="0.55000000000000004">
      <c r="E73" s="29">
        <f t="shared" si="9"/>
        <v>5</v>
      </c>
      <c r="F73" s="29">
        <f t="shared" si="10"/>
        <v>3</v>
      </c>
      <c r="G73" s="68">
        <f t="shared" si="7"/>
        <v>3.635705068707118E-2</v>
      </c>
      <c r="H73" s="68">
        <f t="shared" si="8"/>
        <v>0.1481789064831982</v>
      </c>
    </row>
    <row r="74" spans="5:8" x14ac:dyDescent="0.55000000000000004">
      <c r="E74" s="29">
        <f t="shared" si="9"/>
        <v>5</v>
      </c>
      <c r="F74" s="29">
        <f t="shared" si="10"/>
        <v>4</v>
      </c>
      <c r="G74" s="68">
        <f t="shared" si="7"/>
        <v>9.5321609707541333E-2</v>
      </c>
      <c r="H74" s="68">
        <f t="shared" si="8"/>
        <v>4.2412515683731389E-2</v>
      </c>
    </row>
    <row r="75" spans="5:8" x14ac:dyDescent="0.55000000000000004">
      <c r="E75" s="29">
        <f t="shared" si="9"/>
        <v>6</v>
      </c>
      <c r="F75" s="29">
        <f t="shared" si="10"/>
        <v>1</v>
      </c>
      <c r="G75" s="68">
        <f t="shared" si="7"/>
        <v>-2.1745803232905425E-3</v>
      </c>
      <c r="H75" s="68">
        <f t="shared" si="8"/>
        <v>9.6469264249721132E-3</v>
      </c>
    </row>
    <row r="76" spans="5:8" x14ac:dyDescent="0.55000000000000004">
      <c r="E76" s="29">
        <f t="shared" si="9"/>
        <v>6</v>
      </c>
      <c r="F76" s="29">
        <f t="shared" si="10"/>
        <v>2</v>
      </c>
      <c r="G76" s="68">
        <f t="shared" si="7"/>
        <v>4.0855456535701107E-2</v>
      </c>
      <c r="H76" s="68">
        <f t="shared" si="8"/>
        <v>4.6728539802738833E-2</v>
      </c>
    </row>
    <row r="77" spans="5:8" x14ac:dyDescent="0.55000000000000004">
      <c r="E77" s="29">
        <f t="shared" si="9"/>
        <v>6</v>
      </c>
      <c r="F77" s="29">
        <f t="shared" si="10"/>
        <v>3</v>
      </c>
      <c r="G77" s="68">
        <f t="shared" si="7"/>
        <v>-6.5173988073134015E-2</v>
      </c>
      <c r="H77" s="68">
        <f t="shared" si="8"/>
        <v>-6.0730184990044345E-2</v>
      </c>
    </row>
    <row r="78" spans="5:8" x14ac:dyDescent="0.55000000000000004">
      <c r="E78" s="29">
        <f t="shared" si="9"/>
        <v>6</v>
      </c>
      <c r="F78" s="29">
        <f t="shared" si="10"/>
        <v>4</v>
      </c>
      <c r="G78" s="68">
        <f t="shared" si="7"/>
        <v>-8.4871040332352488E-2</v>
      </c>
      <c r="H78" s="68">
        <f t="shared" si="8"/>
        <v>-5.0359262005402528E-2</v>
      </c>
    </row>
    <row r="79" spans="5:8" x14ac:dyDescent="0.55000000000000004">
      <c r="E79" s="29">
        <f t="shared" si="9"/>
        <v>7</v>
      </c>
      <c r="F79" s="29">
        <f t="shared" si="10"/>
        <v>1</v>
      </c>
      <c r="G79" s="68">
        <f t="shared" si="7"/>
        <v>-8.4937133350086236E-2</v>
      </c>
      <c r="H79" s="68">
        <f t="shared" si="8"/>
        <v>-4.3287061145875327E-2</v>
      </c>
    </row>
    <row r="80" spans="5:8" x14ac:dyDescent="0.55000000000000004">
      <c r="E80" s="29">
        <f>E76+1</f>
        <v>7</v>
      </c>
      <c r="F80" s="29">
        <f>F76</f>
        <v>2</v>
      </c>
      <c r="G80" s="68">
        <f t="shared" si="7"/>
        <v>1.5916911380546628E-2</v>
      </c>
      <c r="H80" s="68">
        <f t="shared" si="8"/>
        <v>-5.8495406928660287E-4</v>
      </c>
    </row>
    <row r="81" spans="5:11" x14ac:dyDescent="0.55000000000000004">
      <c r="E81" s="29">
        <f t="shared" si="9"/>
        <v>7</v>
      </c>
      <c r="F81" s="29">
        <f t="shared" si="10"/>
        <v>3</v>
      </c>
      <c r="G81" s="68">
        <f t="shared" si="7"/>
        <v>7.2484425896242044E-3</v>
      </c>
      <c r="H81" s="68">
        <f t="shared" si="8"/>
        <v>-9.5687453780940124E-2</v>
      </c>
    </row>
    <row r="82" spans="5:11" x14ac:dyDescent="0.55000000000000004">
      <c r="E82" s="29">
        <f t="shared" si="9"/>
        <v>7</v>
      </c>
      <c r="F82" s="29">
        <f t="shared" si="10"/>
        <v>4</v>
      </c>
      <c r="G82" s="68">
        <f t="shared" si="7"/>
        <v>4.6044791646963068E-2</v>
      </c>
      <c r="H82" s="68">
        <f t="shared" si="8"/>
        <v>0.10949627677754181</v>
      </c>
      <c r="J82" s="29" cm="1">
        <f t="array" ref="J82:K82">LINEST(H55:H82,G55:G82)</f>
        <v>0.75761077907484575</v>
      </c>
      <c r="K82" s="29">
        <v>1.066667563976819E-2</v>
      </c>
    </row>
    <row r="83" spans="5:11" x14ac:dyDescent="0.55000000000000004">
      <c r="G83" s="68">
        <v>-0.08</v>
      </c>
      <c r="H83" s="68">
        <f>G83*J82+K82</f>
        <v>-4.994218668621947E-2</v>
      </c>
    </row>
  </sheetData>
  <conditionalFormatting sqref="E42:H4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{10A3D21A-F891-45F2-BB1F-13A234A5FE48}</x14:id>
        </ext>
      </extLst>
    </cfRule>
  </conditionalFormatting>
  <conditionalFormatting sqref="J42:M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{BD7DB216-B8CC-4C33-8B72-489144AEA3E2}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3D21A-F891-45F2-BB1F-13A234A5FE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E42:H48</xm:sqref>
        </x14:conditionalFormatting>
        <x14:conditionalFormatting xmlns:xm="http://schemas.microsoft.com/office/excel/2006/main">
          <x14:cfRule type="dataBar" id="{BD7DB216-B8CC-4C33-8B72-489144AEA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J42:M48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F30D-7CCF-4BF7-9FE6-7FF17AB4F2A2}">
  <sheetPr codeName="Sheet16"/>
  <dimension ref="A1:AH57"/>
  <sheetViews>
    <sheetView showGridLines="0" zoomScale="55" zoomScaleNormal="55" workbookViewId="0">
      <selection sqref="A1:AG1"/>
    </sheetView>
  </sheetViews>
  <sheetFormatPr defaultColWidth="9.15625" defaultRowHeight="14.4" x14ac:dyDescent="0.55000000000000004"/>
  <cols>
    <col min="1" max="1" width="9.15625" style="7"/>
    <col min="2" max="2" width="10.41796875" style="7" bestFit="1" customWidth="1"/>
    <col min="3" max="3" width="9.7890625" style="7" bestFit="1" customWidth="1"/>
    <col min="4" max="4" width="9.26171875" style="7" customWidth="1"/>
    <col min="5" max="5" width="10.83984375" style="7" bestFit="1" customWidth="1"/>
    <col min="6" max="6" width="6.41796875" style="7" customWidth="1"/>
    <col min="7" max="14" width="9.15625" style="7"/>
    <col min="15" max="15" width="4.578125" style="7" customWidth="1"/>
    <col min="16" max="16" width="9.15625" style="7"/>
    <col min="17" max="23" width="9.15625" style="7" customWidth="1"/>
    <col min="24" max="24" width="11.26171875" style="7" customWidth="1"/>
    <col min="25" max="25" width="9.15625" style="7"/>
    <col min="26" max="26" width="13.578125" style="7" customWidth="1"/>
    <col min="27" max="27" width="11.578125" style="7" bestFit="1" customWidth="1"/>
    <col min="28" max="16384" width="9.15625" style="7"/>
  </cols>
  <sheetData>
    <row r="1" spans="1:34" s="5" customFormat="1" ht="55.5" customHeight="1" x14ac:dyDescent="0.55000000000000004">
      <c r="A1" s="148" t="s">
        <v>181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4" s="6" customFormat="1" ht="5.25" customHeight="1" x14ac:dyDescent="0.6"/>
    <row r="3" spans="1:34" x14ac:dyDescent="0.55000000000000004">
      <c r="Y3" s="20">
        <f>COUNT(Q16:T16)</f>
        <v>4</v>
      </c>
      <c r="Z3" s="19" t="str">
        <f ca="1">OFFSET(P6,0,$Y$3,1,1)</f>
        <v>Q4</v>
      </c>
    </row>
    <row r="4" spans="1:34" x14ac:dyDescent="0.55000000000000004">
      <c r="C4" s="72">
        <v>-0.05</v>
      </c>
      <c r="Y4" s="20"/>
      <c r="Z4" s="19"/>
    </row>
    <row r="5" spans="1:34" ht="14.7" thickBot="1" x14ac:dyDescent="0.6">
      <c r="Q5" s="7">
        <v>1</v>
      </c>
      <c r="R5" s="7">
        <v>2</v>
      </c>
      <c r="S5" s="7">
        <v>3</v>
      </c>
      <c r="T5" s="7">
        <v>4</v>
      </c>
    </row>
    <row r="6" spans="1:34" ht="15.6" x14ac:dyDescent="0.6">
      <c r="B6" s="23" t="s">
        <v>7</v>
      </c>
      <c r="C6" s="23" t="s">
        <v>319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W6" s="24"/>
      <c r="Y6" s="16" t="s">
        <v>42</v>
      </c>
      <c r="Z6" s="16" t="str">
        <f ca="1">_xlfn.CONCAT("YTD (Q1 to ",Z3,")")</f>
        <v>YTD (Q1 to Q4)</v>
      </c>
      <c r="AA6" s="16" t="s">
        <v>14</v>
      </c>
      <c r="AE6" s="15" t="s">
        <v>9</v>
      </c>
      <c r="AF6" s="15" t="s">
        <v>10</v>
      </c>
      <c r="AG6" s="15" t="s">
        <v>11</v>
      </c>
      <c r="AH6" s="15" t="s">
        <v>12</v>
      </c>
    </row>
    <row r="7" spans="1:34" x14ac:dyDescent="0.55000000000000004">
      <c r="B7" s="21" t="s">
        <v>15</v>
      </c>
      <c r="C7" s="88">
        <f>MCB!H3</f>
        <v>57029</v>
      </c>
      <c r="D7" s="89">
        <f>C7/CAA!C7</f>
        <v>0.32138067061143982</v>
      </c>
      <c r="P7" s="28" t="s">
        <v>16</v>
      </c>
      <c r="Q7" s="12">
        <f>C7</f>
        <v>57029</v>
      </c>
      <c r="R7" s="12">
        <f>C8</f>
        <v>54384</v>
      </c>
      <c r="S7" s="12">
        <f>C9</f>
        <v>49072</v>
      </c>
      <c r="T7" s="12">
        <f>C10</f>
        <v>55665</v>
      </c>
      <c r="U7" s="95">
        <f>SUM(Q7:T7)</f>
        <v>216150</v>
      </c>
      <c r="V7" s="96"/>
      <c r="W7" s="12"/>
      <c r="Y7" s="28" t="s">
        <v>16</v>
      </c>
      <c r="Z7" s="8">
        <f ca="1">SUM(OFFSET(Q7,0,0,1,$Y$3))</f>
        <v>216150</v>
      </c>
      <c r="AD7" s="9">
        <v>2017</v>
      </c>
      <c r="AE7" s="12">
        <f>Q7</f>
        <v>57029</v>
      </c>
      <c r="AF7" s="12">
        <f>AE7+R7</f>
        <v>111413</v>
      </c>
      <c r="AG7" s="12">
        <f>AF7+S7</f>
        <v>160485</v>
      </c>
      <c r="AH7" s="12">
        <f>AG7+T7</f>
        <v>216150</v>
      </c>
    </row>
    <row r="8" spans="1:34" x14ac:dyDescent="0.55000000000000004">
      <c r="B8" s="21" t="s">
        <v>17</v>
      </c>
      <c r="C8" s="88">
        <f>MCB!H4</f>
        <v>54384</v>
      </c>
      <c r="D8" s="89">
        <f>C8/CAA!C8</f>
        <v>0.30647506339814035</v>
      </c>
      <c r="P8" s="28" t="s">
        <v>18</v>
      </c>
      <c r="Q8" s="12">
        <f>C11</f>
        <v>59137</v>
      </c>
      <c r="R8" s="12">
        <f>C12</f>
        <v>58841</v>
      </c>
      <c r="S8" s="12">
        <f>C13</f>
        <v>57512</v>
      </c>
      <c r="T8" s="12">
        <f>C14</f>
        <v>60857</v>
      </c>
      <c r="U8" s="95">
        <f t="shared" ref="U8:U15" si="0">SUM(Q8:T8)</f>
        <v>236347</v>
      </c>
      <c r="V8" s="97">
        <f>U8/U7-1</f>
        <v>9.3439740920656877E-2</v>
      </c>
      <c r="W8" s="12"/>
      <c r="Y8" s="28" t="s">
        <v>18</v>
      </c>
      <c r="Z8" s="8">
        <f t="shared" ref="Z8:Z14" ca="1" si="1">SUM(OFFSET(Q8,0,0,1,$Y$3))</f>
        <v>236347</v>
      </c>
      <c r="AA8" s="14">
        <f ca="1">Z8/Z7-1</f>
        <v>9.3439740920656877E-2</v>
      </c>
      <c r="AD8" s="9">
        <v>2018</v>
      </c>
      <c r="AE8" s="12">
        <f t="shared" ref="AE8:AE14" si="2">Q8</f>
        <v>59137</v>
      </c>
      <c r="AF8" s="12">
        <f t="shared" ref="AF8:AF13" si="3">AE8+R8</f>
        <v>117978</v>
      </c>
      <c r="AG8" s="12">
        <f t="shared" ref="AG8:AH13" si="4">AF8+S8</f>
        <v>175490</v>
      </c>
      <c r="AH8" s="12">
        <f t="shared" si="4"/>
        <v>236347</v>
      </c>
    </row>
    <row r="9" spans="1:34" x14ac:dyDescent="0.55000000000000004">
      <c r="B9" s="21" t="s">
        <v>19</v>
      </c>
      <c r="C9" s="88">
        <f>MCB!H5</f>
        <v>49072</v>
      </c>
      <c r="D9" s="89">
        <f>C9/CAA!C9</f>
        <v>0.3050261688981713</v>
      </c>
      <c r="P9" s="28" t="s">
        <v>20</v>
      </c>
      <c r="Q9" s="12">
        <f>C15</f>
        <v>72451</v>
      </c>
      <c r="R9" s="12">
        <f>C16</f>
        <v>79722</v>
      </c>
      <c r="S9" s="12">
        <f>C17</f>
        <v>83449</v>
      </c>
      <c r="T9" s="12">
        <f>C18</f>
        <v>91197</v>
      </c>
      <c r="U9" s="95">
        <f t="shared" si="0"/>
        <v>326819</v>
      </c>
      <c r="V9" s="97">
        <f t="shared" ref="V9:V15" si="5">U9/U8-1</f>
        <v>0.38279309659102934</v>
      </c>
      <c r="W9" s="12"/>
      <c r="Y9" s="28" t="s">
        <v>20</v>
      </c>
      <c r="Z9" s="8">
        <f t="shared" ca="1" si="1"/>
        <v>326819</v>
      </c>
      <c r="AA9" s="14">
        <f t="shared" ref="AA9:AA14" ca="1" si="6">Z9/Z8-1</f>
        <v>0.38279309659102934</v>
      </c>
      <c r="AD9" s="9">
        <v>2019</v>
      </c>
      <c r="AE9" s="12">
        <f t="shared" si="2"/>
        <v>72451</v>
      </c>
      <c r="AF9" s="12">
        <f t="shared" si="3"/>
        <v>152173</v>
      </c>
      <c r="AG9" s="12">
        <f t="shared" si="4"/>
        <v>235622</v>
      </c>
      <c r="AH9" s="12">
        <f t="shared" si="4"/>
        <v>326819</v>
      </c>
    </row>
    <row r="10" spans="1:34" x14ac:dyDescent="0.55000000000000004">
      <c r="B10" s="22" t="s">
        <v>21</v>
      </c>
      <c r="C10" s="88">
        <f>MCB!H6</f>
        <v>55665</v>
      </c>
      <c r="D10" s="89">
        <f>C10/CAA!C10</f>
        <v>0.29389093328124094</v>
      </c>
      <c r="P10" s="28" t="s">
        <v>22</v>
      </c>
      <c r="Q10" s="12">
        <f>C19</f>
        <v>89358</v>
      </c>
      <c r="R10" s="12">
        <f>C20</f>
        <v>74831</v>
      </c>
      <c r="S10" s="12">
        <f>C21</f>
        <v>77426</v>
      </c>
      <c r="T10" s="12">
        <f>C22</f>
        <v>76491</v>
      </c>
      <c r="U10" s="95">
        <f t="shared" si="0"/>
        <v>318106</v>
      </c>
      <c r="V10" s="97">
        <f t="shared" si="5"/>
        <v>-2.6660016706494982E-2</v>
      </c>
      <c r="W10" s="12"/>
      <c r="Y10" s="28" t="s">
        <v>22</v>
      </c>
      <c r="Z10" s="8">
        <f t="shared" ca="1" si="1"/>
        <v>318106</v>
      </c>
      <c r="AA10" s="14">
        <f t="shared" ca="1" si="6"/>
        <v>-2.6660016706494982E-2</v>
      </c>
      <c r="AD10" s="9">
        <v>2020</v>
      </c>
      <c r="AE10" s="12">
        <f t="shared" si="2"/>
        <v>89358</v>
      </c>
      <c r="AF10" s="12">
        <f t="shared" si="3"/>
        <v>164189</v>
      </c>
      <c r="AG10" s="12">
        <f t="shared" si="4"/>
        <v>241615</v>
      </c>
      <c r="AH10" s="12">
        <f t="shared" si="4"/>
        <v>318106</v>
      </c>
    </row>
    <row r="11" spans="1:34" x14ac:dyDescent="0.55000000000000004">
      <c r="B11" s="21" t="s">
        <v>23</v>
      </c>
      <c r="C11" s="88">
        <f>MCB!H7</f>
        <v>59137</v>
      </c>
      <c r="D11" s="89">
        <f>C11/CAA!C11</f>
        <v>0.30098841588794562</v>
      </c>
      <c r="P11" s="28" t="s">
        <v>24</v>
      </c>
      <c r="Q11" s="12">
        <f>C23</f>
        <v>87163</v>
      </c>
      <c r="R11" s="12">
        <f>C24</f>
        <v>83990</v>
      </c>
      <c r="S11" s="12">
        <f>C25</f>
        <v>87328</v>
      </c>
      <c r="T11" s="12">
        <f>C26</f>
        <v>79120</v>
      </c>
      <c r="U11" s="95">
        <f t="shared" si="0"/>
        <v>337601</v>
      </c>
      <c r="V11" s="97">
        <f t="shared" si="5"/>
        <v>6.1284603245459035E-2</v>
      </c>
      <c r="W11" s="12"/>
      <c r="Y11" s="28" t="s">
        <v>24</v>
      </c>
      <c r="Z11" s="8">
        <f t="shared" ca="1" si="1"/>
        <v>337601</v>
      </c>
      <c r="AA11" s="14">
        <f t="shared" ca="1" si="6"/>
        <v>6.1284603245459035E-2</v>
      </c>
      <c r="AD11" s="9">
        <v>2021</v>
      </c>
      <c r="AE11" s="12">
        <f t="shared" si="2"/>
        <v>87163</v>
      </c>
      <c r="AF11" s="12">
        <f t="shared" si="3"/>
        <v>171153</v>
      </c>
      <c r="AG11" s="12">
        <f t="shared" si="4"/>
        <v>258481</v>
      </c>
      <c r="AH11" s="12">
        <f t="shared" si="4"/>
        <v>337601</v>
      </c>
    </row>
    <row r="12" spans="1:34" x14ac:dyDescent="0.55000000000000004">
      <c r="B12" s="21" t="s">
        <v>25</v>
      </c>
      <c r="C12" s="88">
        <f>MCB!H8</f>
        <v>58841</v>
      </c>
      <c r="D12" s="89">
        <f>C12/CAA!C12</f>
        <v>0.30929227728601166</v>
      </c>
      <c r="P12" s="28" t="s">
        <v>26</v>
      </c>
      <c r="Q12" s="12">
        <f>C27</f>
        <v>101544</v>
      </c>
      <c r="R12" s="12">
        <f>C28</f>
        <v>90424</v>
      </c>
      <c r="S12" s="12">
        <f>C29</f>
        <v>92331</v>
      </c>
      <c r="T12" s="12">
        <f>C30</f>
        <v>91022</v>
      </c>
      <c r="U12" s="95">
        <f t="shared" si="0"/>
        <v>375321</v>
      </c>
      <c r="V12" s="97">
        <f t="shared" si="5"/>
        <v>0.11172952686751514</v>
      </c>
      <c r="W12" s="12"/>
      <c r="Y12" s="28" t="s">
        <v>26</v>
      </c>
      <c r="Z12" s="8">
        <f t="shared" ca="1" si="1"/>
        <v>375321</v>
      </c>
      <c r="AA12" s="14">
        <f t="shared" ca="1" si="6"/>
        <v>0.11172952686751514</v>
      </c>
      <c r="AD12" s="9">
        <v>2022</v>
      </c>
      <c r="AE12" s="12">
        <f t="shared" si="2"/>
        <v>101544</v>
      </c>
      <c r="AF12" s="12">
        <f t="shared" si="3"/>
        <v>191968</v>
      </c>
      <c r="AG12" s="12">
        <f t="shared" si="4"/>
        <v>284299</v>
      </c>
      <c r="AH12" s="12">
        <f t="shared" si="4"/>
        <v>375321</v>
      </c>
    </row>
    <row r="13" spans="1:34" x14ac:dyDescent="0.55000000000000004">
      <c r="B13" s="21" t="s">
        <v>27</v>
      </c>
      <c r="C13" s="88">
        <f>MCB!H9</f>
        <v>57512</v>
      </c>
      <c r="D13" s="89">
        <f>C13/CAA!C13</f>
        <v>0.31021500156423615</v>
      </c>
      <c r="P13" s="28" t="s">
        <v>28</v>
      </c>
      <c r="Q13" s="12">
        <f>IF(C31=0,"",C31)</f>
        <v>93763</v>
      </c>
      <c r="R13" s="12">
        <f>IF(C32=0,"",C32)</f>
        <v>90655</v>
      </c>
      <c r="S13" s="12">
        <f>IF(C33=0,"",C33)</f>
        <v>92087</v>
      </c>
      <c r="T13" s="12">
        <f>IF(C34=0,NA(),C34)</f>
        <v>87907</v>
      </c>
      <c r="U13" s="95">
        <f t="shared" si="0"/>
        <v>364412</v>
      </c>
      <c r="V13" s="97">
        <f t="shared" si="5"/>
        <v>-2.9065786353548062E-2</v>
      </c>
      <c r="W13" s="12"/>
      <c r="Y13" s="28" t="s">
        <v>28</v>
      </c>
      <c r="Z13" s="8">
        <f t="shared" ca="1" si="1"/>
        <v>364412</v>
      </c>
      <c r="AA13" s="14">
        <f t="shared" ca="1" si="6"/>
        <v>-2.9065786353548062E-2</v>
      </c>
      <c r="AD13" s="9">
        <v>2023</v>
      </c>
      <c r="AE13" s="12">
        <f t="shared" si="2"/>
        <v>93763</v>
      </c>
      <c r="AF13" s="12">
        <f t="shared" si="3"/>
        <v>184418</v>
      </c>
      <c r="AG13" s="12">
        <f t="shared" si="4"/>
        <v>276505</v>
      </c>
      <c r="AH13" s="12">
        <f t="shared" si="4"/>
        <v>364412</v>
      </c>
    </row>
    <row r="14" spans="1:34" x14ac:dyDescent="0.55000000000000004">
      <c r="B14" s="22" t="s">
        <v>29</v>
      </c>
      <c r="C14" s="88">
        <f>MCB!H10</f>
        <v>60857</v>
      </c>
      <c r="D14" s="89">
        <f>C14/CAA!C14</f>
        <v>0.30983412925495629</v>
      </c>
      <c r="P14" s="28" t="s">
        <v>30</v>
      </c>
      <c r="Q14" s="12">
        <f>C35</f>
        <v>99557</v>
      </c>
      <c r="R14" s="12">
        <f>C36</f>
        <v>99433</v>
      </c>
      <c r="S14" s="12">
        <f>C37</f>
        <v>89984</v>
      </c>
      <c r="T14" s="12">
        <f>C38</f>
        <v>93878</v>
      </c>
      <c r="U14" s="95">
        <f t="shared" si="0"/>
        <v>382852</v>
      </c>
      <c r="V14" s="97">
        <f t="shared" si="5"/>
        <v>5.060206579366211E-2</v>
      </c>
      <c r="W14" s="12"/>
      <c r="Y14" s="28" t="s">
        <v>30</v>
      </c>
      <c r="Z14" s="8">
        <f t="shared" ca="1" si="1"/>
        <v>382852</v>
      </c>
      <c r="AA14" s="14">
        <f t="shared" ca="1" si="6"/>
        <v>5.060206579366211E-2</v>
      </c>
      <c r="AD14" s="9">
        <v>2024</v>
      </c>
      <c r="AE14" s="12">
        <f t="shared" si="2"/>
        <v>99557</v>
      </c>
      <c r="AF14" s="12"/>
      <c r="AG14" s="12"/>
      <c r="AH14" s="12"/>
    </row>
    <row r="15" spans="1:34" x14ac:dyDescent="0.55000000000000004">
      <c r="B15" s="21" t="s">
        <v>31</v>
      </c>
      <c r="C15" s="88">
        <f>MCB!H11</f>
        <v>72451</v>
      </c>
      <c r="D15" s="89">
        <f>C15/CAA!C15</f>
        <v>0.34682144566778361</v>
      </c>
      <c r="P15" s="28" t="s">
        <v>74</v>
      </c>
      <c r="Q15" s="12">
        <f>C39</f>
        <v>85310</v>
      </c>
      <c r="R15" s="12">
        <f>C40</f>
        <v>84192</v>
      </c>
      <c r="S15" s="12">
        <f>C41</f>
        <v>70196</v>
      </c>
      <c r="T15" s="12">
        <f>C42</f>
        <v>60780</v>
      </c>
      <c r="U15" s="95">
        <f t="shared" si="0"/>
        <v>300478</v>
      </c>
      <c r="V15" s="97">
        <f t="shared" si="5"/>
        <v>-0.2151588603429001</v>
      </c>
      <c r="W15" s="12"/>
      <c r="Y15" s="28" t="s">
        <v>74</v>
      </c>
      <c r="Z15" s="8">
        <f ca="1">SUM(OFFSET(Q15,0,0,1,$Y$3))</f>
        <v>300478</v>
      </c>
      <c r="AA15" s="14">
        <f ca="1">Z15/Z14-1</f>
        <v>-0.2151588603429001</v>
      </c>
    </row>
    <row r="16" spans="1:34" ht="14.7" thickBot="1" x14ac:dyDescent="0.6">
      <c r="B16" s="21" t="s">
        <v>32</v>
      </c>
      <c r="C16" s="88">
        <f>MCB!H12</f>
        <v>79722</v>
      </c>
      <c r="D16" s="89">
        <f>C16/CAA!C16</f>
        <v>0.38256521488761347</v>
      </c>
      <c r="P16" s="28" t="s">
        <v>165</v>
      </c>
      <c r="Q16" s="12">
        <f>C43</f>
        <v>79528</v>
      </c>
      <c r="R16" s="12">
        <f>C44</f>
        <v>79982.399999999994</v>
      </c>
      <c r="S16" s="12">
        <f>C45</f>
        <v>90833.623999999996</v>
      </c>
      <c r="T16" s="12">
        <f>C46</f>
        <v>89400</v>
      </c>
      <c r="U16" s="98"/>
      <c r="V16" s="99"/>
      <c r="Y16" s="28" t="s">
        <v>165</v>
      </c>
      <c r="Z16" s="8">
        <f ca="1">SUM(OFFSET(Q16,0,0,1,$Y$3))</f>
        <v>339744.02399999998</v>
      </c>
      <c r="AA16" s="14">
        <f ca="1">Z16/Z15-1</f>
        <v>0.13067853220535275</v>
      </c>
    </row>
    <row r="17" spans="2:29" x14ac:dyDescent="0.55000000000000004">
      <c r="B17" s="21" t="s">
        <v>33</v>
      </c>
      <c r="C17" s="88">
        <f>MCB!H13</f>
        <v>83449</v>
      </c>
      <c r="D17" s="89">
        <f>C17/CAA!C17</f>
        <v>0.38710141297187972</v>
      </c>
    </row>
    <row r="18" spans="2:29" ht="15.6" x14ac:dyDescent="0.6">
      <c r="B18" s="22" t="s">
        <v>34</v>
      </c>
      <c r="C18" s="88">
        <f>MCB!H14</f>
        <v>91197</v>
      </c>
      <c r="D18" s="89">
        <f>C18/CAA!C18</f>
        <v>0.40467970677505816</v>
      </c>
      <c r="P18" s="149" t="s">
        <v>35</v>
      </c>
      <c r="Q18" s="149"/>
      <c r="R18" s="149"/>
      <c r="S18" s="149"/>
      <c r="T18" s="149"/>
      <c r="U18" s="92"/>
      <c r="V18" s="92"/>
      <c r="W18" s="92"/>
      <c r="Y18" s="150" t="s">
        <v>36</v>
      </c>
      <c r="Z18" s="150"/>
      <c r="AA18" s="25" t="s">
        <v>12</v>
      </c>
    </row>
    <row r="19" spans="2:29" x14ac:dyDescent="0.55000000000000004">
      <c r="B19" s="21" t="s">
        <v>37</v>
      </c>
      <c r="C19" s="88">
        <f>MCB!H15</f>
        <v>89358</v>
      </c>
      <c r="D19" s="89">
        <f>C19/CAA!C19</f>
        <v>0.39362503468964333</v>
      </c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  <c r="W19" s="18"/>
    </row>
    <row r="20" spans="2:29" x14ac:dyDescent="0.55000000000000004">
      <c r="B20" s="21" t="s">
        <v>38</v>
      </c>
      <c r="C20" s="88">
        <f>MCB!H16</f>
        <v>74831</v>
      </c>
      <c r="D20" s="89">
        <f>C20/CAA!C20</f>
        <v>0.3608817685526341</v>
      </c>
      <c r="P20" s="28" t="s">
        <v>16</v>
      </c>
      <c r="Q20" s="12"/>
      <c r="R20" s="12"/>
      <c r="S20" s="12"/>
      <c r="T20" s="12"/>
      <c r="U20" s="12"/>
      <c r="V20" s="12"/>
      <c r="W20" s="12"/>
    </row>
    <row r="21" spans="2:29" x14ac:dyDescent="0.55000000000000004">
      <c r="B21" s="21" t="s">
        <v>39</v>
      </c>
      <c r="C21" s="88">
        <f>MCB!H17</f>
        <v>77426</v>
      </c>
      <c r="D21" s="89">
        <f>C21/CAA!C21</f>
        <v>0.38202236103298892</v>
      </c>
      <c r="P21" s="28" t="s">
        <v>18</v>
      </c>
      <c r="Q21" s="14">
        <f t="shared" ref="Q21:T29" si="7">IFERROR(Q8/Q7-1,"")</f>
        <v>3.6963650072769916E-2</v>
      </c>
      <c r="R21" s="14">
        <f t="shared" si="7"/>
        <v>8.1954251250367705E-2</v>
      </c>
      <c r="S21" s="14">
        <f t="shared" si="7"/>
        <v>0.17199217476361262</v>
      </c>
      <c r="T21" s="14">
        <f t="shared" si="7"/>
        <v>9.3272253660289239E-2</v>
      </c>
      <c r="U21" s="14"/>
      <c r="V21" s="14"/>
      <c r="W21" s="14"/>
    </row>
    <row r="22" spans="2:29" x14ac:dyDescent="0.55000000000000004">
      <c r="B22" s="22" t="s">
        <v>40</v>
      </c>
      <c r="C22" s="88">
        <f>MCB!H18</f>
        <v>76491</v>
      </c>
      <c r="D22" s="89">
        <f>C22/CAA!C22</f>
        <v>0.37742580119902303</v>
      </c>
      <c r="P22" s="28" t="s">
        <v>20</v>
      </c>
      <c r="Q22" s="14">
        <f t="shared" si="7"/>
        <v>0.22513823832795032</v>
      </c>
      <c r="R22" s="14">
        <f t="shared" si="7"/>
        <v>0.35487160313386923</v>
      </c>
      <c r="S22" s="14">
        <f t="shared" si="7"/>
        <v>0.45098414243983864</v>
      </c>
      <c r="T22" s="14">
        <f t="shared" si="7"/>
        <v>0.49854577123420474</v>
      </c>
      <c r="U22" s="14"/>
      <c r="V22" s="14"/>
      <c r="W22" s="14"/>
      <c r="Z22" s="7">
        <f>_xlfn.XLOOKUP(AA18,Q6:T6,Q5:T5)</f>
        <v>4</v>
      </c>
    </row>
    <row r="23" spans="2:29" x14ac:dyDescent="0.55000000000000004">
      <c r="B23" s="21" t="s">
        <v>41</v>
      </c>
      <c r="C23" s="88">
        <f>MCB!H19</f>
        <v>87163</v>
      </c>
      <c r="D23" s="89">
        <f>C23/CAA!C23</f>
        <v>0.4006646870087246</v>
      </c>
      <c r="P23" s="28" t="s">
        <v>22</v>
      </c>
      <c r="Q23" s="14">
        <f t="shared" si="7"/>
        <v>0.23335771762984647</v>
      </c>
      <c r="R23" s="14">
        <f t="shared" si="7"/>
        <v>-6.1350693660470079E-2</v>
      </c>
      <c r="S23" s="14">
        <f t="shared" si="7"/>
        <v>-7.2175819961892929E-2</v>
      </c>
      <c r="T23" s="14">
        <f t="shared" si="7"/>
        <v>-0.16125530445080427</v>
      </c>
      <c r="U23" s="14"/>
      <c r="V23" s="14"/>
      <c r="W23" s="14"/>
      <c r="Z23" s="7" t="s">
        <v>42</v>
      </c>
    </row>
    <row r="24" spans="2:29" x14ac:dyDescent="0.55000000000000004">
      <c r="B24" s="21" t="s">
        <v>43</v>
      </c>
      <c r="C24" s="88">
        <f>MCB!H20</f>
        <v>83990</v>
      </c>
      <c r="D24" s="89">
        <f>C24/CAA!C24</f>
        <v>0.39273723685810208</v>
      </c>
      <c r="P24" s="28" t="s">
        <v>24</v>
      </c>
      <c r="Q24" s="14">
        <f t="shared" si="7"/>
        <v>-2.4564112894200907E-2</v>
      </c>
      <c r="R24" s="14">
        <f t="shared" si="7"/>
        <v>0.12239579853269378</v>
      </c>
      <c r="S24" s="14">
        <f t="shared" si="7"/>
        <v>0.12788985612068293</v>
      </c>
      <c r="T24" s="14">
        <f t="shared" si="7"/>
        <v>3.4370056607966992E-2</v>
      </c>
      <c r="U24" s="14"/>
      <c r="V24" s="14"/>
      <c r="W24" s="14"/>
      <c r="Z24" s="9" t="s">
        <v>16</v>
      </c>
      <c r="AA24" s="8" cm="1">
        <f t="array" aca="1" ref="AA24:AA33" ca="1">OFFSET(P7,0,$Z$22,COUNT($Q$7:$Q$16),1)</f>
        <v>55665</v>
      </c>
    </row>
    <row r="25" spans="2:29" x14ac:dyDescent="0.55000000000000004">
      <c r="B25" s="21" t="s">
        <v>44</v>
      </c>
      <c r="C25" s="88">
        <f>MCB!H21</f>
        <v>87328</v>
      </c>
      <c r="D25" s="89">
        <f>C25/CAA!C25</f>
        <v>0.3953908496140176</v>
      </c>
      <c r="P25" s="28" t="s">
        <v>26</v>
      </c>
      <c r="Q25" s="14">
        <f t="shared" si="7"/>
        <v>0.16498973188164712</v>
      </c>
      <c r="R25" s="14">
        <f t="shared" si="7"/>
        <v>7.6604357661626432E-2</v>
      </c>
      <c r="S25" s="14">
        <f t="shared" si="7"/>
        <v>5.7289758153169723E-2</v>
      </c>
      <c r="T25" s="14">
        <f t="shared" si="7"/>
        <v>0.15042972699696655</v>
      </c>
      <c r="U25" s="14"/>
      <c r="V25" s="14"/>
      <c r="W25" s="14"/>
      <c r="Z25" s="9" t="s">
        <v>18</v>
      </c>
      <c r="AA25" s="8">
        <f ca="1"/>
        <v>60857</v>
      </c>
      <c r="AC25" s="26" t="str">
        <f>_xlfn.CONCAT(A1," ",AA18," across Years")</f>
        <v>Malaysia Grinds Q4 across Years</v>
      </c>
    </row>
    <row r="26" spans="2:29" x14ac:dyDescent="0.55000000000000004">
      <c r="B26" s="22" t="s">
        <v>45</v>
      </c>
      <c r="C26" s="88">
        <f>MCB!H22</f>
        <v>79120</v>
      </c>
      <c r="D26" s="89">
        <f>C26/CAA!C26</f>
        <v>0.37502962506517512</v>
      </c>
      <c r="P26" s="28" t="s">
        <v>28</v>
      </c>
      <c r="Q26" s="14">
        <f t="shared" si="7"/>
        <v>-7.6626880958008403E-2</v>
      </c>
      <c r="R26" s="14">
        <f t="shared" si="7"/>
        <v>2.5546315137574549E-3</v>
      </c>
      <c r="S26" s="14">
        <f t="shared" si="7"/>
        <v>-2.642666060153176E-3</v>
      </c>
      <c r="T26" s="14">
        <f t="shared" si="7"/>
        <v>-3.4222495660389818E-2</v>
      </c>
      <c r="U26" s="14"/>
      <c r="V26" s="14"/>
      <c r="W26" s="14"/>
      <c r="Z26" s="9" t="s">
        <v>20</v>
      </c>
      <c r="AA26" s="8">
        <f ca="1"/>
        <v>91197</v>
      </c>
    </row>
    <row r="27" spans="2:29" x14ac:dyDescent="0.55000000000000004">
      <c r="B27" s="21" t="s">
        <v>46</v>
      </c>
      <c r="C27" s="88">
        <f>MCB!H23</f>
        <v>101544</v>
      </c>
      <c r="D27" s="89">
        <f>C27/CAA!C27</f>
        <v>0.43899718558292156</v>
      </c>
      <c r="P27" s="28" t="s">
        <v>30</v>
      </c>
      <c r="Q27" s="14">
        <f t="shared" si="7"/>
        <v>6.1794097885093269E-2</v>
      </c>
      <c r="R27" s="14">
        <f t="shared" si="7"/>
        <v>9.6828636037725513E-2</v>
      </c>
      <c r="S27" s="14">
        <f t="shared" si="7"/>
        <v>-2.283709969919745E-2</v>
      </c>
      <c r="T27" s="14">
        <f t="shared" si="7"/>
        <v>6.7924056104747166E-2</v>
      </c>
      <c r="U27" s="14"/>
      <c r="V27" s="14"/>
      <c r="W27" s="14"/>
      <c r="Z27" s="9" t="s">
        <v>22</v>
      </c>
      <c r="AA27" s="8">
        <f ca="1"/>
        <v>76491</v>
      </c>
    </row>
    <row r="28" spans="2:29" x14ac:dyDescent="0.55000000000000004">
      <c r="B28" s="21" t="s">
        <v>47</v>
      </c>
      <c r="C28" s="88">
        <f>MCB!H24</f>
        <v>90424</v>
      </c>
      <c r="D28" s="89">
        <f>C28/CAA!C28</f>
        <v>0.42390290324546559</v>
      </c>
      <c r="P28" s="28" t="s">
        <v>74</v>
      </c>
      <c r="Q28" s="14">
        <f t="shared" si="7"/>
        <v>-0.14310395050071822</v>
      </c>
      <c r="R28" s="14">
        <f t="shared" si="7"/>
        <v>-0.15327909245421545</v>
      </c>
      <c r="S28" s="14">
        <f t="shared" si="7"/>
        <v>-0.21990576102418202</v>
      </c>
      <c r="T28" s="14">
        <f t="shared" si="7"/>
        <v>-0.35256396599842343</v>
      </c>
      <c r="U28" s="14"/>
      <c r="V28" s="14"/>
      <c r="W28" s="14"/>
      <c r="Z28" s="9" t="s">
        <v>24</v>
      </c>
      <c r="AA28" s="8">
        <f ca="1"/>
        <v>79120</v>
      </c>
    </row>
    <row r="29" spans="2:29" x14ac:dyDescent="0.55000000000000004">
      <c r="B29" s="21" t="s">
        <v>48</v>
      </c>
      <c r="C29" s="88">
        <f>MCB!H25</f>
        <v>92331</v>
      </c>
      <c r="D29" s="89">
        <f>C29/CAA!C29</f>
        <v>0.40337709430088031</v>
      </c>
      <c r="P29" s="28" t="s">
        <v>165</v>
      </c>
      <c r="Q29" s="14">
        <f t="shared" si="7"/>
        <v>-6.7776345094361701E-2</v>
      </c>
      <c r="R29" s="14">
        <f t="shared" si="7"/>
        <v>-5.0000000000000044E-2</v>
      </c>
      <c r="S29" s="14">
        <f t="shared" si="7"/>
        <v>0.29400000000000004</v>
      </c>
      <c r="T29" s="14">
        <f t="shared" si="7"/>
        <v>0.47087857847976311</v>
      </c>
      <c r="Z29" s="9" t="s">
        <v>26</v>
      </c>
      <c r="AA29" s="8">
        <f ca="1"/>
        <v>91022</v>
      </c>
    </row>
    <row r="30" spans="2:29" x14ac:dyDescent="0.55000000000000004">
      <c r="B30" s="22" t="s">
        <v>49</v>
      </c>
      <c r="C30" s="88">
        <f>MCB!H26</f>
        <v>91022</v>
      </c>
      <c r="D30" s="89">
        <f>C30/CAA!C30</f>
        <v>0.39389821706768219</v>
      </c>
      <c r="Z30" s="9" t="s">
        <v>28</v>
      </c>
      <c r="AA30" s="8">
        <f ca="1"/>
        <v>87907</v>
      </c>
    </row>
    <row r="31" spans="2:29" x14ac:dyDescent="0.55000000000000004">
      <c r="B31" s="21" t="s">
        <v>50</v>
      </c>
      <c r="C31" s="88">
        <f>MCB!H27</f>
        <v>93763</v>
      </c>
      <c r="D31" s="89">
        <f>C31/CAA!C31</f>
        <v>0.40624160550418964</v>
      </c>
      <c r="Z31" s="9" t="s">
        <v>30</v>
      </c>
      <c r="AA31" s="8">
        <f ca="1"/>
        <v>93878</v>
      </c>
    </row>
    <row r="32" spans="2:29" ht="15.6" x14ac:dyDescent="0.6">
      <c r="B32" s="21" t="s">
        <v>51</v>
      </c>
      <c r="C32" s="88">
        <f>MCB!H28</f>
        <v>90655</v>
      </c>
      <c r="D32" s="89">
        <f>C32/CAA!C32</f>
        <v>0.4083043580088998</v>
      </c>
      <c r="P32" s="149" t="s">
        <v>52</v>
      </c>
      <c r="Q32" s="149"/>
      <c r="R32" s="149"/>
      <c r="S32" s="149"/>
      <c r="T32" s="149"/>
      <c r="U32" s="92"/>
      <c r="V32" s="92"/>
      <c r="W32" s="92"/>
      <c r="Z32" s="7" t="s">
        <v>74</v>
      </c>
      <c r="AA32" s="8">
        <f ca="1"/>
        <v>60780</v>
      </c>
    </row>
    <row r="33" spans="2:27" x14ac:dyDescent="0.55000000000000004">
      <c r="B33" s="21" t="s">
        <v>53</v>
      </c>
      <c r="C33" s="88">
        <f>MCB!H29</f>
        <v>92087</v>
      </c>
      <c r="D33" s="89">
        <f>C33/CAA!C33</f>
        <v>0.43035933768582607</v>
      </c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W33" s="18"/>
      <c r="Z33" s="7" t="s">
        <v>165</v>
      </c>
      <c r="AA33" s="8">
        <f ca="1"/>
        <v>89400</v>
      </c>
    </row>
    <row r="34" spans="2:27" x14ac:dyDescent="0.55000000000000004">
      <c r="B34" s="22" t="s">
        <v>54</v>
      </c>
      <c r="C34" s="88">
        <f>MCB!H30</f>
        <v>87907</v>
      </c>
      <c r="D34" s="89">
        <f>C34/CAA!C34</f>
        <v>0.41569882913726902</v>
      </c>
      <c r="P34" s="28" t="s">
        <v>16</v>
      </c>
      <c r="Q34" s="41"/>
      <c r="R34" s="41">
        <f t="shared" ref="R34:T43" si="8">IFERROR(R7/Q7-1,"")</f>
        <v>-4.6379911974609445E-2</v>
      </c>
      <c r="S34" s="41">
        <f t="shared" si="8"/>
        <v>-9.7675786996175296E-2</v>
      </c>
      <c r="T34" s="41">
        <f t="shared" si="8"/>
        <v>0.13435360286925335</v>
      </c>
      <c r="U34" s="41"/>
      <c r="V34" s="41"/>
      <c r="W34" s="41"/>
    </row>
    <row r="35" spans="2:27" x14ac:dyDescent="0.55000000000000004">
      <c r="B35" s="21" t="s">
        <v>55</v>
      </c>
      <c r="C35" s="88">
        <f>MCB!H31</f>
        <v>99557</v>
      </c>
      <c r="D35" s="89">
        <f>C35/CAA!C35</f>
        <v>0.47138284675334513</v>
      </c>
      <c r="P35" s="28" t="s">
        <v>18</v>
      </c>
      <c r="Q35" s="41">
        <f t="shared" ref="Q35:Q43" si="9">IFERROR(Q8/T7-1,"")</f>
        <v>6.2373124943860603E-2</v>
      </c>
      <c r="R35" s="41">
        <f t="shared" si="8"/>
        <v>-5.0053266144715058E-3</v>
      </c>
      <c r="S35" s="41">
        <f t="shared" si="8"/>
        <v>-2.2586291871314224E-2</v>
      </c>
      <c r="T35" s="41">
        <f t="shared" si="8"/>
        <v>5.8161774933926935E-2</v>
      </c>
      <c r="U35" s="41"/>
      <c r="V35" s="41"/>
      <c r="W35" s="41"/>
    </row>
    <row r="36" spans="2:27" x14ac:dyDescent="0.55000000000000004">
      <c r="B36" s="21" t="s">
        <v>56</v>
      </c>
      <c r="C36" s="88">
        <f>MCB!H32</f>
        <v>99433</v>
      </c>
      <c r="D36" s="89">
        <f>C36/CAA!C36</f>
        <v>0.44082336563782909</v>
      </c>
      <c r="P36" s="28" t="s">
        <v>20</v>
      </c>
      <c r="Q36" s="41">
        <f t="shared" si="9"/>
        <v>0.19051218430090211</v>
      </c>
      <c r="R36" s="41">
        <f t="shared" si="8"/>
        <v>0.10035748298850256</v>
      </c>
      <c r="S36" s="41">
        <f t="shared" si="8"/>
        <v>4.6749956097438705E-2</v>
      </c>
      <c r="T36" s="41">
        <f t="shared" si="8"/>
        <v>9.2847128186077654E-2</v>
      </c>
      <c r="U36" s="41"/>
      <c r="V36" s="41"/>
      <c r="W36" s="41"/>
    </row>
    <row r="37" spans="2:27" x14ac:dyDescent="0.55000000000000004">
      <c r="B37" s="21" t="s">
        <v>57</v>
      </c>
      <c r="C37" s="88">
        <f>MCB!H33</f>
        <v>89984</v>
      </c>
      <c r="D37" s="89">
        <f>C37/CAA!C37</f>
        <v>0.4175049181544857</v>
      </c>
      <c r="P37" s="28" t="s">
        <v>22</v>
      </c>
      <c r="Q37" s="41">
        <f t="shared" si="9"/>
        <v>-2.016513701108591E-2</v>
      </c>
      <c r="R37" s="41">
        <f t="shared" si="8"/>
        <v>-0.16257078269433067</v>
      </c>
      <c r="S37" s="41">
        <f t="shared" si="8"/>
        <v>3.4678141411981667E-2</v>
      </c>
      <c r="T37" s="41">
        <f t="shared" si="8"/>
        <v>-1.207604680598251E-2</v>
      </c>
      <c r="U37" s="41"/>
      <c r="V37" s="41"/>
      <c r="W37" s="41"/>
    </row>
    <row r="38" spans="2:27" x14ac:dyDescent="0.55000000000000004">
      <c r="B38" s="21" t="s">
        <v>58</v>
      </c>
      <c r="C38" s="88">
        <f>MCB!H34</f>
        <v>93878</v>
      </c>
      <c r="D38" s="89">
        <f>C38/CAA!C38</f>
        <v>0.42439366198774892</v>
      </c>
      <c r="P38" s="28" t="s">
        <v>24</v>
      </c>
      <c r="Q38" s="41">
        <f t="shared" si="9"/>
        <v>0.13951968205409782</v>
      </c>
      <c r="R38" s="41">
        <f t="shared" si="8"/>
        <v>-3.6403060931817444E-2</v>
      </c>
      <c r="S38" s="41">
        <f t="shared" si="8"/>
        <v>3.9742826526967479E-2</v>
      </c>
      <c r="T38" s="41">
        <f t="shared" si="8"/>
        <v>-9.3990472700622885E-2</v>
      </c>
      <c r="U38" s="41"/>
      <c r="V38" s="41"/>
      <c r="W38" s="41"/>
    </row>
    <row r="39" spans="2:27" x14ac:dyDescent="0.55000000000000004">
      <c r="B39" s="66" t="s">
        <v>73</v>
      </c>
      <c r="C39" s="88">
        <f>MCB!H35</f>
        <v>85310</v>
      </c>
      <c r="D39" s="89">
        <f>C39/CAA!C39</f>
        <v>0.39770634717139458</v>
      </c>
      <c r="P39" s="28" t="s">
        <v>26</v>
      </c>
      <c r="Q39" s="41">
        <f t="shared" si="9"/>
        <v>0.28341759352881701</v>
      </c>
      <c r="R39" s="41">
        <f t="shared" si="8"/>
        <v>-0.10950917828724493</v>
      </c>
      <c r="S39" s="41">
        <f t="shared" si="8"/>
        <v>2.1089533752101319E-2</v>
      </c>
      <c r="T39" s="41">
        <f t="shared" si="8"/>
        <v>-1.4177253576805215E-2</v>
      </c>
      <c r="U39" s="41"/>
      <c r="V39" s="41"/>
      <c r="W39" s="41"/>
    </row>
    <row r="40" spans="2:27" x14ac:dyDescent="0.55000000000000004">
      <c r="B40" s="21" t="s">
        <v>178</v>
      </c>
      <c r="C40" s="88">
        <f>MCB!H36</f>
        <v>84192</v>
      </c>
      <c r="D40" s="89">
        <f>C40/CAA!C40</f>
        <v>0.38716263755466546</v>
      </c>
      <c r="P40" s="28" t="s">
        <v>28</v>
      </c>
      <c r="Q40" s="41">
        <f t="shared" si="9"/>
        <v>3.0113598910153527E-2</v>
      </c>
      <c r="R40" s="41">
        <f t="shared" si="8"/>
        <v>-3.3147403560039645E-2</v>
      </c>
      <c r="S40" s="41">
        <f t="shared" si="8"/>
        <v>1.5796150239920648E-2</v>
      </c>
      <c r="T40" s="41">
        <f t="shared" si="8"/>
        <v>-4.5391857699783933E-2</v>
      </c>
      <c r="U40" s="41"/>
      <c r="V40" s="41"/>
      <c r="W40" s="41"/>
    </row>
    <row r="41" spans="2:27" x14ac:dyDescent="0.55000000000000004">
      <c r="B41" s="21" t="s">
        <v>180</v>
      </c>
      <c r="C41" s="88">
        <f>MCB!H37</f>
        <v>70196</v>
      </c>
      <c r="D41" s="89">
        <f>C41/CAA!C41</f>
        <v>0.38544240547337438</v>
      </c>
      <c r="P41" s="28" t="s">
        <v>30</v>
      </c>
      <c r="Q41" s="41">
        <f t="shared" si="9"/>
        <v>0.13252641996655568</v>
      </c>
      <c r="R41" s="41">
        <f t="shared" si="8"/>
        <v>-1.2455176431591664E-3</v>
      </c>
      <c r="S41" s="41">
        <f t="shared" si="8"/>
        <v>-9.5028813371818233E-2</v>
      </c>
      <c r="T41" s="41">
        <f t="shared" si="8"/>
        <v>4.3274359886201985E-2</v>
      </c>
      <c r="U41" s="41"/>
      <c r="V41" s="41"/>
      <c r="W41" s="41"/>
    </row>
    <row r="42" spans="2:27" x14ac:dyDescent="0.55000000000000004">
      <c r="B42" s="21" t="s">
        <v>179</v>
      </c>
      <c r="C42" s="88">
        <f>MCB!H38</f>
        <v>60780</v>
      </c>
      <c r="D42" s="89">
        <f>C42/CAA!C42</f>
        <v>0.33138327163287223</v>
      </c>
      <c r="P42" s="28" t="s">
        <v>74</v>
      </c>
      <c r="Q42" s="41">
        <f t="shared" si="9"/>
        <v>-9.1267389590745429E-2</v>
      </c>
      <c r="R42" s="41">
        <f t="shared" si="8"/>
        <v>-1.3105145938342555E-2</v>
      </c>
      <c r="S42" s="41">
        <f t="shared" si="8"/>
        <v>-0.16623907259597115</v>
      </c>
      <c r="T42" s="41">
        <f t="shared" si="8"/>
        <v>-0.13413869736167305</v>
      </c>
      <c r="U42" s="41"/>
      <c r="V42" s="41"/>
      <c r="W42" s="41"/>
    </row>
    <row r="43" spans="2:27" x14ac:dyDescent="0.55000000000000004">
      <c r="B43" s="66" t="s">
        <v>187</v>
      </c>
      <c r="C43" s="88">
        <f>MCB!H39</f>
        <v>79528</v>
      </c>
      <c r="D43" s="89">
        <f>C43/CAA!C43</f>
        <v>0.40365035376759956</v>
      </c>
      <c r="P43" s="28" t="s">
        <v>165</v>
      </c>
      <c r="Q43" s="41">
        <f t="shared" si="9"/>
        <v>0.30845672918723266</v>
      </c>
      <c r="R43" s="41">
        <f t="shared" si="8"/>
        <v>5.7137108942761916E-3</v>
      </c>
      <c r="S43" s="41">
        <f t="shared" si="8"/>
        <v>0.13567014743243511</v>
      </c>
      <c r="T43" s="41">
        <f t="shared" si="8"/>
        <v>-1.5782966008270227E-2</v>
      </c>
    </row>
    <row r="44" spans="2:27" x14ac:dyDescent="0.55000000000000004">
      <c r="B44" s="21" t="s">
        <v>209</v>
      </c>
      <c r="C44" s="39">
        <f>R15*(1+C4)</f>
        <v>79982.399999999994</v>
      </c>
      <c r="D44" s="89">
        <f>C44/CAA!C44</f>
        <v>0.3578582837814257</v>
      </c>
    </row>
    <row r="45" spans="2:27" x14ac:dyDescent="0.55000000000000004">
      <c r="B45" s="21" t="s">
        <v>210</v>
      </c>
      <c r="C45" s="39">
        <v>90834</v>
      </c>
      <c r="D45" s="89">
        <f>C45/CAA!C45</f>
        <v>0.40434115897901585</v>
      </c>
    </row>
    <row r="46" spans="2:27" x14ac:dyDescent="0.55000000000000004">
      <c r="B46" s="21" t="s">
        <v>211</v>
      </c>
      <c r="C46" s="39">
        <v>89400</v>
      </c>
      <c r="D46" s="89"/>
    </row>
    <row r="48" spans="2:27" x14ac:dyDescent="0.55000000000000004">
      <c r="R48" s="44"/>
    </row>
    <row r="51" spans="5:21" x14ac:dyDescent="0.55000000000000004">
      <c r="E51" s="87"/>
    </row>
    <row r="53" spans="5:21" x14ac:dyDescent="0.55000000000000004">
      <c r="S53" s="7">
        <v>90834</v>
      </c>
    </row>
    <row r="56" spans="5:21" x14ac:dyDescent="0.55000000000000004">
      <c r="R56" s="72">
        <v>0.38</v>
      </c>
      <c r="S56" s="8">
        <f>S53/R56</f>
        <v>239036.84210526315</v>
      </c>
      <c r="U56" s="12">
        <f>AVERAGE(S56:S57)</f>
        <v>230291.5917843389</v>
      </c>
    </row>
    <row r="57" spans="5:21" x14ac:dyDescent="0.55000000000000004">
      <c r="R57" s="72">
        <v>0.41</v>
      </c>
      <c r="S57" s="8">
        <f>S53/R57</f>
        <v>221546.34146341466</v>
      </c>
    </row>
  </sheetData>
  <mergeCells count="4">
    <mergeCell ref="A1:AG1"/>
    <mergeCell ref="P18:T18"/>
    <mergeCell ref="Y18:Z18"/>
    <mergeCell ref="P32:T32"/>
  </mergeCells>
  <conditionalFormatting sqref="Q21:W28 Q29:T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{8A1CBED1-EF34-4540-A64F-FE0A06B56936}</x14:id>
        </ext>
      </extLst>
    </cfRule>
  </conditionalFormatting>
  <conditionalFormatting sqref="Q34:W42 Q43:T4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{655431EB-BDFA-429E-B7CD-24B4D2653401}</x14:id>
        </ext>
      </extLst>
    </cfRule>
  </conditionalFormatting>
  <conditionalFormatting sqref="U7:U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6:V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:V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{5259CDC9-299F-46A4-998F-F8DF163CBD63}</x14:id>
        </ext>
      </extLst>
    </cfRule>
  </conditionalFormatting>
  <conditionalFormatting sqref="W7:W15 Q7:T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{77237E21-01EB-40AB-B0F4-30EA9734A93D}</x14:id>
        </ext>
      </extLst>
    </cfRule>
  </conditionalFormatting>
  <dataValidations count="1">
    <dataValidation type="list" allowBlank="1" showInputMessage="1" showErrorMessage="1" sqref="AA18" xr:uid="{63A9B587-6F84-423C-BBC8-BBD9000BA7CD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CBED1-EF34-4540-A64F-FE0A06B56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Q21:W28 Q29:T29</xm:sqref>
        </x14:conditionalFormatting>
        <x14:conditionalFormatting xmlns:xm="http://schemas.microsoft.com/office/excel/2006/main">
          <x14:cfRule type="dataBar" id="{655431EB-BDFA-429E-B7CD-24B4D26534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Q34:W42 Q43:T43</xm:sqref>
        </x14:conditionalFormatting>
        <x14:conditionalFormatting xmlns:xm="http://schemas.microsoft.com/office/excel/2006/main">
          <x14:cfRule type="dataBar" id="{5259CDC9-299F-46A4-998F-F8DF163CB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>
          <x14:cfRule type="dataBar" id="{77237E21-01EB-40AB-B0F4-30EA9734A9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1FA7-AC6D-4437-9A17-6C3E49738BE4}">
  <sheetPr codeName="Sheet17"/>
  <dimension ref="A1:AH51"/>
  <sheetViews>
    <sheetView showGridLines="0" zoomScale="55" zoomScaleNormal="55" workbookViewId="0">
      <selection activeCell="T55" sqref="T55"/>
    </sheetView>
  </sheetViews>
  <sheetFormatPr defaultColWidth="9.15625" defaultRowHeight="14.4" x14ac:dyDescent="0.55000000000000004"/>
  <cols>
    <col min="1" max="1" width="9.15625" style="7"/>
    <col min="2" max="2" width="10.41796875" style="7" bestFit="1" customWidth="1"/>
    <col min="3" max="3" width="8.26171875" style="7" bestFit="1" customWidth="1"/>
    <col min="4" max="4" width="9.26171875" style="7" customWidth="1"/>
    <col min="5" max="5" width="10.83984375" style="7" bestFit="1" customWidth="1"/>
    <col min="6" max="6" width="6.41796875" style="7" customWidth="1"/>
    <col min="7" max="14" width="9.15625" style="7"/>
    <col min="15" max="15" width="4.578125" style="7" customWidth="1"/>
    <col min="16" max="16" width="9.15625" style="7"/>
    <col min="17" max="23" width="9.15625" style="7" customWidth="1"/>
    <col min="24" max="24" width="11.26171875" style="7" customWidth="1"/>
    <col min="25" max="25" width="9.15625" style="7"/>
    <col min="26" max="26" width="13.578125" style="7" customWidth="1"/>
    <col min="27" max="27" width="11.578125" style="7" bestFit="1" customWidth="1"/>
    <col min="28" max="16384" width="9.15625" style="7"/>
  </cols>
  <sheetData>
    <row r="1" spans="1:34" s="5" customFormat="1" ht="55.5" customHeight="1" x14ac:dyDescent="0.55000000000000004">
      <c r="A1" s="148" t="s">
        <v>182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4" s="6" customFormat="1" ht="5.25" customHeight="1" x14ac:dyDescent="0.6"/>
    <row r="3" spans="1:34" x14ac:dyDescent="0.55000000000000004">
      <c r="Y3" s="20">
        <f>COUNT(Q16:T16)</f>
        <v>3</v>
      </c>
      <c r="Z3" s="19" t="str">
        <f ca="1">OFFSET(P6,0,$Y$3,1,1)</f>
        <v>Q3</v>
      </c>
    </row>
    <row r="4" spans="1:34" x14ac:dyDescent="0.55000000000000004">
      <c r="Y4" s="20"/>
      <c r="Z4" s="19"/>
    </row>
    <row r="5" spans="1:34" ht="14.7" thickBot="1" x14ac:dyDescent="0.6">
      <c r="Q5" s="7">
        <v>1</v>
      </c>
      <c r="R5" s="7">
        <v>2</v>
      </c>
      <c r="S5" s="7">
        <v>3</v>
      </c>
      <c r="T5" s="7">
        <v>4</v>
      </c>
    </row>
    <row r="6" spans="1:34" ht="15.6" x14ac:dyDescent="0.6">
      <c r="B6" s="23" t="s">
        <v>7</v>
      </c>
      <c r="C6" s="23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W6" s="24"/>
      <c r="Y6" s="16" t="s">
        <v>42</v>
      </c>
      <c r="Z6" s="16" t="str">
        <f ca="1">_xlfn.CONCAT("YTD (Q1 to ",Z3,")")</f>
        <v>YTD (Q1 to Q3)</v>
      </c>
      <c r="AA6" s="16" t="s">
        <v>14</v>
      </c>
      <c r="AE6" s="15" t="s">
        <v>9</v>
      </c>
      <c r="AF6" s="15" t="s">
        <v>10</v>
      </c>
      <c r="AG6" s="15" t="s">
        <v>11</v>
      </c>
      <c r="AH6" s="15" t="s">
        <v>12</v>
      </c>
    </row>
    <row r="7" spans="1:34" x14ac:dyDescent="0.55000000000000004">
      <c r="B7" s="21" t="s">
        <v>15</v>
      </c>
      <c r="C7" s="88">
        <f>CAA!C7-Malaysia!C7</f>
        <v>120421</v>
      </c>
      <c r="D7" s="89"/>
      <c r="P7" s="28" t="s">
        <v>16</v>
      </c>
      <c r="Q7" s="12">
        <f>C7</f>
        <v>120421</v>
      </c>
      <c r="R7" s="12">
        <f>C8</f>
        <v>123066</v>
      </c>
      <c r="S7" s="12">
        <f>C9</f>
        <v>111806</v>
      </c>
      <c r="T7" s="12">
        <f>C10</f>
        <v>133742</v>
      </c>
      <c r="U7" s="95">
        <f>SUM(Q7:T7)</f>
        <v>489035</v>
      </c>
      <c r="V7" s="96"/>
      <c r="W7" s="12"/>
      <c r="Y7" s="28" t="s">
        <v>16</v>
      </c>
      <c r="Z7" s="8">
        <f ca="1">SUM(OFFSET(Q7,0,0,1,$Y$3))</f>
        <v>355293</v>
      </c>
      <c r="AD7" s="9">
        <v>2017</v>
      </c>
      <c r="AE7" s="12">
        <f>Q7</f>
        <v>120421</v>
      </c>
      <c r="AF7" s="12">
        <f>AE7+R7</f>
        <v>243487</v>
      </c>
      <c r="AG7" s="12">
        <f>AF7+S7</f>
        <v>355293</v>
      </c>
      <c r="AH7" s="12">
        <f>AG7+T7</f>
        <v>489035</v>
      </c>
    </row>
    <row r="8" spans="1:34" x14ac:dyDescent="0.55000000000000004">
      <c r="B8" s="21" t="s">
        <v>17</v>
      </c>
      <c r="C8" s="88">
        <f>CAA!C8-Malaysia!C8</f>
        <v>123066</v>
      </c>
      <c r="D8" s="89"/>
      <c r="P8" s="28" t="s">
        <v>18</v>
      </c>
      <c r="Q8" s="12">
        <f>C11</f>
        <v>137339</v>
      </c>
      <c r="R8" s="12">
        <f>C12</f>
        <v>131403</v>
      </c>
      <c r="S8" s="12">
        <f>C13</f>
        <v>127882</v>
      </c>
      <c r="T8" s="12">
        <f>C14</f>
        <v>135561</v>
      </c>
      <c r="U8" s="95">
        <f t="shared" ref="U8:U15" si="0">SUM(Q8:T8)</f>
        <v>532185</v>
      </c>
      <c r="V8" s="97">
        <f>U8/U7-1</f>
        <v>8.823499340537988E-2</v>
      </c>
      <c r="W8" s="12"/>
      <c r="Y8" s="28" t="s">
        <v>18</v>
      </c>
      <c r="Z8" s="8">
        <f t="shared" ref="Z8:Z14" ca="1" si="1">SUM(OFFSET(Q8,0,0,1,$Y$3))</f>
        <v>396624</v>
      </c>
      <c r="AA8" s="14">
        <f ca="1">Z8/Z7-1</f>
        <v>0.11632933944659762</v>
      </c>
      <c r="AD8" s="9">
        <v>2018</v>
      </c>
      <c r="AE8" s="12">
        <f t="shared" ref="AE8:AE14" si="2">Q8</f>
        <v>137339</v>
      </c>
      <c r="AF8" s="12">
        <f t="shared" ref="AF8:AF13" si="3">AE8+R8</f>
        <v>268742</v>
      </c>
      <c r="AG8" s="12">
        <f t="shared" ref="AG8:AH13" si="4">AF8+S8</f>
        <v>396624</v>
      </c>
      <c r="AH8" s="12">
        <f t="shared" si="4"/>
        <v>532185</v>
      </c>
    </row>
    <row r="9" spans="1:34" x14ac:dyDescent="0.55000000000000004">
      <c r="B9" s="21" t="s">
        <v>19</v>
      </c>
      <c r="C9" s="88">
        <f>CAA!C9-Malaysia!C9</f>
        <v>111806</v>
      </c>
      <c r="D9" s="89"/>
      <c r="P9" s="28" t="s">
        <v>20</v>
      </c>
      <c r="Q9" s="12">
        <f>C15</f>
        <v>136449</v>
      </c>
      <c r="R9" s="12">
        <f>C16</f>
        <v>128666</v>
      </c>
      <c r="S9" s="12">
        <f>C17</f>
        <v>132125</v>
      </c>
      <c r="T9" s="12">
        <f>C18</f>
        <v>134159</v>
      </c>
      <c r="U9" s="95">
        <f t="shared" si="0"/>
        <v>531399</v>
      </c>
      <c r="V9" s="97">
        <f t="shared" ref="V9:V15" si="5">U9/U8-1</f>
        <v>-1.4769300149384268E-3</v>
      </c>
      <c r="W9" s="12"/>
      <c r="Y9" s="28" t="s">
        <v>20</v>
      </c>
      <c r="Z9" s="8">
        <f t="shared" ca="1" si="1"/>
        <v>397240</v>
      </c>
      <c r="AA9" s="14">
        <f t="shared" ref="AA9:AA14" ca="1" si="6">Z9/Z8-1</f>
        <v>1.553108233490752E-3</v>
      </c>
      <c r="AD9" s="9">
        <v>2019</v>
      </c>
      <c r="AE9" s="12">
        <f t="shared" si="2"/>
        <v>136449</v>
      </c>
      <c r="AF9" s="12">
        <f t="shared" si="3"/>
        <v>265115</v>
      </c>
      <c r="AG9" s="12">
        <f t="shared" si="4"/>
        <v>397240</v>
      </c>
      <c r="AH9" s="12">
        <f t="shared" si="4"/>
        <v>531399</v>
      </c>
    </row>
    <row r="10" spans="1:34" x14ac:dyDescent="0.55000000000000004">
      <c r="B10" s="22" t="s">
        <v>21</v>
      </c>
      <c r="C10" s="88">
        <f>CAA!C10-Malaysia!C10</f>
        <v>133742</v>
      </c>
      <c r="D10" s="89"/>
      <c r="P10" s="28" t="s">
        <v>22</v>
      </c>
      <c r="Q10" s="12">
        <f>C19</f>
        <v>137655</v>
      </c>
      <c r="R10" s="12">
        <f>C20</f>
        <v>132525</v>
      </c>
      <c r="S10" s="12">
        <f>C21</f>
        <v>125248</v>
      </c>
      <c r="T10" s="12">
        <f>C22</f>
        <v>126174</v>
      </c>
      <c r="U10" s="95">
        <f t="shared" si="0"/>
        <v>521602</v>
      </c>
      <c r="V10" s="97">
        <f t="shared" si="5"/>
        <v>-1.8436240941364201E-2</v>
      </c>
      <c r="W10" s="12"/>
      <c r="Y10" s="28" t="s">
        <v>22</v>
      </c>
      <c r="Z10" s="8">
        <f t="shared" ca="1" si="1"/>
        <v>395428</v>
      </c>
      <c r="AA10" s="14">
        <f t="shared" ca="1" si="6"/>
        <v>-4.561474171785318E-3</v>
      </c>
      <c r="AD10" s="9">
        <v>2020</v>
      </c>
      <c r="AE10" s="12">
        <f t="shared" si="2"/>
        <v>137655</v>
      </c>
      <c r="AF10" s="12">
        <f t="shared" si="3"/>
        <v>270180</v>
      </c>
      <c r="AG10" s="12">
        <f t="shared" si="4"/>
        <v>395428</v>
      </c>
      <c r="AH10" s="12">
        <f t="shared" si="4"/>
        <v>521602</v>
      </c>
    </row>
    <row r="11" spans="1:34" x14ac:dyDescent="0.55000000000000004">
      <c r="B11" s="21" t="s">
        <v>23</v>
      </c>
      <c r="C11" s="88">
        <f>CAA!C11-Malaysia!C11</f>
        <v>137339</v>
      </c>
      <c r="D11" s="89"/>
      <c r="P11" s="28" t="s">
        <v>24</v>
      </c>
      <c r="Q11" s="12">
        <f>C23</f>
        <v>130383</v>
      </c>
      <c r="R11" s="12">
        <f>C24</f>
        <v>129868</v>
      </c>
      <c r="S11" s="12">
        <f>C25</f>
        <v>133537</v>
      </c>
      <c r="T11" s="12">
        <f>C26</f>
        <v>131850</v>
      </c>
      <c r="U11" s="95">
        <f t="shared" si="0"/>
        <v>525638</v>
      </c>
      <c r="V11" s="97">
        <f t="shared" si="5"/>
        <v>7.7377003922531884E-3</v>
      </c>
      <c r="W11" s="12"/>
      <c r="Y11" s="28" t="s">
        <v>24</v>
      </c>
      <c r="Z11" s="8">
        <f t="shared" ca="1" si="1"/>
        <v>393788</v>
      </c>
      <c r="AA11" s="14">
        <f t="shared" ca="1" si="6"/>
        <v>-4.1474048372902583E-3</v>
      </c>
      <c r="AD11" s="9">
        <v>2021</v>
      </c>
      <c r="AE11" s="12">
        <f t="shared" si="2"/>
        <v>130383</v>
      </c>
      <c r="AF11" s="12">
        <f t="shared" si="3"/>
        <v>260251</v>
      </c>
      <c r="AG11" s="12">
        <f t="shared" si="4"/>
        <v>393788</v>
      </c>
      <c r="AH11" s="12">
        <f t="shared" si="4"/>
        <v>525638</v>
      </c>
    </row>
    <row r="12" spans="1:34" x14ac:dyDescent="0.55000000000000004">
      <c r="B12" s="21" t="s">
        <v>25</v>
      </c>
      <c r="C12" s="88">
        <f>CAA!C12-Malaysia!C12</f>
        <v>131403</v>
      </c>
      <c r="D12" s="89"/>
      <c r="P12" s="28" t="s">
        <v>26</v>
      </c>
      <c r="Q12" s="12">
        <f>C27</f>
        <v>129765</v>
      </c>
      <c r="R12" s="12">
        <f>C28</f>
        <v>122889</v>
      </c>
      <c r="S12" s="12">
        <f>C29</f>
        <v>136564</v>
      </c>
      <c r="T12" s="12">
        <f>C30</f>
        <v>140058</v>
      </c>
      <c r="U12" s="95">
        <f t="shared" si="0"/>
        <v>529276</v>
      </c>
      <c r="V12" s="97">
        <f t="shared" si="5"/>
        <v>6.9211130093334017E-3</v>
      </c>
      <c r="W12" s="12"/>
      <c r="Y12" s="28" t="s">
        <v>26</v>
      </c>
      <c r="Z12" s="8">
        <f t="shared" ca="1" si="1"/>
        <v>389218</v>
      </c>
      <c r="AA12" s="14">
        <f t="shared" ca="1" si="6"/>
        <v>-1.1605229209625478E-2</v>
      </c>
      <c r="AD12" s="9">
        <v>2022</v>
      </c>
      <c r="AE12" s="12">
        <f t="shared" si="2"/>
        <v>129765</v>
      </c>
      <c r="AF12" s="12">
        <f t="shared" si="3"/>
        <v>252654</v>
      </c>
      <c r="AG12" s="12">
        <f t="shared" si="4"/>
        <v>389218</v>
      </c>
      <c r="AH12" s="12">
        <f t="shared" si="4"/>
        <v>529276</v>
      </c>
    </row>
    <row r="13" spans="1:34" x14ac:dyDescent="0.55000000000000004">
      <c r="B13" s="21" t="s">
        <v>27</v>
      </c>
      <c r="C13" s="88">
        <f>CAA!C13-Malaysia!C13</f>
        <v>127882</v>
      </c>
      <c r="D13" s="89"/>
      <c r="P13" s="28" t="s">
        <v>28</v>
      </c>
      <c r="Q13" s="12">
        <f>IF(C31=0,"",C31)</f>
        <v>137043</v>
      </c>
      <c r="R13" s="12">
        <f>IF(C32=0,"",C32)</f>
        <v>131373</v>
      </c>
      <c r="S13" s="12">
        <f>IF(C33=0,"",C33)</f>
        <v>121890</v>
      </c>
      <c r="T13" s="12">
        <f>IF(C34=0,NA(),C34)</f>
        <v>123561</v>
      </c>
      <c r="U13" s="95">
        <f t="shared" si="0"/>
        <v>513867</v>
      </c>
      <c r="V13" s="97">
        <f t="shared" si="5"/>
        <v>-2.9113354846998507E-2</v>
      </c>
      <c r="W13" s="12"/>
      <c r="Y13" s="28" t="s">
        <v>28</v>
      </c>
      <c r="Z13" s="8">
        <f t="shared" ca="1" si="1"/>
        <v>390306</v>
      </c>
      <c r="AA13" s="14">
        <f t="shared" ca="1" si="6"/>
        <v>2.7953486221088397E-3</v>
      </c>
      <c r="AD13" s="9">
        <v>2023</v>
      </c>
      <c r="AE13" s="12">
        <f t="shared" si="2"/>
        <v>137043</v>
      </c>
      <c r="AF13" s="12">
        <f t="shared" si="3"/>
        <v>268416</v>
      </c>
      <c r="AG13" s="12">
        <f t="shared" si="4"/>
        <v>390306</v>
      </c>
      <c r="AH13" s="12">
        <f t="shared" si="4"/>
        <v>513867</v>
      </c>
    </row>
    <row r="14" spans="1:34" x14ac:dyDescent="0.55000000000000004">
      <c r="B14" s="22" t="s">
        <v>29</v>
      </c>
      <c r="C14" s="88">
        <f>CAA!C14-Malaysia!C14</f>
        <v>135561</v>
      </c>
      <c r="D14" s="89"/>
      <c r="P14" s="28" t="s">
        <v>30</v>
      </c>
      <c r="Q14" s="12">
        <f>C35</f>
        <v>111645</v>
      </c>
      <c r="R14" s="12">
        <f>C36</f>
        <v>126129</v>
      </c>
      <c r="S14" s="12">
        <f>C37</f>
        <v>125544</v>
      </c>
      <c r="T14" s="12">
        <f>C38</f>
        <v>127327</v>
      </c>
      <c r="U14" s="95">
        <f t="shared" si="0"/>
        <v>490645</v>
      </c>
      <c r="V14" s="97">
        <f t="shared" si="5"/>
        <v>-4.5190681635520424E-2</v>
      </c>
      <c r="W14" s="12"/>
      <c r="Y14" s="28" t="s">
        <v>30</v>
      </c>
      <c r="Z14" s="8">
        <f t="shared" ca="1" si="1"/>
        <v>363318</v>
      </c>
      <c r="AA14" s="14">
        <f t="shared" ca="1" si="6"/>
        <v>-6.91457471829795E-2</v>
      </c>
      <c r="AD14" s="9">
        <v>2024</v>
      </c>
      <c r="AE14" s="12">
        <f t="shared" si="2"/>
        <v>111645</v>
      </c>
      <c r="AF14" s="12"/>
      <c r="AG14" s="12"/>
      <c r="AH14" s="12"/>
    </row>
    <row r="15" spans="1:34" x14ac:dyDescent="0.55000000000000004">
      <c r="B15" s="21" t="s">
        <v>31</v>
      </c>
      <c r="C15" s="88">
        <f>CAA!C15-Malaysia!C15</f>
        <v>136449</v>
      </c>
      <c r="D15" s="89"/>
      <c r="P15" s="28" t="s">
        <v>74</v>
      </c>
      <c r="Q15" s="12">
        <f>C39</f>
        <v>129195</v>
      </c>
      <c r="R15" s="12">
        <f>C40</f>
        <v>133267</v>
      </c>
      <c r="S15" s="12">
        <f>C41</f>
        <v>111922</v>
      </c>
      <c r="T15" s="12">
        <f>C42</f>
        <v>122633</v>
      </c>
      <c r="U15" s="95">
        <f t="shared" si="0"/>
        <v>497017</v>
      </c>
      <c r="V15" s="97">
        <f t="shared" si="5"/>
        <v>1.298698651774699E-2</v>
      </c>
      <c r="W15" s="12"/>
      <c r="Y15" s="28" t="s">
        <v>74</v>
      </c>
      <c r="Z15" s="8">
        <f ca="1">SUM(OFFSET(Q15,0,0,1,$Y$3))</f>
        <v>374384</v>
      </c>
      <c r="AA15" s="14">
        <f ca="1">Z15/Z14-1</f>
        <v>3.0458166124441854E-2</v>
      </c>
    </row>
    <row r="16" spans="1:34" ht="14.7" thickBot="1" x14ac:dyDescent="0.6">
      <c r="B16" s="21" t="s">
        <v>32</v>
      </c>
      <c r="C16" s="88">
        <f>CAA!C16-Malaysia!C16</f>
        <v>128666</v>
      </c>
      <c r="D16" s="89"/>
      <c r="P16" s="28" t="s">
        <v>165</v>
      </c>
      <c r="Q16" s="12">
        <f>C43</f>
        <v>117494</v>
      </c>
      <c r="R16" s="12">
        <f>C44</f>
        <v>143520.6</v>
      </c>
      <c r="S16" s="12">
        <f>C45</f>
        <v>133812.37599999999</v>
      </c>
      <c r="U16" s="98"/>
      <c r="V16" s="99"/>
    </row>
    <row r="17" spans="2:29" x14ac:dyDescent="0.55000000000000004">
      <c r="B17" s="21" t="s">
        <v>33</v>
      </c>
      <c r="C17" s="88">
        <f>CAA!C17-Malaysia!C17</f>
        <v>132125</v>
      </c>
      <c r="D17" s="89"/>
    </row>
    <row r="18" spans="2:29" ht="15.6" x14ac:dyDescent="0.6">
      <c r="B18" s="22" t="s">
        <v>34</v>
      </c>
      <c r="C18" s="88">
        <f>CAA!C18-Malaysia!C18</f>
        <v>134159</v>
      </c>
      <c r="D18" s="89"/>
      <c r="P18" s="149" t="s">
        <v>35</v>
      </c>
      <c r="Q18" s="149"/>
      <c r="R18" s="149"/>
      <c r="S18" s="149"/>
      <c r="T18" s="149"/>
      <c r="U18" s="92"/>
      <c r="V18" s="92"/>
      <c r="W18" s="92"/>
      <c r="Y18" s="150" t="s">
        <v>36</v>
      </c>
      <c r="Z18" s="150"/>
      <c r="AA18" s="25" t="s">
        <v>11</v>
      </c>
    </row>
    <row r="19" spans="2:29" x14ac:dyDescent="0.55000000000000004">
      <c r="B19" s="21" t="s">
        <v>37</v>
      </c>
      <c r="C19" s="88">
        <f>CAA!C19-Malaysia!C19</f>
        <v>137655</v>
      </c>
      <c r="D19" s="89"/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  <c r="W19" s="18"/>
    </row>
    <row r="20" spans="2:29" x14ac:dyDescent="0.55000000000000004">
      <c r="B20" s="21" t="s">
        <v>38</v>
      </c>
      <c r="C20" s="88">
        <f>CAA!C20-Malaysia!C20</f>
        <v>132525</v>
      </c>
      <c r="D20" s="89"/>
      <c r="P20" s="28" t="s">
        <v>16</v>
      </c>
      <c r="Q20" s="12"/>
      <c r="R20" s="12"/>
      <c r="S20" s="12"/>
      <c r="T20" s="12"/>
      <c r="U20" s="12"/>
      <c r="V20" s="12"/>
      <c r="W20" s="12"/>
    </row>
    <row r="21" spans="2:29" x14ac:dyDescent="0.55000000000000004">
      <c r="B21" s="21" t="s">
        <v>39</v>
      </c>
      <c r="C21" s="88">
        <f>CAA!C21-Malaysia!C21</f>
        <v>125248</v>
      </c>
      <c r="D21" s="89"/>
      <c r="P21" s="28" t="s">
        <v>18</v>
      </c>
      <c r="Q21" s="14">
        <f t="shared" ref="Q21:T29" si="7">IFERROR(Q8/Q7-1,"")</f>
        <v>0.14049044601855165</v>
      </c>
      <c r="R21" s="14">
        <f t="shared" si="7"/>
        <v>6.7744137292184758E-2</v>
      </c>
      <c r="S21" s="14">
        <f t="shared" si="7"/>
        <v>0.14378477004811896</v>
      </c>
      <c r="T21" s="14">
        <f t="shared" si="7"/>
        <v>1.3600813506602361E-2</v>
      </c>
      <c r="U21" s="14"/>
      <c r="V21" s="14"/>
      <c r="W21" s="14"/>
    </row>
    <row r="22" spans="2:29" x14ac:dyDescent="0.55000000000000004">
      <c r="B22" s="22" t="s">
        <v>40</v>
      </c>
      <c r="C22" s="88">
        <f>CAA!C22-Malaysia!C22</f>
        <v>126174</v>
      </c>
      <c r="D22" s="89"/>
      <c r="P22" s="28" t="s">
        <v>20</v>
      </c>
      <c r="Q22" s="14">
        <f t="shared" si="7"/>
        <v>-6.4803151326280339E-3</v>
      </c>
      <c r="R22" s="14">
        <f t="shared" si="7"/>
        <v>-2.0829052609148913E-2</v>
      </c>
      <c r="S22" s="14">
        <f t="shared" si="7"/>
        <v>3.317902441313092E-2</v>
      </c>
      <c r="T22" s="14">
        <f t="shared" si="7"/>
        <v>-1.0342207567073158E-2</v>
      </c>
      <c r="U22" s="14"/>
      <c r="V22" s="14"/>
      <c r="W22" s="14"/>
      <c r="Z22" s="7">
        <f>_xlfn.XLOOKUP(AA18,Q6:T6,Q5:T5)</f>
        <v>3</v>
      </c>
    </row>
    <row r="23" spans="2:29" x14ac:dyDescent="0.55000000000000004">
      <c r="B23" s="21" t="s">
        <v>41</v>
      </c>
      <c r="C23" s="88">
        <f>CAA!C23-Malaysia!C23</f>
        <v>130383</v>
      </c>
      <c r="D23" s="89"/>
      <c r="P23" s="28" t="s">
        <v>22</v>
      </c>
      <c r="Q23" s="14">
        <f t="shared" si="7"/>
        <v>8.8384671195831377E-3</v>
      </c>
      <c r="R23" s="14">
        <f t="shared" si="7"/>
        <v>2.9992383380224696E-2</v>
      </c>
      <c r="S23" s="14">
        <f t="shared" si="7"/>
        <v>-5.2049195837275297E-2</v>
      </c>
      <c r="T23" s="14">
        <f t="shared" si="7"/>
        <v>-5.9518929031969536E-2</v>
      </c>
      <c r="U23" s="14"/>
      <c r="V23" s="14"/>
      <c r="W23" s="14"/>
      <c r="Z23" s="7" t="s">
        <v>42</v>
      </c>
    </row>
    <row r="24" spans="2:29" x14ac:dyDescent="0.55000000000000004">
      <c r="B24" s="21" t="s">
        <v>43</v>
      </c>
      <c r="C24" s="88">
        <f>CAA!C24-Malaysia!C24</f>
        <v>129868</v>
      </c>
      <c r="D24" s="89"/>
      <c r="P24" s="28" t="s">
        <v>24</v>
      </c>
      <c r="Q24" s="14">
        <f t="shared" si="7"/>
        <v>-5.2827721477607059E-2</v>
      </c>
      <c r="R24" s="14">
        <f t="shared" si="7"/>
        <v>-2.0049047349556703E-2</v>
      </c>
      <c r="S24" s="14">
        <f t="shared" si="7"/>
        <v>6.6180697496167618E-2</v>
      </c>
      <c r="T24" s="14">
        <f t="shared" si="7"/>
        <v>4.4985496219506427E-2</v>
      </c>
      <c r="U24" s="14"/>
      <c r="V24" s="14"/>
      <c r="W24" s="14"/>
      <c r="Z24" s="9" t="s">
        <v>16</v>
      </c>
      <c r="AA24" s="8" cm="1">
        <f t="array" aca="1" ref="AA24:AA33" ca="1">OFFSET(P7,0,$Z$22,COUNT($Q$7:$Q$16),1)</f>
        <v>111806</v>
      </c>
    </row>
    <row r="25" spans="2:29" x14ac:dyDescent="0.55000000000000004">
      <c r="B25" s="21" t="s">
        <v>44</v>
      </c>
      <c r="C25" s="88">
        <f>CAA!C25-Malaysia!C25</f>
        <v>133537</v>
      </c>
      <c r="D25" s="89"/>
      <c r="P25" s="28" t="s">
        <v>26</v>
      </c>
      <c r="Q25" s="14">
        <f t="shared" si="7"/>
        <v>-4.739881733048068E-3</v>
      </c>
      <c r="R25" s="14">
        <f t="shared" si="7"/>
        <v>-5.3739181322573715E-2</v>
      </c>
      <c r="S25" s="14">
        <f t="shared" si="7"/>
        <v>2.2667874821210576E-2</v>
      </c>
      <c r="T25" s="14">
        <f t="shared" si="7"/>
        <v>6.2252559726962531E-2</v>
      </c>
      <c r="U25" s="14"/>
      <c r="V25" s="14"/>
      <c r="W25" s="14"/>
      <c r="Z25" s="9" t="s">
        <v>18</v>
      </c>
      <c r="AA25" s="8">
        <f ca="1"/>
        <v>127882</v>
      </c>
      <c r="AC25" s="26" t="str">
        <f>_xlfn.CONCAT(A1," ",AA18," across Years")</f>
        <v>CAA : Non Malaysian Grind Q3 across Years</v>
      </c>
    </row>
    <row r="26" spans="2:29" x14ac:dyDescent="0.55000000000000004">
      <c r="B26" s="22" t="s">
        <v>45</v>
      </c>
      <c r="C26" s="88">
        <f>CAA!C26-Malaysia!C26</f>
        <v>131850</v>
      </c>
      <c r="D26" s="89"/>
      <c r="P26" s="28" t="s">
        <v>28</v>
      </c>
      <c r="Q26" s="14">
        <f t="shared" si="7"/>
        <v>5.6086001618310011E-2</v>
      </c>
      <c r="R26" s="14">
        <f t="shared" si="7"/>
        <v>6.9037912262285506E-2</v>
      </c>
      <c r="S26" s="14">
        <f t="shared" si="7"/>
        <v>-0.107451451334173</v>
      </c>
      <c r="T26" s="14">
        <f t="shared" si="7"/>
        <v>-0.1177869168487341</v>
      </c>
      <c r="U26" s="14"/>
      <c r="V26" s="14"/>
      <c r="W26" s="14"/>
      <c r="Z26" s="9" t="s">
        <v>20</v>
      </c>
      <c r="AA26" s="8">
        <f ca="1"/>
        <v>132125</v>
      </c>
    </row>
    <row r="27" spans="2:29" x14ac:dyDescent="0.55000000000000004">
      <c r="B27" s="21" t="s">
        <v>46</v>
      </c>
      <c r="C27" s="88">
        <f>CAA!C27-Malaysia!C27</f>
        <v>129765</v>
      </c>
      <c r="D27" s="89"/>
      <c r="P27" s="28" t="s">
        <v>30</v>
      </c>
      <c r="Q27" s="14">
        <f t="shared" si="7"/>
        <v>-0.18532869245419326</v>
      </c>
      <c r="R27" s="14">
        <f t="shared" si="7"/>
        <v>-3.9916877897284819E-2</v>
      </c>
      <c r="S27" s="14">
        <f t="shared" si="7"/>
        <v>2.9977848880137881E-2</v>
      </c>
      <c r="T27" s="14">
        <f t="shared" si="7"/>
        <v>3.047887278348349E-2</v>
      </c>
      <c r="U27" s="14"/>
      <c r="V27" s="14"/>
      <c r="W27" s="14"/>
      <c r="Z27" s="9" t="s">
        <v>22</v>
      </c>
      <c r="AA27" s="8">
        <f ca="1"/>
        <v>125248</v>
      </c>
    </row>
    <row r="28" spans="2:29" x14ac:dyDescent="0.55000000000000004">
      <c r="B28" s="21" t="s">
        <v>47</v>
      </c>
      <c r="C28" s="88">
        <f>CAA!C28-Malaysia!C28</f>
        <v>122889</v>
      </c>
      <c r="D28" s="89"/>
      <c r="P28" s="28" t="s">
        <v>74</v>
      </c>
      <c r="Q28" s="14">
        <f t="shared" si="7"/>
        <v>0.15719467956469169</v>
      </c>
      <c r="R28" s="14">
        <f t="shared" si="7"/>
        <v>5.6592853348555794E-2</v>
      </c>
      <c r="S28" s="14">
        <f t="shared" si="7"/>
        <v>-0.1085037914993946</v>
      </c>
      <c r="T28" s="14">
        <f t="shared" si="7"/>
        <v>-3.6865707980239804E-2</v>
      </c>
      <c r="U28" s="14"/>
      <c r="V28" s="14"/>
      <c r="W28" s="14"/>
      <c r="Z28" s="9" t="s">
        <v>24</v>
      </c>
      <c r="AA28" s="8">
        <f ca="1"/>
        <v>133537</v>
      </c>
    </row>
    <row r="29" spans="2:29" x14ac:dyDescent="0.55000000000000004">
      <c r="B29" s="21" t="s">
        <v>48</v>
      </c>
      <c r="C29" s="88">
        <f>CAA!C29-Malaysia!C29</f>
        <v>136564</v>
      </c>
      <c r="D29" s="89"/>
      <c r="P29" s="28" t="s">
        <v>165</v>
      </c>
      <c r="Q29" s="14">
        <f t="shared" si="7"/>
        <v>-9.0568520453577883E-2</v>
      </c>
      <c r="R29" s="14">
        <f t="shared" si="7"/>
        <v>7.6940277788199563E-2</v>
      </c>
      <c r="S29" s="14">
        <f t="shared" si="7"/>
        <v>0.1955859973910401</v>
      </c>
      <c r="Z29" s="9" t="s">
        <v>26</v>
      </c>
      <c r="AA29" s="8">
        <f ca="1"/>
        <v>136564</v>
      </c>
    </row>
    <row r="30" spans="2:29" x14ac:dyDescent="0.55000000000000004">
      <c r="B30" s="22" t="s">
        <v>49</v>
      </c>
      <c r="C30" s="88">
        <f>CAA!C30-Malaysia!C30</f>
        <v>140058</v>
      </c>
      <c r="D30" s="89"/>
      <c r="Z30" s="9" t="s">
        <v>28</v>
      </c>
      <c r="AA30" s="8">
        <f ca="1"/>
        <v>121890</v>
      </c>
    </row>
    <row r="31" spans="2:29" x14ac:dyDescent="0.55000000000000004">
      <c r="B31" s="21" t="s">
        <v>50</v>
      </c>
      <c r="C31" s="88">
        <f>CAA!C31-Malaysia!C31</f>
        <v>137043</v>
      </c>
      <c r="D31" s="89"/>
      <c r="Z31" s="9" t="s">
        <v>30</v>
      </c>
      <c r="AA31" s="8">
        <f ca="1"/>
        <v>125544</v>
      </c>
    </row>
    <row r="32" spans="2:29" ht="15.6" x14ac:dyDescent="0.6">
      <c r="B32" s="21" t="s">
        <v>51</v>
      </c>
      <c r="C32" s="88">
        <f>CAA!C32-Malaysia!C32</f>
        <v>131373</v>
      </c>
      <c r="D32" s="89"/>
      <c r="P32" s="149" t="s">
        <v>52</v>
      </c>
      <c r="Q32" s="149"/>
      <c r="R32" s="149"/>
      <c r="S32" s="149"/>
      <c r="T32" s="149"/>
      <c r="U32" s="92"/>
      <c r="V32" s="92"/>
      <c r="W32" s="92"/>
      <c r="Z32" s="7" t="s">
        <v>74</v>
      </c>
      <c r="AA32" s="8">
        <f ca="1"/>
        <v>111922</v>
      </c>
    </row>
    <row r="33" spans="2:27" x14ac:dyDescent="0.55000000000000004">
      <c r="B33" s="21" t="s">
        <v>53</v>
      </c>
      <c r="C33" s="88">
        <f>CAA!C33-Malaysia!C33</f>
        <v>121890</v>
      </c>
      <c r="D33" s="89"/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W33" s="18"/>
      <c r="Z33" s="7" t="s">
        <v>165</v>
      </c>
      <c r="AA33" s="8">
        <f ca="1"/>
        <v>133812.37599999999</v>
      </c>
    </row>
    <row r="34" spans="2:27" x14ac:dyDescent="0.55000000000000004">
      <c r="B34" s="22" t="s">
        <v>54</v>
      </c>
      <c r="C34" s="88">
        <f>CAA!C34-Malaysia!C34</f>
        <v>123561</v>
      </c>
      <c r="D34" s="89"/>
      <c r="P34" s="28" t="s">
        <v>16</v>
      </c>
      <c r="Q34" s="41"/>
      <c r="R34" s="41">
        <f t="shared" ref="R34:T43" si="8">IFERROR(R7/Q7-1,"")</f>
        <v>2.1964607502013678E-2</v>
      </c>
      <c r="S34" s="41">
        <f t="shared" si="8"/>
        <v>-9.1495620236295983E-2</v>
      </c>
      <c r="T34" s="41">
        <f t="shared" si="8"/>
        <v>0.19619698406167818</v>
      </c>
      <c r="U34" s="41"/>
      <c r="V34" s="41"/>
      <c r="W34" s="41"/>
    </row>
    <row r="35" spans="2:27" x14ac:dyDescent="0.55000000000000004">
      <c r="B35" s="21" t="s">
        <v>55</v>
      </c>
      <c r="C35" s="88">
        <f>CAA!C35-Malaysia!C35</f>
        <v>111645</v>
      </c>
      <c r="D35" s="89"/>
      <c r="P35" s="28" t="s">
        <v>18</v>
      </c>
      <c r="Q35" s="41">
        <f t="shared" ref="Q35:Q43" si="9">IFERROR(Q8/T7-1,"")</f>
        <v>2.6895066620807206E-2</v>
      </c>
      <c r="R35" s="41">
        <f t="shared" si="8"/>
        <v>-4.3221517558741485E-2</v>
      </c>
      <c r="S35" s="41">
        <f t="shared" si="8"/>
        <v>-2.6795430850132806E-2</v>
      </c>
      <c r="T35" s="41">
        <f t="shared" si="8"/>
        <v>6.0047543829467864E-2</v>
      </c>
      <c r="U35" s="41"/>
      <c r="V35" s="41"/>
      <c r="W35" s="41"/>
    </row>
    <row r="36" spans="2:27" x14ac:dyDescent="0.55000000000000004">
      <c r="B36" s="21" t="s">
        <v>56</v>
      </c>
      <c r="C36" s="88">
        <f>CAA!C36-Malaysia!C36</f>
        <v>126129</v>
      </c>
      <c r="D36" s="89"/>
      <c r="P36" s="28" t="s">
        <v>20</v>
      </c>
      <c r="Q36" s="41">
        <f t="shared" si="9"/>
        <v>6.5505565760064499E-3</v>
      </c>
      <c r="R36" s="41">
        <f t="shared" si="8"/>
        <v>-5.7039626527127352E-2</v>
      </c>
      <c r="S36" s="41">
        <f t="shared" si="8"/>
        <v>2.6883558982170985E-2</v>
      </c>
      <c r="T36" s="41">
        <f t="shared" si="8"/>
        <v>1.5394512771996105E-2</v>
      </c>
      <c r="U36" s="41"/>
      <c r="V36" s="41"/>
      <c r="W36" s="41"/>
    </row>
    <row r="37" spans="2:27" x14ac:dyDescent="0.55000000000000004">
      <c r="B37" s="21" t="s">
        <v>57</v>
      </c>
      <c r="C37" s="88">
        <f>CAA!C37-Malaysia!C37</f>
        <v>125544</v>
      </c>
      <c r="D37" s="89"/>
      <c r="P37" s="28" t="s">
        <v>22</v>
      </c>
      <c r="Q37" s="41">
        <f t="shared" si="9"/>
        <v>2.6058631921824116E-2</v>
      </c>
      <c r="R37" s="41">
        <f t="shared" si="8"/>
        <v>-3.7267080745341574E-2</v>
      </c>
      <c r="S37" s="41">
        <f t="shared" si="8"/>
        <v>-5.491039426523292E-2</v>
      </c>
      <c r="T37" s="41">
        <f t="shared" si="8"/>
        <v>7.3933316300460739E-3</v>
      </c>
      <c r="U37" s="41"/>
      <c r="V37" s="41"/>
      <c r="W37" s="41"/>
    </row>
    <row r="38" spans="2:27" x14ac:dyDescent="0.55000000000000004">
      <c r="B38" s="21" t="s">
        <v>58</v>
      </c>
      <c r="C38" s="88">
        <f>CAA!C38-Malaysia!C38</f>
        <v>127327</v>
      </c>
      <c r="D38" s="89"/>
      <c r="P38" s="28" t="s">
        <v>24</v>
      </c>
      <c r="Q38" s="41">
        <f t="shared" si="9"/>
        <v>3.3358695135289329E-2</v>
      </c>
      <c r="R38" s="41">
        <f t="shared" si="8"/>
        <v>-3.9499014442067049E-3</v>
      </c>
      <c r="S38" s="41">
        <f t="shared" si="8"/>
        <v>2.8251763328918544E-2</v>
      </c>
      <c r="T38" s="41">
        <f t="shared" si="8"/>
        <v>-1.2633202782749375E-2</v>
      </c>
      <c r="U38" s="41"/>
      <c r="V38" s="41"/>
      <c r="W38" s="41"/>
    </row>
    <row r="39" spans="2:27" x14ac:dyDescent="0.55000000000000004">
      <c r="B39" s="66" t="s">
        <v>73</v>
      </c>
      <c r="C39" s="88">
        <f>CAA!C39-Malaysia!C39</f>
        <v>129195</v>
      </c>
      <c r="D39" s="89"/>
      <c r="P39" s="28" t="s">
        <v>26</v>
      </c>
      <c r="Q39" s="41">
        <f t="shared" si="9"/>
        <v>-1.5813424345847538E-2</v>
      </c>
      <c r="R39" s="41">
        <f t="shared" si="8"/>
        <v>-5.2988093861981223E-2</v>
      </c>
      <c r="S39" s="41">
        <f t="shared" si="8"/>
        <v>0.11127928455760894</v>
      </c>
      <c r="T39" s="41">
        <f t="shared" si="8"/>
        <v>2.558507366509466E-2</v>
      </c>
      <c r="U39" s="41"/>
      <c r="V39" s="41"/>
      <c r="W39" s="41"/>
    </row>
    <row r="40" spans="2:27" x14ac:dyDescent="0.55000000000000004">
      <c r="B40" s="21" t="s">
        <v>178</v>
      </c>
      <c r="C40" s="88">
        <f>CAA!C40-Malaysia!C40</f>
        <v>133267</v>
      </c>
      <c r="D40" s="89"/>
      <c r="P40" s="28" t="s">
        <v>28</v>
      </c>
      <c r="Q40" s="41">
        <f t="shared" si="9"/>
        <v>-2.1526796041639873E-2</v>
      </c>
      <c r="R40" s="41">
        <f t="shared" si="8"/>
        <v>-4.1373875352991418E-2</v>
      </c>
      <c r="S40" s="41">
        <f t="shared" si="8"/>
        <v>-7.2183782055673551E-2</v>
      </c>
      <c r="T40" s="41">
        <f t="shared" si="8"/>
        <v>1.3709081959143443E-2</v>
      </c>
      <c r="U40" s="41"/>
      <c r="V40" s="41"/>
      <c r="W40" s="41"/>
    </row>
    <row r="41" spans="2:27" x14ac:dyDescent="0.55000000000000004">
      <c r="B41" s="21" t="s">
        <v>180</v>
      </c>
      <c r="C41" s="88">
        <f>CAA!C41-Malaysia!C41</f>
        <v>111922</v>
      </c>
      <c r="D41" s="89"/>
      <c r="P41" s="28" t="s">
        <v>30</v>
      </c>
      <c r="Q41" s="41">
        <f t="shared" si="9"/>
        <v>-9.6438196518318864E-2</v>
      </c>
      <c r="R41" s="41">
        <f t="shared" si="8"/>
        <v>0.12973263469031315</v>
      </c>
      <c r="S41" s="41">
        <f t="shared" si="8"/>
        <v>-4.6381086030968799E-3</v>
      </c>
      <c r="T41" s="41">
        <f t="shared" si="8"/>
        <v>1.4202192060154273E-2</v>
      </c>
      <c r="U41" s="41"/>
      <c r="V41" s="41"/>
      <c r="W41" s="41"/>
    </row>
    <row r="42" spans="2:27" x14ac:dyDescent="0.55000000000000004">
      <c r="B42" s="21" t="s">
        <v>179</v>
      </c>
      <c r="C42" s="88">
        <f>CAA!C42-Malaysia!C42</f>
        <v>122633</v>
      </c>
      <c r="D42" s="89"/>
      <c r="P42" s="28" t="s">
        <v>74</v>
      </c>
      <c r="Q42" s="41">
        <f t="shared" si="9"/>
        <v>1.467088677185524E-2</v>
      </c>
      <c r="R42" s="41">
        <f t="shared" si="8"/>
        <v>3.1518247610201611E-2</v>
      </c>
      <c r="S42" s="41">
        <f t="shared" si="8"/>
        <v>-0.16016718317362888</v>
      </c>
      <c r="T42" s="41">
        <f t="shared" si="8"/>
        <v>9.570057718768421E-2</v>
      </c>
      <c r="U42" s="41"/>
      <c r="V42" s="41"/>
      <c r="W42" s="41"/>
    </row>
    <row r="43" spans="2:27" x14ac:dyDescent="0.55000000000000004">
      <c r="B43" s="66" t="s">
        <v>187</v>
      </c>
      <c r="C43" s="88">
        <f>CAA!C43-Malaysia!C43</f>
        <v>117494</v>
      </c>
      <c r="D43" s="90"/>
      <c r="P43" s="28" t="s">
        <v>165</v>
      </c>
      <c r="Q43" s="41">
        <f t="shared" si="9"/>
        <v>-4.1905522983210042E-2</v>
      </c>
      <c r="R43" s="41">
        <f t="shared" si="8"/>
        <v>0.22151429009140888</v>
      </c>
      <c r="S43" s="41">
        <f t="shared" si="8"/>
        <v>-6.7643418436099223E-2</v>
      </c>
    </row>
    <row r="44" spans="2:27" x14ac:dyDescent="0.55000000000000004">
      <c r="B44" s="21" t="s">
        <v>209</v>
      </c>
      <c r="C44" s="88">
        <f>CAA!C44-Malaysia!C44</f>
        <v>143520.6</v>
      </c>
    </row>
    <row r="45" spans="2:27" x14ac:dyDescent="0.55000000000000004">
      <c r="B45" s="21" t="s">
        <v>210</v>
      </c>
      <c r="C45" s="88">
        <f>CAA!C45-Malaysia!C45</f>
        <v>133812.37599999999</v>
      </c>
    </row>
    <row r="48" spans="2:27" x14ac:dyDescent="0.55000000000000004">
      <c r="R48" s="44"/>
    </row>
    <row r="51" spans="5:5" x14ac:dyDescent="0.55000000000000004">
      <c r="E51" s="87"/>
    </row>
  </sheetData>
  <mergeCells count="4">
    <mergeCell ref="A1:AG1"/>
    <mergeCell ref="P18:T18"/>
    <mergeCell ref="Y18:Z18"/>
    <mergeCell ref="P32:T32"/>
  </mergeCells>
  <conditionalFormatting sqref="Q7:T15 W7:W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:T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T2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{50A750B7-DE78-4B21-9A9D-9C7442A8895B}</x14:id>
        </ext>
      </extLst>
    </cfRule>
  </conditionalFormatting>
  <conditionalFormatting sqref="Q34:T4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{9EC61C2C-605E-4401-8625-9649F1585C20}</x14:id>
        </ext>
      </extLst>
    </cfRule>
  </conditionalFormatting>
  <conditionalFormatting sqref="U7:U1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6:V1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:W2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{56904F82-98F1-44F9-96B3-3696BF858C73}</x14:id>
        </ext>
      </extLst>
    </cfRule>
  </conditionalFormatting>
  <conditionalFormatting sqref="U34:W4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{3257EEED-6483-4414-B03D-15989DD2DBB2}</x14:id>
        </ext>
      </extLst>
    </cfRule>
  </conditionalFormatting>
  <conditionalFormatting sqref="V8:V1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{34C658FB-02A1-4178-A360-BFDCD7FEA2E8}</x14:id>
        </ext>
      </extLst>
    </cfRule>
  </conditionalFormatting>
  <conditionalFormatting sqref="Z7:Z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A1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{73441A40-E8B8-48CC-9CD9-5EEE4A2C9A4D}</x14:id>
        </ext>
      </extLst>
    </cfRule>
  </conditionalFormatting>
  <dataValidations disablePrompts="1" count="1">
    <dataValidation type="list" allowBlank="1" showInputMessage="1" showErrorMessage="1" sqref="AA18" xr:uid="{3E5183B9-B155-4EFD-B5AA-19003D81628B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A750B7-DE78-4B21-9A9D-9C7442A88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Q21:T29</xm:sqref>
        </x14:conditionalFormatting>
        <x14:conditionalFormatting xmlns:xm="http://schemas.microsoft.com/office/excel/2006/main">
          <x14:cfRule type="dataBar" id="{9EC61C2C-605E-4401-8625-9649F1585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Q34:T43</xm:sqref>
        </x14:conditionalFormatting>
        <x14:conditionalFormatting xmlns:xm="http://schemas.microsoft.com/office/excel/2006/main">
          <x14:cfRule type="dataBar" id="{56904F82-98F1-44F9-96B3-3696BF858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U21:W28</xm:sqref>
        </x14:conditionalFormatting>
        <x14:conditionalFormatting xmlns:xm="http://schemas.microsoft.com/office/excel/2006/main">
          <x14:cfRule type="dataBar" id="{3257EEED-6483-4414-B03D-15989DD2DB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U34:W42</xm:sqref>
        </x14:conditionalFormatting>
        <x14:conditionalFormatting xmlns:xm="http://schemas.microsoft.com/office/excel/2006/main">
          <x14:cfRule type="dataBar" id="{34C658FB-02A1-4178-A360-BFDCD7FEA2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>
          <x14:cfRule type="dataBar" id="{73441A40-E8B8-48CC-9CD9-5EEE4A2C9A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AA8:AA15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D35E-BF71-4008-80D5-B6A3C9EA21A2}">
  <sheetPr codeName="Sheet18"/>
  <dimension ref="B6:O87"/>
  <sheetViews>
    <sheetView zoomScale="70" zoomScaleNormal="70" workbookViewId="0">
      <selection activeCell="V38" sqref="V38"/>
    </sheetView>
  </sheetViews>
  <sheetFormatPr defaultColWidth="8.83984375" defaultRowHeight="14.4" x14ac:dyDescent="0.55000000000000004"/>
  <cols>
    <col min="1" max="16384" width="8.83984375" style="29"/>
  </cols>
  <sheetData>
    <row r="6" spans="3:15" x14ac:dyDescent="0.55000000000000004">
      <c r="C6" s="29" t="s">
        <v>205</v>
      </c>
      <c r="D6" s="29" t="s">
        <v>188</v>
      </c>
      <c r="E6" s="29" t="s">
        <v>189</v>
      </c>
      <c r="F6" s="29" t="s">
        <v>190</v>
      </c>
      <c r="G6" s="29" t="s">
        <v>191</v>
      </c>
      <c r="H6" s="29" t="s">
        <v>192</v>
      </c>
      <c r="I6" s="29" t="s">
        <v>193</v>
      </c>
      <c r="J6" s="29" t="s">
        <v>194</v>
      </c>
      <c r="K6" s="29" t="s">
        <v>195</v>
      </c>
      <c r="L6" s="29" t="s">
        <v>196</v>
      </c>
      <c r="M6" s="29" t="s">
        <v>197</v>
      </c>
      <c r="N6" s="29" t="s">
        <v>198</v>
      </c>
      <c r="O6" s="29" t="s">
        <v>199</v>
      </c>
    </row>
    <row r="7" spans="3:15" x14ac:dyDescent="0.55000000000000004">
      <c r="C7" s="29" t="s">
        <v>200</v>
      </c>
      <c r="D7" s="29">
        <v>18089.542099999995</v>
      </c>
      <c r="E7" s="29">
        <v>19997.486860000001</v>
      </c>
      <c r="F7" s="29">
        <v>16923.61578</v>
      </c>
      <c r="G7" s="29">
        <v>8214.8472600000005</v>
      </c>
      <c r="H7" s="29">
        <v>9869.6741400000028</v>
      </c>
      <c r="I7" s="29">
        <v>7747.1276000000007</v>
      </c>
      <c r="J7" s="29">
        <v>10141.465000000002</v>
      </c>
      <c r="K7" s="29">
        <v>9934.1136200000001</v>
      </c>
      <c r="L7" s="29">
        <v>10314.204120000002</v>
      </c>
      <c r="M7" s="29">
        <v>7701.4645800000008</v>
      </c>
      <c r="N7" s="29">
        <v>8476.3385199999993</v>
      </c>
      <c r="O7" s="29">
        <v>9686.2692200000038</v>
      </c>
    </row>
    <row r="8" spans="3:15" x14ac:dyDescent="0.55000000000000004">
      <c r="C8" s="29" t="s">
        <v>201</v>
      </c>
      <c r="D8" s="29">
        <v>9155.7778000000017</v>
      </c>
      <c r="E8" s="29">
        <v>11911.66576</v>
      </c>
      <c r="F8" s="29">
        <v>9686.6045800000029</v>
      </c>
      <c r="G8" s="29">
        <v>10236.32114</v>
      </c>
      <c r="H8" s="29">
        <v>10160.289459999996</v>
      </c>
      <c r="I8" s="29">
        <v>11233.401280000004</v>
      </c>
      <c r="J8" s="29">
        <v>12512.650159999997</v>
      </c>
      <c r="K8" s="29">
        <v>9380.0698999999968</v>
      </c>
      <c r="L8" s="29">
        <v>13036.3685</v>
      </c>
      <c r="M8" s="29">
        <v>13945.994480000001</v>
      </c>
      <c r="N8" s="29">
        <v>10856.021559999997</v>
      </c>
      <c r="O8" s="29">
        <v>16800.040499999999</v>
      </c>
    </row>
    <row r="9" spans="3:15" x14ac:dyDescent="0.55000000000000004">
      <c r="C9" s="29" t="s">
        <v>16</v>
      </c>
      <c r="D9" s="29">
        <v>13322.921120000003</v>
      </c>
      <c r="E9" s="29">
        <v>10821.319140000003</v>
      </c>
      <c r="F9" s="29">
        <v>7583.6038399999989</v>
      </c>
      <c r="G9" s="29">
        <v>9208.849659999998</v>
      </c>
      <c r="H9" s="29">
        <v>9474.0254200000018</v>
      </c>
      <c r="I9" s="29">
        <v>9158.0053999999964</v>
      </c>
      <c r="J9" s="29">
        <v>9029.5132199999989</v>
      </c>
      <c r="K9" s="29">
        <v>9092.8969199999992</v>
      </c>
      <c r="L9" s="29">
        <v>8142.2752199999995</v>
      </c>
      <c r="M9" s="29">
        <v>7469.4685800000007</v>
      </c>
      <c r="N9" s="29">
        <v>9608.4503599999971</v>
      </c>
      <c r="O9" s="29">
        <v>11529.461520000001</v>
      </c>
    </row>
    <row r="10" spans="3:15" x14ac:dyDescent="0.55000000000000004">
      <c r="C10" s="29" t="s">
        <v>18</v>
      </c>
      <c r="D10" s="29">
        <v>12238.555899999999</v>
      </c>
      <c r="E10" s="29">
        <v>13261.705059999997</v>
      </c>
      <c r="F10" s="29">
        <v>10758.051639999998</v>
      </c>
      <c r="G10" s="29">
        <v>9552.2348399999992</v>
      </c>
      <c r="H10" s="29">
        <v>7548.6613400000006</v>
      </c>
      <c r="I10" s="29">
        <v>7423.6288599999998</v>
      </c>
      <c r="J10" s="29">
        <v>8206.9997999999996</v>
      </c>
      <c r="K10" s="29">
        <v>7790.1635199999982</v>
      </c>
      <c r="L10" s="29">
        <v>8029.9056600000004</v>
      </c>
      <c r="M10" s="29">
        <v>8422.4959999999992</v>
      </c>
      <c r="N10" s="29">
        <v>11683.338539999999</v>
      </c>
      <c r="O10" s="29">
        <v>10809.28434</v>
      </c>
    </row>
    <row r="11" spans="3:15" x14ac:dyDescent="0.55000000000000004">
      <c r="C11" s="29" t="s">
        <v>20</v>
      </c>
      <c r="D11" s="29">
        <v>11023.964859999996</v>
      </c>
      <c r="E11" s="29">
        <v>9065.5139400000007</v>
      </c>
      <c r="F11" s="29">
        <v>7407.41284</v>
      </c>
      <c r="G11" s="29">
        <v>7922.5009799999998</v>
      </c>
      <c r="H11" s="29">
        <v>8005.7035799999985</v>
      </c>
      <c r="I11" s="29">
        <v>8284.3439400000007</v>
      </c>
      <c r="J11" s="29">
        <v>12308.579819999999</v>
      </c>
      <c r="K11" s="29">
        <v>11816.112319999998</v>
      </c>
      <c r="L11" s="29">
        <v>11009.76282</v>
      </c>
      <c r="M11" s="29">
        <v>8136.0325799999991</v>
      </c>
      <c r="N11" s="29">
        <v>8643.4541399999998</v>
      </c>
      <c r="O11" s="29">
        <v>7243.3991800000013</v>
      </c>
    </row>
    <row r="12" spans="3:15" x14ac:dyDescent="0.55000000000000004">
      <c r="C12" s="29" t="s">
        <v>22</v>
      </c>
      <c r="D12" s="29">
        <v>10243.676399999998</v>
      </c>
      <c r="E12" s="29">
        <v>11708.445660000003</v>
      </c>
      <c r="F12" s="29">
        <v>9456.6273400000009</v>
      </c>
      <c r="G12" s="29">
        <v>7286.3103000000001</v>
      </c>
      <c r="H12" s="29">
        <v>7728.2145199999995</v>
      </c>
      <c r="I12" s="29">
        <v>8414.8131400000002</v>
      </c>
      <c r="J12" s="29">
        <v>7856.6357599999992</v>
      </c>
      <c r="K12" s="29">
        <v>9938.3468199999988</v>
      </c>
      <c r="L12" s="29">
        <v>8592.8632799999978</v>
      </c>
      <c r="M12" s="29">
        <v>9478.2462399999949</v>
      </c>
      <c r="N12" s="29">
        <v>11524.836360000003</v>
      </c>
      <c r="O12" s="29">
        <v>12643.914339999999</v>
      </c>
    </row>
    <row r="13" spans="3:15" x14ac:dyDescent="0.55000000000000004">
      <c r="C13" s="29" t="s">
        <v>24</v>
      </c>
      <c r="D13" s="29">
        <v>14950.375740000001</v>
      </c>
      <c r="E13" s="29">
        <v>11908.76282</v>
      </c>
      <c r="F13" s="29">
        <v>9793.1774400000013</v>
      </c>
      <c r="G13" s="29">
        <v>8859.8892599999999</v>
      </c>
      <c r="H13" s="29">
        <v>7251.3842800000002</v>
      </c>
      <c r="I13" s="29">
        <v>10194.546180000003</v>
      </c>
      <c r="J13" s="29">
        <v>7145.4974200000006</v>
      </c>
      <c r="K13" s="29">
        <v>8090.3640800000012</v>
      </c>
      <c r="L13" s="29">
        <v>8819.2268000000058</v>
      </c>
      <c r="M13" s="29">
        <v>9712.1633999999995</v>
      </c>
      <c r="N13" s="29">
        <v>10497.512020000002</v>
      </c>
      <c r="O13" s="29">
        <v>11638.894200000001</v>
      </c>
    </row>
    <row r="14" spans="3:15" x14ac:dyDescent="0.55000000000000004">
      <c r="C14" s="29" t="s">
        <v>26</v>
      </c>
      <c r="D14" s="29">
        <v>8466.4302000000007</v>
      </c>
      <c r="E14" s="29">
        <v>12433.162060000002</v>
      </c>
      <c r="F14" s="29">
        <v>12625.180799999996</v>
      </c>
      <c r="G14" s="29">
        <v>9040.6691200000005</v>
      </c>
      <c r="H14" s="29">
        <v>9041.8159199999991</v>
      </c>
      <c r="I14" s="29">
        <v>10636.813439999994</v>
      </c>
      <c r="J14" s="29">
        <v>9177.260760000001</v>
      </c>
      <c r="K14" s="29">
        <v>9545.9959399999952</v>
      </c>
      <c r="L14" s="29">
        <v>10023.053980000001</v>
      </c>
      <c r="M14" s="29">
        <v>9185.0071400000015</v>
      </c>
      <c r="N14" s="29">
        <v>11222.800220000005</v>
      </c>
      <c r="O14" s="29">
        <v>12920.20794</v>
      </c>
    </row>
    <row r="15" spans="3:15" x14ac:dyDescent="0.55000000000000004">
      <c r="C15" s="29" t="s">
        <v>28</v>
      </c>
      <c r="D15" s="29">
        <v>9534.3132600000026</v>
      </c>
      <c r="E15" s="29">
        <v>9552.7291999999998</v>
      </c>
      <c r="F15" s="29">
        <v>8257.0912399999997</v>
      </c>
      <c r="G15" s="29">
        <v>7881.2725600000012</v>
      </c>
      <c r="H15" s="29">
        <v>7013.6559400000006</v>
      </c>
      <c r="I15" s="29">
        <v>10065.136700000003</v>
      </c>
      <c r="J15" s="29">
        <v>8723.9276999999984</v>
      </c>
      <c r="K15" s="29">
        <v>8558.6968999999972</v>
      </c>
      <c r="L15" s="29">
        <v>9126.4316600000002</v>
      </c>
      <c r="M15" s="29">
        <v>7713.5203800000008</v>
      </c>
      <c r="N15" s="29">
        <v>10197.682119999998</v>
      </c>
      <c r="O15" s="29">
        <v>11620.07942</v>
      </c>
    </row>
    <row r="16" spans="3:15" x14ac:dyDescent="0.55000000000000004">
      <c r="C16" s="29" t="s">
        <v>30</v>
      </c>
      <c r="D16" s="29">
        <v>11768.288</v>
      </c>
      <c r="E16" s="29">
        <v>10531.298200000003</v>
      </c>
      <c r="F16" s="29">
        <v>11848.173599999996</v>
      </c>
      <c r="G16" s="29">
        <v>11848.363459999999</v>
      </c>
      <c r="H16" s="29">
        <v>16907.906879999999</v>
      </c>
      <c r="I16" s="29">
        <v>19383.957260000003</v>
      </c>
      <c r="J16" s="29">
        <v>18399.692040000005</v>
      </c>
      <c r="K16" s="29">
        <v>20796.248759999999</v>
      </c>
      <c r="L16" s="29">
        <v>28443.524460000001</v>
      </c>
      <c r="M16" s="29">
        <v>29746.565620000008</v>
      </c>
      <c r="N16" s="29">
        <v>41366.485200000003</v>
      </c>
      <c r="O16" s="29">
        <v>37520.663579999993</v>
      </c>
    </row>
    <row r="17" spans="2:15" x14ac:dyDescent="0.55000000000000004">
      <c r="C17" s="29" t="s">
        <v>74</v>
      </c>
      <c r="D17" s="29">
        <v>42599.388060000005</v>
      </c>
      <c r="E17" s="29">
        <v>40549.878680000009</v>
      </c>
      <c r="F17" s="29">
        <v>30476.255020000001</v>
      </c>
      <c r="G17" s="29">
        <v>24827.972379999988</v>
      </c>
      <c r="H17" s="29">
        <v>25676.123460000003</v>
      </c>
      <c r="I17" s="29">
        <v>33314.502359999991</v>
      </c>
      <c r="J17" s="29">
        <v>23072.522720000001</v>
      </c>
      <c r="K17" s="29">
        <v>28968.7785</v>
      </c>
      <c r="L17" s="29">
        <v>26919.919639999993</v>
      </c>
      <c r="M17" s="29">
        <v>27168.507540000002</v>
      </c>
      <c r="N17" s="29">
        <v>26911.415440000004</v>
      </c>
      <c r="O17" s="29">
        <v>19175.149179999997</v>
      </c>
    </row>
    <row r="18" spans="2:15" x14ac:dyDescent="0.55000000000000004">
      <c r="C18" s="29" t="s">
        <v>165</v>
      </c>
      <c r="D18" s="29">
        <v>24663.127700000001</v>
      </c>
      <c r="E18" s="29" t="s">
        <v>202</v>
      </c>
      <c r="F18" s="29" t="s">
        <v>202</v>
      </c>
      <c r="G18" s="29" t="s">
        <v>202</v>
      </c>
      <c r="H18" s="29" t="s">
        <v>202</v>
      </c>
      <c r="I18" s="29" t="s">
        <v>202</v>
      </c>
      <c r="J18" s="29" t="s">
        <v>202</v>
      </c>
      <c r="K18" s="29" t="s">
        <v>202</v>
      </c>
      <c r="L18" s="29" t="s">
        <v>202</v>
      </c>
      <c r="M18" s="29" t="s">
        <v>202</v>
      </c>
      <c r="N18" s="29" t="s">
        <v>202</v>
      </c>
      <c r="O18" s="29" t="s">
        <v>202</v>
      </c>
    </row>
    <row r="21" spans="2:15" x14ac:dyDescent="0.55000000000000004">
      <c r="C21" s="91" t="s">
        <v>203</v>
      </c>
      <c r="D21" s="29">
        <v>1</v>
      </c>
      <c r="E21" s="29">
        <v>2</v>
      </c>
      <c r="F21" s="29">
        <v>3</v>
      </c>
      <c r="G21" s="29">
        <v>4</v>
      </c>
      <c r="K21" s="91" t="s">
        <v>203</v>
      </c>
      <c r="L21" s="29">
        <v>1</v>
      </c>
      <c r="M21" s="29">
        <v>2</v>
      </c>
      <c r="N21" s="29">
        <v>3</v>
      </c>
      <c r="O21" s="29">
        <v>4</v>
      </c>
    </row>
    <row r="22" spans="2:15" x14ac:dyDescent="0.55000000000000004">
      <c r="B22" s="29" t="str">
        <f>C7</f>
        <v>14/15</v>
      </c>
      <c r="C22" s="29">
        <v>1</v>
      </c>
      <c r="D22" s="29">
        <f>SUM(D7:F7)</f>
        <v>55010.644739999996</v>
      </c>
      <c r="E22" s="29">
        <f>SUM(G7:I7)</f>
        <v>25831.649000000005</v>
      </c>
      <c r="F22" s="29">
        <f>SUM(J7:L7)</f>
        <v>30389.782740000002</v>
      </c>
      <c r="G22" s="29">
        <f>SUM(M7:O7)</f>
        <v>25864.072320000007</v>
      </c>
      <c r="J22" s="29" t="s">
        <v>200</v>
      </c>
      <c r="K22" s="29">
        <v>1</v>
      </c>
    </row>
    <row r="23" spans="2:15" x14ac:dyDescent="0.55000000000000004">
      <c r="B23" s="29" t="str">
        <f t="shared" ref="B23:B33" si="0">C8</f>
        <v>15/16</v>
      </c>
      <c r="C23" s="29">
        <v>2</v>
      </c>
      <c r="D23" s="29">
        <f t="shared" ref="D23:D33" si="1">SUM(D8:F8)</f>
        <v>30754.048140000003</v>
      </c>
      <c r="E23" s="29">
        <f t="shared" ref="E23:E32" si="2">SUM(G8:I8)</f>
        <v>31630.011879999998</v>
      </c>
      <c r="F23" s="29">
        <f t="shared" ref="F23:F32" si="3">SUM(J8:L8)</f>
        <v>34929.088559999989</v>
      </c>
      <c r="G23" s="29">
        <f t="shared" ref="G23:G32" si="4">SUM(M8:O8)</f>
        <v>41602.056539999998</v>
      </c>
      <c r="J23" s="29" t="s">
        <v>201</v>
      </c>
      <c r="K23" s="29">
        <v>2</v>
      </c>
      <c r="L23" s="68">
        <f>D23/D22-1</f>
        <v>-0.44094368852874488</v>
      </c>
      <c r="M23" s="68">
        <f t="shared" ref="M23:O32" si="5">E23/E22-1</f>
        <v>0.22446739191911402</v>
      </c>
      <c r="N23" s="68">
        <f t="shared" si="5"/>
        <v>0.1493694725900494</v>
      </c>
      <c r="O23" s="68">
        <f t="shared" si="5"/>
        <v>0.60848825449000232</v>
      </c>
    </row>
    <row r="24" spans="2:15" x14ac:dyDescent="0.55000000000000004">
      <c r="B24" s="29" t="str">
        <f t="shared" si="0"/>
        <v>16/17</v>
      </c>
      <c r="C24" s="29">
        <v>3</v>
      </c>
      <c r="D24" s="29">
        <f t="shared" si="1"/>
        <v>31727.844100000006</v>
      </c>
      <c r="E24" s="29">
        <f t="shared" si="2"/>
        <v>27840.880479999993</v>
      </c>
      <c r="F24" s="29">
        <f t="shared" si="3"/>
        <v>26264.685359999999</v>
      </c>
      <c r="G24" s="29">
        <f t="shared" si="4"/>
        <v>28607.380459999997</v>
      </c>
      <c r="J24" s="29" t="s">
        <v>16</v>
      </c>
      <c r="K24" s="29">
        <v>3</v>
      </c>
      <c r="L24" s="68">
        <f t="shared" ref="L24:L33" si="6">D24/D23-1</f>
        <v>3.16639928365543E-2</v>
      </c>
      <c r="M24" s="68">
        <f t="shared" si="5"/>
        <v>-0.11979544662757191</v>
      </c>
      <c r="N24" s="68">
        <f t="shared" si="5"/>
        <v>-0.24805695073080924</v>
      </c>
      <c r="O24" s="68">
        <f t="shared" si="5"/>
        <v>-0.31235657947596263</v>
      </c>
    </row>
    <row r="25" spans="2:15" x14ac:dyDescent="0.55000000000000004">
      <c r="B25" s="29" t="str">
        <f t="shared" si="0"/>
        <v>17/18</v>
      </c>
      <c r="C25" s="29">
        <v>4</v>
      </c>
      <c r="D25" s="29">
        <f t="shared" si="1"/>
        <v>36258.31259999999</v>
      </c>
      <c r="E25" s="29">
        <f t="shared" si="2"/>
        <v>24524.52504</v>
      </c>
      <c r="F25" s="29">
        <f t="shared" si="3"/>
        <v>24027.068979999996</v>
      </c>
      <c r="G25" s="29">
        <f t="shared" si="4"/>
        <v>30915.118879999995</v>
      </c>
      <c r="J25" s="29" t="s">
        <v>18</v>
      </c>
      <c r="K25" s="29">
        <v>4</v>
      </c>
      <c r="L25" s="68">
        <f t="shared" si="6"/>
        <v>0.14279156458663955</v>
      </c>
      <c r="M25" s="68">
        <f t="shared" si="5"/>
        <v>-0.11911819535960277</v>
      </c>
      <c r="N25" s="68">
        <f t="shared" si="5"/>
        <v>-8.5194867150695019E-2</v>
      </c>
      <c r="O25" s="68">
        <f t="shared" si="5"/>
        <v>8.0669337174257283E-2</v>
      </c>
    </row>
    <row r="26" spans="2:15" x14ac:dyDescent="0.55000000000000004">
      <c r="B26" s="29" t="str">
        <f t="shared" si="0"/>
        <v>18/19</v>
      </c>
      <c r="C26" s="29">
        <v>5</v>
      </c>
      <c r="D26" s="29">
        <f t="shared" si="1"/>
        <v>27496.891639999998</v>
      </c>
      <c r="E26" s="29">
        <f t="shared" si="2"/>
        <v>24212.548499999997</v>
      </c>
      <c r="F26" s="29">
        <f t="shared" si="3"/>
        <v>35134.454960000003</v>
      </c>
      <c r="G26" s="29">
        <f t="shared" si="4"/>
        <v>24022.885900000001</v>
      </c>
      <c r="J26" s="29" t="s">
        <v>20</v>
      </c>
      <c r="K26" s="29">
        <v>5</v>
      </c>
      <c r="L26" s="68">
        <f t="shared" si="6"/>
        <v>-0.2416389603304373</v>
      </c>
      <c r="M26" s="68">
        <f t="shared" si="5"/>
        <v>-1.272100232282436E-2</v>
      </c>
      <c r="N26" s="68">
        <f t="shared" si="5"/>
        <v>0.46228634833677518</v>
      </c>
      <c r="O26" s="68">
        <f t="shared" si="5"/>
        <v>-0.22294052973733847</v>
      </c>
    </row>
    <row r="27" spans="2:15" x14ac:dyDescent="0.55000000000000004">
      <c r="B27" s="29" t="str">
        <f t="shared" si="0"/>
        <v>19/20</v>
      </c>
      <c r="C27" s="29">
        <v>6</v>
      </c>
      <c r="D27" s="29">
        <f t="shared" si="1"/>
        <v>31408.749400000001</v>
      </c>
      <c r="E27" s="29">
        <f t="shared" si="2"/>
        <v>23429.337959999997</v>
      </c>
      <c r="F27" s="29">
        <f t="shared" si="3"/>
        <v>26387.845859999994</v>
      </c>
      <c r="G27" s="29">
        <f t="shared" si="4"/>
        <v>33646.996939999997</v>
      </c>
      <c r="J27" s="29" t="s">
        <v>22</v>
      </c>
      <c r="K27" s="29">
        <v>6</v>
      </c>
      <c r="L27" s="68">
        <f t="shared" si="6"/>
        <v>0.14226545353618758</v>
      </c>
      <c r="M27" s="68">
        <f t="shared" si="5"/>
        <v>-3.2347298757088749E-2</v>
      </c>
      <c r="N27" s="68">
        <f t="shared" si="5"/>
        <v>-0.2489467706260956</v>
      </c>
      <c r="O27" s="68">
        <f t="shared" si="5"/>
        <v>0.40062260130037064</v>
      </c>
    </row>
    <row r="28" spans="2:15" x14ac:dyDescent="0.55000000000000004">
      <c r="B28" s="29" t="str">
        <f t="shared" si="0"/>
        <v>20/21</v>
      </c>
      <c r="C28" s="29">
        <v>7</v>
      </c>
      <c r="D28" s="29">
        <f t="shared" si="1"/>
        <v>36652.315999999999</v>
      </c>
      <c r="E28" s="29">
        <f t="shared" si="2"/>
        <v>26305.819720000003</v>
      </c>
      <c r="F28" s="29">
        <f t="shared" si="3"/>
        <v>24055.08830000001</v>
      </c>
      <c r="G28" s="29">
        <f t="shared" si="4"/>
        <v>31848.569620000002</v>
      </c>
      <c r="J28" s="29" t="s">
        <v>24</v>
      </c>
      <c r="K28" s="29">
        <v>7</v>
      </c>
      <c r="L28" s="68">
        <f t="shared" si="6"/>
        <v>0.16694604847909034</v>
      </c>
      <c r="M28" s="68">
        <f t="shared" si="5"/>
        <v>0.12277264363640628</v>
      </c>
      <c r="N28" s="68">
        <f t="shared" si="5"/>
        <v>-8.8402727997441199E-2</v>
      </c>
      <c r="O28" s="68">
        <f t="shared" si="5"/>
        <v>-5.3449861311753555E-2</v>
      </c>
    </row>
    <row r="29" spans="2:15" x14ac:dyDescent="0.55000000000000004">
      <c r="B29" s="29" t="str">
        <f t="shared" si="0"/>
        <v>21/22</v>
      </c>
      <c r="C29" s="29">
        <v>8</v>
      </c>
      <c r="D29" s="29">
        <f t="shared" si="1"/>
        <v>33524.77306</v>
      </c>
      <c r="E29" s="29">
        <f t="shared" si="2"/>
        <v>28719.298479999994</v>
      </c>
      <c r="F29" s="29">
        <f t="shared" si="3"/>
        <v>28746.310679999999</v>
      </c>
      <c r="G29" s="29">
        <f t="shared" si="4"/>
        <v>33328.015300000006</v>
      </c>
      <c r="J29" s="29" t="s">
        <v>26</v>
      </c>
      <c r="K29" s="29">
        <v>8</v>
      </c>
      <c r="L29" s="68">
        <f t="shared" si="6"/>
        <v>-8.5330022255619475E-2</v>
      </c>
      <c r="M29" s="68">
        <f t="shared" si="5"/>
        <v>9.17469512712068E-2</v>
      </c>
      <c r="N29" s="68">
        <f t="shared" si="5"/>
        <v>0.19501996091197005</v>
      </c>
      <c r="O29" s="68">
        <f t="shared" si="5"/>
        <v>4.6452499991426643E-2</v>
      </c>
    </row>
    <row r="30" spans="2:15" x14ac:dyDescent="0.55000000000000004">
      <c r="B30" s="29" t="str">
        <f t="shared" si="0"/>
        <v>22/23</v>
      </c>
      <c r="C30" s="29">
        <v>9</v>
      </c>
      <c r="D30" s="29">
        <f t="shared" si="1"/>
        <v>27344.133700000006</v>
      </c>
      <c r="E30" s="29">
        <f t="shared" si="2"/>
        <v>24960.065200000005</v>
      </c>
      <c r="F30" s="29">
        <f t="shared" si="3"/>
        <v>26409.056259999998</v>
      </c>
      <c r="G30" s="29">
        <f t="shared" si="4"/>
        <v>29531.281920000001</v>
      </c>
      <c r="J30" s="29" t="s">
        <v>28</v>
      </c>
      <c r="K30" s="29">
        <v>9</v>
      </c>
      <c r="L30" s="68">
        <f t="shared" si="6"/>
        <v>-0.18436036386997678</v>
      </c>
      <c r="M30" s="68">
        <f t="shared" si="5"/>
        <v>-0.13089572095982449</v>
      </c>
      <c r="N30" s="68">
        <f t="shared" si="5"/>
        <v>-8.1306239469057351E-2</v>
      </c>
      <c r="O30" s="68">
        <f t="shared" si="5"/>
        <v>-0.11392017633885343</v>
      </c>
    </row>
    <row r="31" spans="2:15" x14ac:dyDescent="0.55000000000000004">
      <c r="B31" s="29" t="str">
        <f t="shared" si="0"/>
        <v>23/24</v>
      </c>
      <c r="C31" s="29">
        <v>10</v>
      </c>
      <c r="D31" s="29">
        <f t="shared" si="1"/>
        <v>34147.7598</v>
      </c>
      <c r="E31" s="29">
        <f t="shared" si="2"/>
        <v>48140.227599999998</v>
      </c>
      <c r="F31" s="29">
        <f t="shared" si="3"/>
        <v>67639.465259999997</v>
      </c>
      <c r="G31" s="29">
        <f t="shared" si="4"/>
        <v>108633.7144</v>
      </c>
      <c r="J31" s="29" t="s">
        <v>30</v>
      </c>
      <c r="K31" s="29">
        <v>10</v>
      </c>
      <c r="L31" s="68">
        <f t="shared" si="6"/>
        <v>0.2488148344593557</v>
      </c>
      <c r="M31" s="68">
        <f t="shared" si="5"/>
        <v>0.92868997794124319</v>
      </c>
      <c r="N31" s="68">
        <f t="shared" si="5"/>
        <v>1.5612223547135571</v>
      </c>
      <c r="O31" s="68">
        <f t="shared" si="5"/>
        <v>2.6785979929448316</v>
      </c>
    </row>
    <row r="32" spans="2:15" x14ac:dyDescent="0.55000000000000004">
      <c r="B32" s="29" t="str">
        <f t="shared" si="0"/>
        <v>24/25</v>
      </c>
      <c r="C32" s="29">
        <v>11</v>
      </c>
      <c r="D32" s="29">
        <f t="shared" si="1"/>
        <v>113625.52176000002</v>
      </c>
      <c r="E32" s="29">
        <f t="shared" si="2"/>
        <v>83818.598199999979</v>
      </c>
      <c r="F32" s="29">
        <f t="shared" si="3"/>
        <v>78961.220860000001</v>
      </c>
      <c r="G32" s="29">
        <f t="shared" si="4"/>
        <v>73255.072159999996</v>
      </c>
      <c r="J32" s="29" t="s">
        <v>74</v>
      </c>
      <c r="K32" s="29">
        <v>11</v>
      </c>
      <c r="L32" s="68">
        <f t="shared" si="6"/>
        <v>2.3274663528586732</v>
      </c>
      <c r="M32" s="68">
        <f t="shared" si="5"/>
        <v>0.74113423177916138</v>
      </c>
      <c r="N32" s="68">
        <f t="shared" si="5"/>
        <v>0.16738387207054628</v>
      </c>
      <c r="O32" s="68">
        <f t="shared" si="5"/>
        <v>-0.32566908381437065</v>
      </c>
    </row>
    <row r="33" spans="2:15" x14ac:dyDescent="0.55000000000000004">
      <c r="B33" s="29" t="str">
        <f t="shared" si="0"/>
        <v>25/26</v>
      </c>
      <c r="C33" s="29">
        <v>12</v>
      </c>
      <c r="D33" s="29">
        <f t="shared" si="1"/>
        <v>24663.127700000001</v>
      </c>
      <c r="J33" s="29" t="s">
        <v>165</v>
      </c>
      <c r="K33" s="29">
        <v>12</v>
      </c>
      <c r="L33" s="68">
        <f t="shared" si="6"/>
        <v>-0.78294376722781089</v>
      </c>
      <c r="M33" s="68"/>
      <c r="N33" s="68"/>
      <c r="O33" s="68"/>
    </row>
    <row r="39" spans="2:15" x14ac:dyDescent="0.55000000000000004">
      <c r="D39" s="91"/>
    </row>
    <row r="41" spans="2:15" x14ac:dyDescent="0.55000000000000004">
      <c r="D41" s="29" t="s">
        <v>206</v>
      </c>
      <c r="E41" s="29">
        <v>1</v>
      </c>
      <c r="F41" s="29">
        <v>2</v>
      </c>
      <c r="G41" s="29">
        <v>3</v>
      </c>
      <c r="H41" s="29">
        <v>4</v>
      </c>
      <c r="J41" s="29" t="s">
        <v>8</v>
      </c>
    </row>
    <row r="42" spans="2:15" x14ac:dyDescent="0.55000000000000004">
      <c r="C42" s="29">
        <v>1</v>
      </c>
      <c r="D42" s="29" t="s">
        <v>18</v>
      </c>
      <c r="E42" s="68">
        <f>L25</f>
        <v>0.14279156458663955</v>
      </c>
      <c r="F42" s="68">
        <f t="shared" ref="F42:H49" si="7">M25</f>
        <v>-0.11911819535960277</v>
      </c>
      <c r="G42" s="68">
        <f t="shared" si="7"/>
        <v>-8.5194867150695019E-2</v>
      </c>
      <c r="H42" s="68">
        <f t="shared" si="7"/>
        <v>8.0669337174257283E-2</v>
      </c>
      <c r="J42" s="68">
        <v>-3.389040548638389E-2</v>
      </c>
      <c r="K42" s="68">
        <v>-1.1435515014315167E-2</v>
      </c>
      <c r="L42" s="68">
        <v>-3.1057868020304524E-2</v>
      </c>
      <c r="M42" s="68">
        <v>2.5302618034997559E-2</v>
      </c>
    </row>
    <row r="43" spans="2:15" x14ac:dyDescent="0.55000000000000004">
      <c r="C43" s="29">
        <v>2</v>
      </c>
      <c r="D43" s="29" t="s">
        <v>20</v>
      </c>
      <c r="E43" s="68">
        <f t="shared" ref="E43:E49" si="8">L26</f>
        <v>-0.2416389603304373</v>
      </c>
      <c r="F43" s="68">
        <f t="shared" si="7"/>
        <v>-1.272100232282436E-2</v>
      </c>
      <c r="G43" s="68">
        <f t="shared" si="7"/>
        <v>0.46228634833677518</v>
      </c>
      <c r="H43" s="68">
        <f t="shared" si="7"/>
        <v>-0.22294052973733847</v>
      </c>
      <c r="J43" s="68">
        <v>9.8380427291522299E-3</v>
      </c>
      <c r="K43" s="68">
        <v>2.5450841064843743E-2</v>
      </c>
      <c r="L43" s="68">
        <v>3.9806875047149637E-2</v>
      </c>
      <c r="M43" s="68">
        <v>-4.113810761591985E-2</v>
      </c>
    </row>
    <row r="44" spans="2:15" x14ac:dyDescent="0.55000000000000004">
      <c r="C44" s="29">
        <v>3</v>
      </c>
      <c r="D44" s="29" t="s">
        <v>22</v>
      </c>
      <c r="E44" s="68">
        <f t="shared" si="8"/>
        <v>0.14226545353618758</v>
      </c>
      <c r="F44" s="68">
        <f t="shared" si="7"/>
        <v>-3.2347298757088749E-2</v>
      </c>
      <c r="G44" s="68">
        <f t="shared" si="7"/>
        <v>-0.2489467706260956</v>
      </c>
      <c r="H44" s="68">
        <f t="shared" si="7"/>
        <v>0.40062260130037064</v>
      </c>
      <c r="J44" s="68">
        <v>-5.8444660558598205E-2</v>
      </c>
      <c r="K44" s="68">
        <v>-5.0984803080434515E-2</v>
      </c>
      <c r="L44" s="68">
        <v>-0.1070052398226522</v>
      </c>
      <c r="M44" s="68">
        <v>-4.0159729887669582E-2</v>
      </c>
    </row>
    <row r="45" spans="2:15" x14ac:dyDescent="0.55000000000000004">
      <c r="C45" s="29">
        <v>4</v>
      </c>
      <c r="D45" s="29" t="s">
        <v>24</v>
      </c>
      <c r="E45" s="68">
        <f t="shared" si="8"/>
        <v>0.16694604847909034</v>
      </c>
      <c r="F45" s="68">
        <f t="shared" si="7"/>
        <v>0.12277264363640628</v>
      </c>
      <c r="G45" s="68">
        <f t="shared" si="7"/>
        <v>-8.8402727997441199E-2</v>
      </c>
      <c r="H45" s="68">
        <f t="shared" si="7"/>
        <v>-5.3449861311753555E-2</v>
      </c>
      <c r="J45" s="68">
        <v>6.9511012856638077E-2</v>
      </c>
      <c r="K45" s="68">
        <v>2.046007042070741E-2</v>
      </c>
      <c r="L45" s="68">
        <v>0.11683938759298051</v>
      </c>
      <c r="M45" s="68">
        <v>4.3455098934551017E-2</v>
      </c>
    </row>
    <row r="46" spans="2:15" x14ac:dyDescent="0.55000000000000004">
      <c r="C46" s="29">
        <v>5</v>
      </c>
      <c r="D46" s="29" t="s">
        <v>26</v>
      </c>
      <c r="E46" s="68">
        <f t="shared" si="8"/>
        <v>-8.5330022255619475E-2</v>
      </c>
      <c r="F46" s="68">
        <f t="shared" si="7"/>
        <v>9.17469512712068E-2</v>
      </c>
      <c r="G46" s="68">
        <f t="shared" si="7"/>
        <v>0.19501996091197005</v>
      </c>
      <c r="H46" s="68">
        <f t="shared" si="7"/>
        <v>4.6452499991426643E-2</v>
      </c>
      <c r="J46" s="68">
        <v>-1.187702786272804E-2</v>
      </c>
      <c r="K46" s="68">
        <v>-2.7654379599172607E-2</v>
      </c>
      <c r="L46" s="68">
        <v>-6.3207753053290072E-2</v>
      </c>
      <c r="M46" s="68">
        <v>-3.3671261517516315E-2</v>
      </c>
    </row>
    <row r="47" spans="2:15" x14ac:dyDescent="0.55000000000000004">
      <c r="C47" s="29">
        <v>6</v>
      </c>
      <c r="D47" s="29" t="s">
        <v>28</v>
      </c>
      <c r="E47" s="68">
        <f t="shared" si="8"/>
        <v>-0.18436036386997678</v>
      </c>
      <c r="F47" s="68">
        <f t="shared" si="7"/>
        <v>-0.13089572095982449</v>
      </c>
      <c r="G47" s="68">
        <f t="shared" si="7"/>
        <v>-8.1306239469057351E-2</v>
      </c>
      <c r="H47" s="68">
        <f t="shared" si="7"/>
        <v>-0.11392017633885343</v>
      </c>
      <c r="J47" s="68">
        <v>-8.1540796118003134E-2</v>
      </c>
      <c r="K47" s="68">
        <v>-4.3838387361152309E-2</v>
      </c>
      <c r="L47" s="68">
        <v>-0.11566967790921401</v>
      </c>
      <c r="M47" s="68">
        <v>-0.17915366810908728</v>
      </c>
    </row>
    <row r="48" spans="2:15" x14ac:dyDescent="0.55000000000000004">
      <c r="C48" s="29">
        <v>7</v>
      </c>
      <c r="D48" s="29" t="s">
        <v>30</v>
      </c>
      <c r="E48" s="68">
        <f t="shared" si="8"/>
        <v>0.2488148344593557</v>
      </c>
      <c r="F48" s="68">
        <f t="shared" si="7"/>
        <v>0.92868997794124319</v>
      </c>
      <c r="G48" s="68">
        <f t="shared" si="7"/>
        <v>1.5612223547135571</v>
      </c>
      <c r="H48" s="68">
        <f t="shared" si="7"/>
        <v>2.6785979929448316</v>
      </c>
      <c r="J48" s="68">
        <v>-2.9487538504620603E-2</v>
      </c>
      <c r="K48" s="68">
        <v>3.6629402002443801E-2</v>
      </c>
      <c r="L48" s="68">
        <v>2.2323475749563393E-2</v>
      </c>
      <c r="M48" s="68">
        <v>0.11629427570212814</v>
      </c>
    </row>
    <row r="49" spans="3:13" x14ac:dyDescent="0.55000000000000004">
      <c r="C49" s="29">
        <v>8</v>
      </c>
      <c r="D49" s="29" t="s">
        <v>74</v>
      </c>
      <c r="E49" s="68">
        <f t="shared" si="8"/>
        <v>2.3274663528586732</v>
      </c>
      <c r="F49" s="68">
        <f t="shared" si="7"/>
        <v>0.74113423177916138</v>
      </c>
      <c r="G49" s="68">
        <f t="shared" si="7"/>
        <v>0.16738387207054628</v>
      </c>
      <c r="H49" s="68">
        <f t="shared" si="7"/>
        <v>-0.32566908381437065</v>
      </c>
      <c r="J49" s="68">
        <v>-1.1637860557270785E-2</v>
      </c>
      <c r="K49" s="68">
        <v>-2.9951707819111051E-2</v>
      </c>
      <c r="L49" s="68">
        <v>-2.7829472900621322E-2</v>
      </c>
      <c r="M49" s="68">
        <v>-4.1001610777566255E-2</v>
      </c>
    </row>
    <row r="50" spans="3:13" x14ac:dyDescent="0.55000000000000004">
      <c r="D50" s="29" t="s">
        <v>165</v>
      </c>
    </row>
    <row r="54" spans="3:13" x14ac:dyDescent="0.55000000000000004">
      <c r="G54" s="29" t="s">
        <v>203</v>
      </c>
      <c r="H54" s="29" t="s">
        <v>8</v>
      </c>
    </row>
    <row r="55" spans="3:13" x14ac:dyDescent="0.55000000000000004">
      <c r="E55" s="29">
        <v>1</v>
      </c>
      <c r="F55" s="29">
        <v>1</v>
      </c>
      <c r="G55" s="68">
        <f>INDEX($E$42:$H$49,MATCH(E55,$C$42:$C$49),MATCH(F55,$E$41:$H$41))</f>
        <v>0.14279156458663955</v>
      </c>
      <c r="H55" s="68">
        <f>INDEX($J$42:$M$49,MATCH(E55,$C$42:$C$49),MATCH(F55,$E$41:$H$41))</f>
        <v>-3.389040548638389E-2</v>
      </c>
    </row>
    <row r="56" spans="3:13" x14ac:dyDescent="0.55000000000000004">
      <c r="E56" s="29">
        <v>1</v>
      </c>
      <c r="F56" s="29">
        <v>2</v>
      </c>
      <c r="G56" s="68">
        <f t="shared" ref="G56:G86" si="9">INDEX($E$42:$H$49,MATCH(E56,$C$42:$C$49),MATCH(F56,$E$41:$H$41))</f>
        <v>-0.11911819535960277</v>
      </c>
      <c r="H56" s="68">
        <f t="shared" ref="H56:H86" si="10">INDEX($J$42:$M$49,MATCH(E56,$C$42:$C$49),MATCH(F56,$E$41:$H$41))</f>
        <v>-1.1435515014315167E-2</v>
      </c>
    </row>
    <row r="57" spans="3:13" x14ac:dyDescent="0.55000000000000004">
      <c r="E57" s="29">
        <v>1</v>
      </c>
      <c r="F57" s="29">
        <v>3</v>
      </c>
      <c r="G57" s="68">
        <f t="shared" si="9"/>
        <v>-8.5194867150695019E-2</v>
      </c>
      <c r="H57" s="68">
        <f t="shared" si="10"/>
        <v>-3.1057868020304524E-2</v>
      </c>
    </row>
    <row r="58" spans="3:13" x14ac:dyDescent="0.55000000000000004">
      <c r="E58" s="29">
        <v>1</v>
      </c>
      <c r="F58" s="29">
        <v>4</v>
      </c>
      <c r="G58" s="68">
        <f t="shared" si="9"/>
        <v>8.0669337174257283E-2</v>
      </c>
      <c r="H58" s="68">
        <f t="shared" si="10"/>
        <v>2.5302618034997559E-2</v>
      </c>
    </row>
    <row r="59" spans="3:13" x14ac:dyDescent="0.55000000000000004">
      <c r="E59" s="29">
        <f>E55+1</f>
        <v>2</v>
      </c>
      <c r="F59" s="29">
        <f>F55</f>
        <v>1</v>
      </c>
      <c r="G59" s="68">
        <f t="shared" si="9"/>
        <v>-0.2416389603304373</v>
      </c>
      <c r="H59" s="68">
        <f t="shared" si="10"/>
        <v>9.8380427291522299E-3</v>
      </c>
    </row>
    <row r="60" spans="3:13" x14ac:dyDescent="0.55000000000000004">
      <c r="E60" s="29">
        <f t="shared" ref="E60:E86" si="11">E56+1</f>
        <v>2</v>
      </c>
      <c r="F60" s="29">
        <f t="shared" ref="F60:F86" si="12">F56</f>
        <v>2</v>
      </c>
      <c r="G60" s="68">
        <f t="shared" si="9"/>
        <v>-1.272100232282436E-2</v>
      </c>
      <c r="H60" s="68">
        <f t="shared" si="10"/>
        <v>2.5450841064843743E-2</v>
      </c>
    </row>
    <row r="61" spans="3:13" x14ac:dyDescent="0.55000000000000004">
      <c r="E61" s="29">
        <f t="shared" si="11"/>
        <v>2</v>
      </c>
      <c r="F61" s="29">
        <f t="shared" si="12"/>
        <v>3</v>
      </c>
      <c r="G61" s="68">
        <f t="shared" si="9"/>
        <v>0.46228634833677518</v>
      </c>
      <c r="H61" s="68">
        <f t="shared" si="10"/>
        <v>3.9806875047149637E-2</v>
      </c>
    </row>
    <row r="62" spans="3:13" x14ac:dyDescent="0.55000000000000004">
      <c r="E62" s="29">
        <f t="shared" si="11"/>
        <v>2</v>
      </c>
      <c r="F62" s="29">
        <f t="shared" si="12"/>
        <v>4</v>
      </c>
      <c r="G62" s="68">
        <f t="shared" si="9"/>
        <v>-0.22294052973733847</v>
      </c>
      <c r="H62" s="68">
        <f t="shared" si="10"/>
        <v>-4.113810761591985E-2</v>
      </c>
    </row>
    <row r="63" spans="3:13" x14ac:dyDescent="0.55000000000000004">
      <c r="E63" s="29">
        <f t="shared" si="11"/>
        <v>3</v>
      </c>
      <c r="F63" s="29">
        <f t="shared" si="12"/>
        <v>1</v>
      </c>
      <c r="G63" s="68">
        <f t="shared" si="9"/>
        <v>0.14226545353618758</v>
      </c>
      <c r="H63" s="68">
        <f t="shared" si="10"/>
        <v>-5.8444660558598205E-2</v>
      </c>
    </row>
    <row r="64" spans="3:13" x14ac:dyDescent="0.55000000000000004">
      <c r="E64" s="29">
        <f t="shared" si="11"/>
        <v>3</v>
      </c>
      <c r="F64" s="29">
        <f t="shared" si="12"/>
        <v>2</v>
      </c>
      <c r="G64" s="68">
        <f t="shared" si="9"/>
        <v>-3.2347298757088749E-2</v>
      </c>
      <c r="H64" s="68">
        <f t="shared" si="10"/>
        <v>-5.0984803080434515E-2</v>
      </c>
    </row>
    <row r="65" spans="5:8" x14ac:dyDescent="0.55000000000000004">
      <c r="E65" s="29">
        <f t="shared" si="11"/>
        <v>3</v>
      </c>
      <c r="F65" s="29">
        <f t="shared" si="12"/>
        <v>3</v>
      </c>
      <c r="G65" s="68">
        <f t="shared" si="9"/>
        <v>-0.2489467706260956</v>
      </c>
      <c r="H65" s="68">
        <f t="shared" si="10"/>
        <v>-0.1070052398226522</v>
      </c>
    </row>
    <row r="66" spans="5:8" x14ac:dyDescent="0.55000000000000004">
      <c r="E66" s="29">
        <f t="shared" si="11"/>
        <v>3</v>
      </c>
      <c r="F66" s="29">
        <f t="shared" si="12"/>
        <v>4</v>
      </c>
      <c r="G66" s="68">
        <f t="shared" si="9"/>
        <v>0.40062260130037064</v>
      </c>
      <c r="H66" s="68">
        <f t="shared" si="10"/>
        <v>-4.0159729887669582E-2</v>
      </c>
    </row>
    <row r="67" spans="5:8" x14ac:dyDescent="0.55000000000000004">
      <c r="E67" s="29">
        <f t="shared" si="11"/>
        <v>4</v>
      </c>
      <c r="F67" s="29">
        <f t="shared" si="12"/>
        <v>1</v>
      </c>
      <c r="G67" s="68">
        <f t="shared" si="9"/>
        <v>0.16694604847909034</v>
      </c>
      <c r="H67" s="68">
        <f t="shared" si="10"/>
        <v>6.9511012856638077E-2</v>
      </c>
    </row>
    <row r="68" spans="5:8" x14ac:dyDescent="0.55000000000000004">
      <c r="E68" s="29">
        <f t="shared" si="11"/>
        <v>4</v>
      </c>
      <c r="F68" s="29">
        <f t="shared" si="12"/>
        <v>2</v>
      </c>
      <c r="G68" s="68">
        <f t="shared" si="9"/>
        <v>0.12277264363640628</v>
      </c>
      <c r="H68" s="68">
        <f t="shared" si="10"/>
        <v>2.046007042070741E-2</v>
      </c>
    </row>
    <row r="69" spans="5:8" x14ac:dyDescent="0.55000000000000004">
      <c r="E69" s="29">
        <f t="shared" si="11"/>
        <v>4</v>
      </c>
      <c r="F69" s="29">
        <f t="shared" si="12"/>
        <v>3</v>
      </c>
      <c r="G69" s="68">
        <f t="shared" si="9"/>
        <v>-8.8402727997441199E-2</v>
      </c>
      <c r="H69" s="68">
        <f t="shared" si="10"/>
        <v>0.11683938759298051</v>
      </c>
    </row>
    <row r="70" spans="5:8" x14ac:dyDescent="0.55000000000000004">
      <c r="E70" s="29">
        <f t="shared" si="11"/>
        <v>4</v>
      </c>
      <c r="F70" s="29">
        <f t="shared" si="12"/>
        <v>4</v>
      </c>
      <c r="G70" s="68">
        <f t="shared" si="9"/>
        <v>-5.3449861311753555E-2</v>
      </c>
      <c r="H70" s="68">
        <f t="shared" si="10"/>
        <v>4.3455098934551017E-2</v>
      </c>
    </row>
    <row r="71" spans="5:8" x14ac:dyDescent="0.55000000000000004">
      <c r="E71" s="29">
        <f t="shared" si="11"/>
        <v>5</v>
      </c>
      <c r="F71" s="29">
        <f t="shared" si="12"/>
        <v>1</v>
      </c>
      <c r="G71" s="68">
        <f t="shared" si="9"/>
        <v>-8.5330022255619475E-2</v>
      </c>
      <c r="H71" s="68">
        <f t="shared" si="10"/>
        <v>-1.187702786272804E-2</v>
      </c>
    </row>
    <row r="72" spans="5:8" x14ac:dyDescent="0.55000000000000004">
      <c r="E72" s="29">
        <f t="shared" si="11"/>
        <v>5</v>
      </c>
      <c r="F72" s="29">
        <f t="shared" si="12"/>
        <v>2</v>
      </c>
      <c r="G72" s="68">
        <f t="shared" si="9"/>
        <v>9.17469512712068E-2</v>
      </c>
      <c r="H72" s="68">
        <f t="shared" si="10"/>
        <v>-2.7654379599172607E-2</v>
      </c>
    </row>
    <row r="73" spans="5:8" x14ac:dyDescent="0.55000000000000004">
      <c r="E73" s="29">
        <f t="shared" si="11"/>
        <v>5</v>
      </c>
      <c r="F73" s="29">
        <f t="shared" si="12"/>
        <v>3</v>
      </c>
      <c r="G73" s="68">
        <f t="shared" si="9"/>
        <v>0.19501996091197005</v>
      </c>
      <c r="H73" s="68">
        <f t="shared" si="10"/>
        <v>-6.3207753053290072E-2</v>
      </c>
    </row>
    <row r="74" spans="5:8" x14ac:dyDescent="0.55000000000000004">
      <c r="E74" s="29">
        <f t="shared" si="11"/>
        <v>5</v>
      </c>
      <c r="F74" s="29">
        <f t="shared" si="12"/>
        <v>4</v>
      </c>
      <c r="G74" s="68">
        <f t="shared" si="9"/>
        <v>4.6452499991426643E-2</v>
      </c>
      <c r="H74" s="68">
        <f t="shared" si="10"/>
        <v>-3.3671261517516315E-2</v>
      </c>
    </row>
    <row r="75" spans="5:8" x14ac:dyDescent="0.55000000000000004">
      <c r="E75" s="29">
        <f t="shared" si="11"/>
        <v>6</v>
      </c>
      <c r="F75" s="29">
        <f t="shared" si="12"/>
        <v>1</v>
      </c>
      <c r="G75" s="68">
        <f t="shared" si="9"/>
        <v>-0.18436036386997678</v>
      </c>
      <c r="H75" s="68">
        <f t="shared" si="10"/>
        <v>-8.1540796118003134E-2</v>
      </c>
    </row>
    <row r="76" spans="5:8" x14ac:dyDescent="0.55000000000000004">
      <c r="E76" s="29">
        <f t="shared" si="11"/>
        <v>6</v>
      </c>
      <c r="F76" s="29">
        <f t="shared" si="12"/>
        <v>2</v>
      </c>
      <c r="G76" s="68">
        <f t="shared" si="9"/>
        <v>-0.13089572095982449</v>
      </c>
      <c r="H76" s="68">
        <f t="shared" si="10"/>
        <v>-4.3838387361152309E-2</v>
      </c>
    </row>
    <row r="77" spans="5:8" x14ac:dyDescent="0.55000000000000004">
      <c r="E77" s="29">
        <f t="shared" si="11"/>
        <v>6</v>
      </c>
      <c r="F77" s="29">
        <f t="shared" si="12"/>
        <v>3</v>
      </c>
      <c r="G77" s="68">
        <f t="shared" si="9"/>
        <v>-8.1306239469057351E-2</v>
      </c>
      <c r="H77" s="68">
        <f t="shared" si="10"/>
        <v>-0.11566967790921401</v>
      </c>
    </row>
    <row r="78" spans="5:8" x14ac:dyDescent="0.55000000000000004">
      <c r="E78" s="29">
        <f t="shared" si="11"/>
        <v>6</v>
      </c>
      <c r="F78" s="29">
        <f t="shared" si="12"/>
        <v>4</v>
      </c>
      <c r="G78" s="68">
        <f t="shared" si="9"/>
        <v>-0.11392017633885343</v>
      </c>
      <c r="H78" s="68">
        <f t="shared" si="10"/>
        <v>-0.17915366810908728</v>
      </c>
    </row>
    <row r="79" spans="5:8" x14ac:dyDescent="0.55000000000000004">
      <c r="E79" s="29">
        <f t="shared" si="11"/>
        <v>7</v>
      </c>
      <c r="F79" s="29">
        <f t="shared" si="12"/>
        <v>1</v>
      </c>
      <c r="G79" s="68">
        <f t="shared" si="9"/>
        <v>0.2488148344593557</v>
      </c>
      <c r="H79" s="68">
        <f t="shared" si="10"/>
        <v>-2.9487538504620603E-2</v>
      </c>
    </row>
    <row r="80" spans="5:8" x14ac:dyDescent="0.55000000000000004">
      <c r="E80" s="29">
        <f>E76+1</f>
        <v>7</v>
      </c>
      <c r="F80" s="29">
        <f>F76</f>
        <v>2</v>
      </c>
      <c r="G80" s="68">
        <f t="shared" si="9"/>
        <v>0.92868997794124319</v>
      </c>
      <c r="H80" s="68">
        <f t="shared" si="10"/>
        <v>3.6629402002443801E-2</v>
      </c>
    </row>
    <row r="81" spans="5:11" x14ac:dyDescent="0.55000000000000004">
      <c r="E81" s="29">
        <f t="shared" si="11"/>
        <v>7</v>
      </c>
      <c r="F81" s="29">
        <f t="shared" si="12"/>
        <v>3</v>
      </c>
      <c r="G81" s="68">
        <f t="shared" si="9"/>
        <v>1.5612223547135571</v>
      </c>
      <c r="H81" s="68">
        <f t="shared" si="10"/>
        <v>2.2323475749563393E-2</v>
      </c>
    </row>
    <row r="82" spans="5:11" x14ac:dyDescent="0.55000000000000004">
      <c r="E82" s="29">
        <f t="shared" si="11"/>
        <v>7</v>
      </c>
      <c r="F82" s="29">
        <f t="shared" si="12"/>
        <v>4</v>
      </c>
      <c r="G82" s="68">
        <f t="shared" si="9"/>
        <v>2.6785979929448316</v>
      </c>
      <c r="H82" s="68">
        <f t="shared" si="10"/>
        <v>0.11629427570212814</v>
      </c>
      <c r="J82" s="29" cm="1">
        <f t="array" ref="J82:K82">LINEST(H55:H86,G55:G86)</f>
        <v>3.5784100215887293E-2</v>
      </c>
      <c r="K82" s="29">
        <v>-2.6503966188733262E-2</v>
      </c>
    </row>
    <row r="83" spans="5:11" x14ac:dyDescent="0.55000000000000004">
      <c r="E83" s="29">
        <f t="shared" si="11"/>
        <v>8</v>
      </c>
      <c r="F83" s="29">
        <f t="shared" si="12"/>
        <v>1</v>
      </c>
      <c r="G83" s="68">
        <f t="shared" si="9"/>
        <v>2.3274663528586732</v>
      </c>
      <c r="H83" s="68">
        <f t="shared" si="10"/>
        <v>-1.1637860557270785E-2</v>
      </c>
    </row>
    <row r="84" spans="5:11" x14ac:dyDescent="0.55000000000000004">
      <c r="E84" s="29">
        <f t="shared" si="11"/>
        <v>8</v>
      </c>
      <c r="F84" s="29">
        <f t="shared" si="12"/>
        <v>2</v>
      </c>
      <c r="G84" s="68">
        <f t="shared" si="9"/>
        <v>0.74113423177916138</v>
      </c>
      <c r="H84" s="68">
        <f t="shared" si="10"/>
        <v>-2.9951707819111051E-2</v>
      </c>
    </row>
    <row r="85" spans="5:11" x14ac:dyDescent="0.55000000000000004">
      <c r="E85" s="29">
        <f t="shared" si="11"/>
        <v>8</v>
      </c>
      <c r="F85" s="29">
        <f t="shared" si="12"/>
        <v>3</v>
      </c>
      <c r="G85" s="68">
        <f>INDEX($E$42:$H$49,MATCH(E85,$C$42:$C$49),MATCH(F85,$E$41:$H$41))</f>
        <v>0.16738387207054628</v>
      </c>
      <c r="H85" s="68">
        <f t="shared" si="10"/>
        <v>-2.7829472900621322E-2</v>
      </c>
    </row>
    <row r="86" spans="5:11" x14ac:dyDescent="0.55000000000000004">
      <c r="E86" s="29">
        <f t="shared" si="11"/>
        <v>8</v>
      </c>
      <c r="F86" s="29">
        <f t="shared" si="12"/>
        <v>4</v>
      </c>
      <c r="G86" s="68">
        <f t="shared" si="9"/>
        <v>-0.32566908381437065</v>
      </c>
      <c r="H86" s="68">
        <f t="shared" si="10"/>
        <v>-4.1001610777566255E-2</v>
      </c>
    </row>
    <row r="87" spans="5:11" x14ac:dyDescent="0.55000000000000004">
      <c r="G87" s="68">
        <v>-0.02</v>
      </c>
      <c r="H87" s="41">
        <f>G87*J82+K82</f>
        <v>-2.7219648193051008E-2</v>
      </c>
    </row>
  </sheetData>
  <conditionalFormatting sqref="E42:H4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{B1377947-637F-44B5-A2EB-D071FC488F0E}</x14:id>
        </ext>
      </extLst>
    </cfRule>
  </conditionalFormatting>
  <conditionalFormatting sqref="J42:M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{B1A7E8A9-610E-4018-A3B0-5FB0FAE8F472}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77947-637F-44B5-A2EB-D071FC488F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E42:H49</xm:sqref>
        </x14:conditionalFormatting>
        <x14:conditionalFormatting xmlns:xm="http://schemas.microsoft.com/office/excel/2006/main">
          <x14:cfRule type="dataBar" id="{B1A7E8A9-610E-4018-A3B0-5FB0FAE8F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J42:M48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A4E4-CC83-436D-ABA9-306E8708EE44}">
  <sheetPr codeName="Sheet7"/>
  <dimension ref="A1:AM85"/>
  <sheetViews>
    <sheetView showGridLines="0" zoomScale="48" zoomScaleNormal="55" workbookViewId="0">
      <selection activeCell="AA59" sqref="AA59"/>
    </sheetView>
  </sheetViews>
  <sheetFormatPr defaultColWidth="9.15625" defaultRowHeight="14.4" x14ac:dyDescent="0.55000000000000004"/>
  <cols>
    <col min="1" max="1" width="9.15625" style="7"/>
    <col min="2" max="2" width="10.41796875" style="7" bestFit="1" customWidth="1"/>
    <col min="3" max="3" width="11.578125" style="7" bestFit="1" customWidth="1"/>
    <col min="4" max="6" width="11.578125" style="7" customWidth="1"/>
    <col min="7" max="19" width="9.15625" style="7"/>
    <col min="20" max="23" width="11.41796875" style="7" bestFit="1" customWidth="1"/>
    <col min="24" max="26" width="11.41796875" style="7" customWidth="1"/>
    <col min="27" max="27" width="11.26171875" style="7" customWidth="1"/>
    <col min="28" max="28" width="10.578125" style="7" customWidth="1"/>
    <col min="29" max="29" width="13.578125" style="7" customWidth="1"/>
    <col min="30" max="30" width="11.578125" style="7" bestFit="1" customWidth="1"/>
    <col min="31" max="34" width="9.15625" style="7"/>
    <col min="35" max="37" width="9.83984375" style="7" bestFit="1" customWidth="1"/>
    <col min="38" max="16384" width="9.15625" style="7"/>
  </cols>
  <sheetData>
    <row r="1" spans="1:39" s="5" customFormat="1" ht="55.5" customHeight="1" x14ac:dyDescent="0.55000000000000004">
      <c r="A1" s="148" t="s">
        <v>61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84"/>
      <c r="AM1" s="84"/>
    </row>
    <row r="2" spans="1:39" s="6" customFormat="1" ht="5.25" customHeight="1" x14ac:dyDescent="0.6"/>
    <row r="3" spans="1:39" ht="10.5" customHeight="1" x14ac:dyDescent="0.55000000000000004">
      <c r="AB3" s="20">
        <f>COUNT(T16:W16)</f>
        <v>3</v>
      </c>
      <c r="AC3" s="19" t="str">
        <f ca="1">OFFSET(S6,0,$AB$3,1,1)</f>
        <v>Q3</v>
      </c>
    </row>
    <row r="4" spans="1:39" x14ac:dyDescent="0.55000000000000004">
      <c r="AB4" s="20"/>
      <c r="AC4" s="19"/>
    </row>
    <row r="5" spans="1:39" ht="14.7" thickBot="1" x14ac:dyDescent="0.6">
      <c r="T5" s="7">
        <v>1</v>
      </c>
      <c r="U5" s="7">
        <v>2</v>
      </c>
      <c r="V5" s="7">
        <v>3</v>
      </c>
      <c r="W5" s="7">
        <v>4</v>
      </c>
    </row>
    <row r="6" spans="1:39" ht="15.6" x14ac:dyDescent="0.6">
      <c r="B6" s="23" t="s">
        <v>7</v>
      </c>
      <c r="C6" s="23" t="s">
        <v>62</v>
      </c>
      <c r="D6" s="23" t="s">
        <v>1</v>
      </c>
      <c r="E6" s="23" t="s">
        <v>3</v>
      </c>
      <c r="F6" s="23" t="s">
        <v>2</v>
      </c>
      <c r="T6" s="24" t="s">
        <v>9</v>
      </c>
      <c r="U6" s="24" t="s">
        <v>10</v>
      </c>
      <c r="V6" s="24" t="s">
        <v>11</v>
      </c>
      <c r="W6" s="24" t="s">
        <v>12</v>
      </c>
      <c r="X6" s="93" t="s">
        <v>208</v>
      </c>
      <c r="Y6" s="94" t="s">
        <v>14</v>
      </c>
      <c r="Z6" s="24"/>
      <c r="AB6" s="16" t="s">
        <v>13</v>
      </c>
      <c r="AC6" s="16" t="str">
        <f ca="1">_xlfn.CONCAT("YTD (Q1 to ",AC3,")")</f>
        <v>YTD (Q1 to Q3)</v>
      </c>
      <c r="AD6" s="16" t="s">
        <v>14</v>
      </c>
      <c r="AH6" s="15" t="s">
        <v>9</v>
      </c>
      <c r="AI6" s="15" t="s">
        <v>10</v>
      </c>
      <c r="AJ6" s="15" t="s">
        <v>11</v>
      </c>
      <c r="AK6" s="15" t="s">
        <v>12</v>
      </c>
    </row>
    <row r="7" spans="1:39" x14ac:dyDescent="0.55000000000000004">
      <c r="B7" s="21" t="s">
        <v>15</v>
      </c>
      <c r="C7" s="37">
        <f>SUM(D7:F7)</f>
        <v>637343</v>
      </c>
      <c r="D7" s="37">
        <f>IF(ECA!C7=0,NA(),ECA!C7)</f>
        <v>339741</v>
      </c>
      <c r="E7" s="37">
        <f>IF(CAA!C7=0,NA(),CAA!C7)</f>
        <v>177450</v>
      </c>
      <c r="F7" s="37">
        <f>IF(NCA!C7=0,NA(),NCA!C7)</f>
        <v>120152</v>
      </c>
      <c r="S7" s="28" t="s">
        <v>16</v>
      </c>
      <c r="T7" s="12">
        <f>C7</f>
        <v>637343</v>
      </c>
      <c r="U7" s="12">
        <f>C8</f>
        <v>637343</v>
      </c>
      <c r="V7" s="12">
        <f>C9</f>
        <v>615973</v>
      </c>
      <c r="W7" s="12">
        <f>C10</f>
        <v>668274</v>
      </c>
      <c r="X7" s="95">
        <f>SUM(T7:W7)</f>
        <v>2558933</v>
      </c>
      <c r="Y7" s="96"/>
      <c r="Z7" s="12"/>
      <c r="AB7" s="28" t="str">
        <f>S7</f>
        <v>16/17</v>
      </c>
      <c r="AC7" s="8">
        <f ca="1">SUM(OFFSET(T7,0,0,1,$AB$3))</f>
        <v>1890659</v>
      </c>
      <c r="AG7" s="9" t="str">
        <f>S7</f>
        <v>16/17</v>
      </c>
      <c r="AH7" s="12">
        <f>T7</f>
        <v>637343</v>
      </c>
      <c r="AI7" s="12">
        <f>AH7+U7</f>
        <v>1274686</v>
      </c>
      <c r="AJ7" s="12">
        <f>AI7+V7</f>
        <v>1890659</v>
      </c>
      <c r="AK7" s="12">
        <f>AJ7+W7</f>
        <v>2558933</v>
      </c>
    </row>
    <row r="8" spans="1:39" x14ac:dyDescent="0.55000000000000004">
      <c r="B8" s="21" t="s">
        <v>17</v>
      </c>
      <c r="C8" s="40">
        <f t="shared" ref="C8:C38" si="0">SUM(D8:F8)</f>
        <v>637343</v>
      </c>
      <c r="D8" s="40">
        <f>IF(ECA!C8=0,NA(),ECA!C8)</f>
        <v>339741</v>
      </c>
      <c r="E8" s="40">
        <f>IF(CAA!C8=0,NA(),CAA!C8)</f>
        <v>177450</v>
      </c>
      <c r="F8" s="40">
        <f>IF(NCA!C8=0,NA(),NCA!C8)</f>
        <v>120152</v>
      </c>
      <c r="S8" s="28" t="s">
        <v>18</v>
      </c>
      <c r="T8" s="12">
        <f>C11</f>
        <v>665842</v>
      </c>
      <c r="U8" s="12">
        <f>C12</f>
        <v>667454</v>
      </c>
      <c r="V8" s="12">
        <f>C13</f>
        <v>660804</v>
      </c>
      <c r="W8" s="12">
        <f>C14</f>
        <v>688034</v>
      </c>
      <c r="X8" s="95">
        <f t="shared" ref="X8:X15" si="1">SUM(T8:W8)</f>
        <v>2682134</v>
      </c>
      <c r="Y8" s="97">
        <f>X8/X7-1</f>
        <v>4.8145457501231892E-2</v>
      </c>
      <c r="Z8" s="12"/>
      <c r="AB8" s="28" t="str">
        <f t="shared" ref="AB8:AB14" si="2">S8</f>
        <v>17/18</v>
      </c>
      <c r="AC8" s="8">
        <f t="shared" ref="AC8:AC14" ca="1" si="3">SUM(OFFSET(T8,0,0,1,$AB$3))</f>
        <v>1994100</v>
      </c>
      <c r="AD8" s="14">
        <f ca="1">AC8/AC7-1</f>
        <v>5.471161113664591E-2</v>
      </c>
      <c r="AG8" s="9" t="str">
        <f t="shared" ref="AG8:AG14" si="4">S8</f>
        <v>17/18</v>
      </c>
      <c r="AH8" s="12">
        <f t="shared" ref="AH8:AH14" si="5">T8</f>
        <v>665842</v>
      </c>
      <c r="AI8" s="12">
        <f t="shared" ref="AI8:AI14" si="6">AH8+U8</f>
        <v>1333296</v>
      </c>
      <c r="AJ8" s="12">
        <f t="shared" ref="AJ8:AJ14" si="7">AI8+V8</f>
        <v>1994100</v>
      </c>
      <c r="AK8" s="12">
        <f t="shared" ref="AK8:AK14" si="8">AJ8+W8</f>
        <v>2682134</v>
      </c>
    </row>
    <row r="9" spans="1:39" x14ac:dyDescent="0.55000000000000004">
      <c r="B9" s="21" t="s">
        <v>19</v>
      </c>
      <c r="C9" s="40">
        <f t="shared" si="0"/>
        <v>615973</v>
      </c>
      <c r="D9" s="40">
        <f>IF(ECA!C9=0,NA(),ECA!C9)</f>
        <v>331970</v>
      </c>
      <c r="E9" s="40">
        <f>IF(CAA!C9=0,NA(),CAA!C9)</f>
        <v>160878</v>
      </c>
      <c r="F9" s="40">
        <f>IF(NCA!C9=0,NA(),NCA!C9)</f>
        <v>123125</v>
      </c>
      <c r="S9" s="28" t="s">
        <v>20</v>
      </c>
      <c r="T9" s="12">
        <f>C15</f>
        <v>685225</v>
      </c>
      <c r="U9" s="12">
        <f>C16</f>
        <v>700548</v>
      </c>
      <c r="V9" s="12">
        <f>C17</f>
        <v>684514</v>
      </c>
      <c r="W9" s="12">
        <f>C18</f>
        <v>711504</v>
      </c>
      <c r="X9" s="95">
        <f t="shared" si="1"/>
        <v>2781791</v>
      </c>
      <c r="Y9" s="97">
        <f t="shared" ref="Y9:Y15" si="9">X9/X8-1</f>
        <v>3.7155861713098703E-2</v>
      </c>
      <c r="Z9" s="12"/>
      <c r="AB9" s="28" t="str">
        <f t="shared" si="2"/>
        <v>18/19</v>
      </c>
      <c r="AC9" s="8">
        <f t="shared" ca="1" si="3"/>
        <v>2070287</v>
      </c>
      <c r="AD9" s="14">
        <f t="shared" ref="AD9:AD13" ca="1" si="10">AC9/AC8-1</f>
        <v>3.8206208314527812E-2</v>
      </c>
      <c r="AG9" s="9" t="str">
        <f t="shared" si="4"/>
        <v>18/19</v>
      </c>
      <c r="AH9" s="12">
        <f t="shared" si="5"/>
        <v>685225</v>
      </c>
      <c r="AI9" s="12">
        <f t="shared" si="6"/>
        <v>1385773</v>
      </c>
      <c r="AJ9" s="12">
        <f t="shared" si="7"/>
        <v>2070287</v>
      </c>
      <c r="AK9" s="12">
        <f t="shared" si="8"/>
        <v>2781791</v>
      </c>
    </row>
    <row r="10" spans="1:39" x14ac:dyDescent="0.55000000000000004">
      <c r="B10" s="22" t="s">
        <v>21</v>
      </c>
      <c r="C10" s="43">
        <f t="shared" si="0"/>
        <v>668274</v>
      </c>
      <c r="D10" s="43">
        <f>IF(ECA!C10=0,NA(),ECA!C10)</f>
        <v>353544</v>
      </c>
      <c r="E10" s="43">
        <f>IF(CAA!C10=0,NA(),CAA!C10)</f>
        <v>189407</v>
      </c>
      <c r="F10" s="43">
        <f>IF(NCA!C10=0,NA(),NCA!C10)</f>
        <v>125323</v>
      </c>
      <c r="S10" s="28" t="s">
        <v>22</v>
      </c>
      <c r="T10" s="12">
        <f>C19</f>
        <v>692585</v>
      </c>
      <c r="U10" s="12">
        <f>C20</f>
        <v>691881</v>
      </c>
      <c r="V10" s="12">
        <f>C21</f>
        <v>627558</v>
      </c>
      <c r="W10" s="12">
        <f>C22</f>
        <v>666655</v>
      </c>
      <c r="X10" s="95">
        <f t="shared" si="1"/>
        <v>2678679</v>
      </c>
      <c r="Y10" s="97">
        <f t="shared" si="9"/>
        <v>-3.7066767417106461E-2</v>
      </c>
      <c r="Z10" s="12"/>
      <c r="AB10" s="28" t="str">
        <f t="shared" si="2"/>
        <v>19/20</v>
      </c>
      <c r="AC10" s="8">
        <f t="shared" ca="1" si="3"/>
        <v>2012024</v>
      </c>
      <c r="AD10" s="14">
        <f t="shared" ca="1" si="10"/>
        <v>-2.8142474932219552E-2</v>
      </c>
      <c r="AG10" s="9" t="str">
        <f t="shared" si="4"/>
        <v>19/20</v>
      </c>
      <c r="AH10" s="12">
        <f t="shared" si="5"/>
        <v>692585</v>
      </c>
      <c r="AI10" s="12">
        <f t="shared" si="6"/>
        <v>1384466</v>
      </c>
      <c r="AJ10" s="12">
        <f t="shared" si="7"/>
        <v>2012024</v>
      </c>
      <c r="AK10" s="12">
        <f t="shared" si="8"/>
        <v>2678679</v>
      </c>
    </row>
    <row r="11" spans="1:39" x14ac:dyDescent="0.55000000000000004">
      <c r="B11" s="21" t="s">
        <v>23</v>
      </c>
      <c r="C11" s="39">
        <f t="shared" si="0"/>
        <v>665842</v>
      </c>
      <c r="D11" s="39">
        <f>IF(ECA!C11=0,NA(),ECA!C11)</f>
        <v>353286</v>
      </c>
      <c r="E11" s="39">
        <f>IF(CAA!C11=0,NA(),CAA!C11)</f>
        <v>196476</v>
      </c>
      <c r="F11" s="39">
        <f>IF(NCA!C11=0,NA(),NCA!C11)</f>
        <v>116080</v>
      </c>
      <c r="S11" s="28" t="s">
        <v>24</v>
      </c>
      <c r="T11" s="12">
        <f>C23</f>
        <v>679740</v>
      </c>
      <c r="U11" s="12">
        <f>C24</f>
        <v>689629</v>
      </c>
      <c r="V11" s="12">
        <f>C25</f>
        <v>701438</v>
      </c>
      <c r="W11" s="12">
        <f>C26</f>
        <v>710180</v>
      </c>
      <c r="X11" s="95">
        <f t="shared" si="1"/>
        <v>2780987</v>
      </c>
      <c r="Y11" s="97">
        <f t="shared" si="9"/>
        <v>3.8193452817601559E-2</v>
      </c>
      <c r="Z11" s="12"/>
      <c r="AB11" s="28" t="str">
        <f t="shared" si="2"/>
        <v>20/21</v>
      </c>
      <c r="AC11" s="8">
        <f t="shared" ca="1" si="3"/>
        <v>2070807</v>
      </c>
      <c r="AD11" s="14">
        <f t="shared" ca="1" si="10"/>
        <v>2.9215854284044385E-2</v>
      </c>
      <c r="AG11" s="9" t="str">
        <f t="shared" si="4"/>
        <v>20/21</v>
      </c>
      <c r="AH11" s="12">
        <f t="shared" si="5"/>
        <v>679740</v>
      </c>
      <c r="AI11" s="12">
        <f t="shared" si="6"/>
        <v>1369369</v>
      </c>
      <c r="AJ11" s="12">
        <f t="shared" si="7"/>
        <v>2070807</v>
      </c>
      <c r="AK11" s="12">
        <f t="shared" si="8"/>
        <v>2780987</v>
      </c>
    </row>
    <row r="12" spans="1:39" x14ac:dyDescent="0.55000000000000004">
      <c r="B12" s="21" t="s">
        <v>25</v>
      </c>
      <c r="C12" s="39">
        <f t="shared" si="0"/>
        <v>667454</v>
      </c>
      <c r="D12" s="39">
        <f>IF(ECA!C12=0,NA(),ECA!C12)</f>
        <v>358432</v>
      </c>
      <c r="E12" s="39">
        <f>IF(CAA!C12=0,NA(),CAA!C12)</f>
        <v>190244</v>
      </c>
      <c r="F12" s="39">
        <f>IF(NCA!C12=0,NA(),NCA!C12)</f>
        <v>118778</v>
      </c>
      <c r="S12" s="28" t="s">
        <v>26</v>
      </c>
      <c r="T12" s="12">
        <f>C27</f>
        <v>713776</v>
      </c>
      <c r="U12" s="12">
        <f>C28</f>
        <v>701505</v>
      </c>
      <c r="V12" s="12">
        <f>C29</f>
        <v>708875</v>
      </c>
      <c r="W12" s="12">
        <f>C30</f>
        <v>720003</v>
      </c>
      <c r="X12" s="95">
        <f t="shared" si="1"/>
        <v>2844159</v>
      </c>
      <c r="Y12" s="97">
        <f t="shared" si="9"/>
        <v>2.2715676125059092E-2</v>
      </c>
      <c r="Z12" s="12"/>
      <c r="AB12" s="28" t="str">
        <f t="shared" si="2"/>
        <v>21/22</v>
      </c>
      <c r="AC12" s="8">
        <f t="shared" ca="1" si="3"/>
        <v>2124156</v>
      </c>
      <c r="AD12" s="14">
        <f t="shared" ca="1" si="10"/>
        <v>2.5762420157938504E-2</v>
      </c>
      <c r="AG12" s="9" t="str">
        <f t="shared" si="4"/>
        <v>21/22</v>
      </c>
      <c r="AH12" s="12">
        <f t="shared" si="5"/>
        <v>713776</v>
      </c>
      <c r="AI12" s="12">
        <f t="shared" si="6"/>
        <v>1415281</v>
      </c>
      <c r="AJ12" s="12">
        <f t="shared" si="7"/>
        <v>2124156</v>
      </c>
      <c r="AK12" s="12">
        <f t="shared" si="8"/>
        <v>2844159</v>
      </c>
    </row>
    <row r="13" spans="1:39" x14ac:dyDescent="0.55000000000000004">
      <c r="B13" s="21" t="s">
        <v>27</v>
      </c>
      <c r="C13" s="39">
        <f t="shared" si="0"/>
        <v>660804</v>
      </c>
      <c r="D13" s="39">
        <f>IF(ECA!C13=0,NA(),ECA!C13)</f>
        <v>356109</v>
      </c>
      <c r="E13" s="39">
        <f>IF(CAA!C13=0,NA(),CAA!C13)</f>
        <v>185394</v>
      </c>
      <c r="F13" s="39">
        <f>IF(NCA!C13=0,NA(),NCA!C13)</f>
        <v>119301</v>
      </c>
      <c r="S13" s="28" t="s">
        <v>28</v>
      </c>
      <c r="T13" s="12">
        <f>IF(C31=0,"",C31)</f>
        <v>697513</v>
      </c>
      <c r="U13" s="12">
        <f>IF(C32=0,"",C32)</f>
        <v>707069</v>
      </c>
      <c r="V13" s="12">
        <f>IF(C33=0,"",C33)</f>
        <v>659753</v>
      </c>
      <c r="W13" s="12">
        <f>IF(C34=0,NA(),C34)</f>
        <v>675647</v>
      </c>
      <c r="X13" s="95">
        <f t="shared" si="1"/>
        <v>2739982</v>
      </c>
      <c r="Y13" s="97">
        <f t="shared" si="9"/>
        <v>-3.6628402279900718E-2</v>
      </c>
      <c r="Z13" s="12"/>
      <c r="AB13" s="28" t="str">
        <f t="shared" si="2"/>
        <v>22/23</v>
      </c>
      <c r="AC13" s="8">
        <f t="shared" ca="1" si="3"/>
        <v>2064335</v>
      </c>
      <c r="AD13" s="14">
        <f t="shared" ca="1" si="10"/>
        <v>-2.8162244204286369E-2</v>
      </c>
      <c r="AG13" s="9" t="str">
        <f t="shared" si="4"/>
        <v>22/23</v>
      </c>
      <c r="AH13" s="12">
        <f t="shared" si="5"/>
        <v>697513</v>
      </c>
      <c r="AI13" s="12">
        <f t="shared" si="6"/>
        <v>1404582</v>
      </c>
      <c r="AJ13" s="12">
        <f t="shared" si="7"/>
        <v>2064335</v>
      </c>
      <c r="AK13" s="12">
        <f t="shared" si="8"/>
        <v>2739982</v>
      </c>
    </row>
    <row r="14" spans="1:39" x14ac:dyDescent="0.55000000000000004">
      <c r="B14" s="22" t="s">
        <v>29</v>
      </c>
      <c r="C14" s="43">
        <f t="shared" si="0"/>
        <v>688034</v>
      </c>
      <c r="D14" s="43">
        <f>IF(ECA!C14=0,NA(),ECA!C14)</f>
        <v>363122</v>
      </c>
      <c r="E14" s="43">
        <f>IF(CAA!C14=0,NA(),CAA!C14)</f>
        <v>196418</v>
      </c>
      <c r="F14" s="43">
        <f>IF(NCA!C14=0,NA(),NCA!C14)</f>
        <v>128494</v>
      </c>
      <c r="S14" s="28" t="s">
        <v>30</v>
      </c>
      <c r="T14" s="12">
        <f>C35</f>
        <v>665912</v>
      </c>
      <c r="U14" s="12">
        <f>C36</f>
        <v>706532</v>
      </c>
      <c r="V14" s="12">
        <f>IF(C37=0,"",C37)</f>
        <v>677811</v>
      </c>
      <c r="W14" s="12">
        <f>IF(C38=0,"",C38)</f>
        <v>684803</v>
      </c>
      <c r="X14" s="95">
        <f t="shared" si="1"/>
        <v>2735058</v>
      </c>
      <c r="Y14" s="97">
        <f t="shared" si="9"/>
        <v>-1.7970920976853044E-3</v>
      </c>
      <c r="Z14" s="12"/>
      <c r="AB14" s="28" t="str">
        <f t="shared" si="2"/>
        <v>23/24</v>
      </c>
      <c r="AC14" s="8">
        <f t="shared" ca="1" si="3"/>
        <v>2050255</v>
      </c>
      <c r="AD14" s="14">
        <f t="shared" ref="AD14" ca="1" si="11">AC14/AC13-1</f>
        <v>-6.8205984009378495E-3</v>
      </c>
      <c r="AG14" s="9" t="str">
        <f t="shared" si="4"/>
        <v>23/24</v>
      </c>
      <c r="AH14" s="12">
        <f t="shared" si="5"/>
        <v>665912</v>
      </c>
      <c r="AI14" s="12">
        <f t="shared" si="6"/>
        <v>1372444</v>
      </c>
      <c r="AJ14" s="12">
        <f t="shared" si="7"/>
        <v>2050255</v>
      </c>
      <c r="AK14" s="12">
        <f t="shared" si="8"/>
        <v>2735058</v>
      </c>
    </row>
    <row r="15" spans="1:39" x14ac:dyDescent="0.55000000000000004">
      <c r="B15" s="21" t="s">
        <v>31</v>
      </c>
      <c r="C15" s="39">
        <f t="shared" si="0"/>
        <v>685225</v>
      </c>
      <c r="D15" s="39">
        <f>IF(ECA!C15=0,NA(),ECA!C15)</f>
        <v>359103</v>
      </c>
      <c r="E15" s="39">
        <f>IF(CAA!C15=0,NA(),CAA!C15)</f>
        <v>208900</v>
      </c>
      <c r="F15" s="39">
        <f>IF(NCA!C15=0,NA(),NCA!C15)</f>
        <v>117222</v>
      </c>
      <c r="S15" s="28" t="s">
        <v>74</v>
      </c>
      <c r="T15" s="12">
        <f>C39</f>
        <v>649119</v>
      </c>
      <c r="U15" s="12">
        <f>C40</f>
        <v>681259</v>
      </c>
      <c r="V15" s="12">
        <f>C41</f>
        <v>615745</v>
      </c>
      <c r="W15" s="12">
        <f>C42</f>
        <v>633550</v>
      </c>
      <c r="X15" s="95">
        <f t="shared" si="1"/>
        <v>2579673</v>
      </c>
      <c r="Y15" s="97">
        <f t="shared" si="9"/>
        <v>-5.6812323541219234E-2</v>
      </c>
      <c r="Z15" s="12"/>
      <c r="AB15" s="28" t="s">
        <v>74</v>
      </c>
      <c r="AC15" s="8">
        <f t="shared" ref="AC15" ca="1" si="12">SUM(OFFSET(T15,0,0,1,$AB$3))</f>
        <v>1946123</v>
      </c>
      <c r="AD15" s="14">
        <f t="shared" ref="AD15" ca="1" si="13">AC15/AC14-1</f>
        <v>-5.0789779807877578E-2</v>
      </c>
      <c r="AG15" s="9" t="str">
        <f t="shared" ref="AG15" si="14">S15</f>
        <v>24/25</v>
      </c>
      <c r="AH15" s="12">
        <f t="shared" ref="AH15" si="15">T15</f>
        <v>649119</v>
      </c>
      <c r="AI15" s="12">
        <f t="shared" ref="AI15" si="16">AH15+U15</f>
        <v>1330378</v>
      </c>
      <c r="AJ15" s="12">
        <f t="shared" ref="AJ15" si="17">AI15+V15</f>
        <v>1946123</v>
      </c>
      <c r="AK15" s="12"/>
    </row>
    <row r="16" spans="1:39" ht="14.7" thickBot="1" x14ac:dyDescent="0.6">
      <c r="B16" s="21" t="s">
        <v>32</v>
      </c>
      <c r="C16" s="39">
        <f t="shared" si="0"/>
        <v>700548</v>
      </c>
      <c r="D16" s="39">
        <f>IF(ECA!C16=0,NA(),ECA!C16)</f>
        <v>370359</v>
      </c>
      <c r="E16" s="39">
        <f>IF(CAA!C16=0,NA(),CAA!C16)</f>
        <v>208388</v>
      </c>
      <c r="F16" s="39">
        <f>IF(NCA!C16=0,NA(),NCA!C16)</f>
        <v>121801</v>
      </c>
      <c r="S16" s="28" t="s">
        <v>165</v>
      </c>
      <c r="T16" s="12">
        <f>C43</f>
        <v>604609</v>
      </c>
      <c r="U16" s="12">
        <f>C44</f>
        <v>655485</v>
      </c>
      <c r="V16" s="12">
        <f>C45</f>
        <v>650671</v>
      </c>
      <c r="W16" s="12"/>
      <c r="X16" s="98"/>
      <c r="Y16" s="99"/>
      <c r="AB16" s="28" t="s">
        <v>165</v>
      </c>
      <c r="AC16" s="8">
        <f t="shared" ref="AC16" ca="1" si="18">SUM(OFFSET(T16,0,0,1,$AB$3))</f>
        <v>1910765</v>
      </c>
      <c r="AD16" s="14">
        <f t="shared" ref="AD16" ca="1" si="19">AC16/AC15-1</f>
        <v>-1.8168430258519108E-2</v>
      </c>
    </row>
    <row r="17" spans="2:32" x14ac:dyDescent="0.55000000000000004">
      <c r="B17" s="21" t="s">
        <v>33</v>
      </c>
      <c r="C17" s="39">
        <f t="shared" si="0"/>
        <v>684514</v>
      </c>
      <c r="D17" s="39">
        <f>IF(ECA!C17=0,NA(),ECA!C17)</f>
        <v>344890</v>
      </c>
      <c r="E17" s="39">
        <f>IF(CAA!C17=0,NA(),CAA!C17)</f>
        <v>215574</v>
      </c>
      <c r="F17" s="39">
        <f>IF(NCA!C17=0,NA(),NCA!C17)</f>
        <v>124050</v>
      </c>
    </row>
    <row r="18" spans="2:32" ht="15.6" x14ac:dyDescent="0.6">
      <c r="B18" s="22" t="s">
        <v>34</v>
      </c>
      <c r="C18" s="43">
        <f t="shared" si="0"/>
        <v>711504</v>
      </c>
      <c r="D18" s="43">
        <f>IF(ECA!C18=0,NA(),ECA!C18)</f>
        <v>362940</v>
      </c>
      <c r="E18" s="43">
        <f>IF(CAA!C18=0,NA(),CAA!C18)</f>
        <v>225356</v>
      </c>
      <c r="F18" s="43">
        <f>IF(NCA!C18=0,NA(),NCA!C18)</f>
        <v>123208</v>
      </c>
      <c r="S18" s="149" t="s">
        <v>35</v>
      </c>
      <c r="T18" s="149"/>
      <c r="U18" s="149"/>
      <c r="V18" s="149"/>
      <c r="W18" s="149"/>
      <c r="X18" s="92"/>
      <c r="Y18" s="92"/>
      <c r="Z18" s="92"/>
      <c r="AB18" s="150" t="s">
        <v>36</v>
      </c>
      <c r="AC18" s="150"/>
      <c r="AD18" s="25" t="s">
        <v>11</v>
      </c>
    </row>
    <row r="19" spans="2:32" x14ac:dyDescent="0.55000000000000004">
      <c r="B19" s="21" t="s">
        <v>37</v>
      </c>
      <c r="C19" s="39">
        <f t="shared" si="0"/>
        <v>692585</v>
      </c>
      <c r="D19" s="39">
        <f>IF(ECA!C19=0,NA(),ECA!C19)</f>
        <v>355201</v>
      </c>
      <c r="E19" s="39">
        <f>IF(CAA!C19=0,NA(),CAA!C19)</f>
        <v>227013</v>
      </c>
      <c r="F19" s="39">
        <f>IF(NCA!C19=0,NA(),NCA!C19)</f>
        <v>110371</v>
      </c>
      <c r="T19" s="18" t="s">
        <v>9</v>
      </c>
      <c r="U19" s="18" t="s">
        <v>10</v>
      </c>
      <c r="V19" s="18" t="s">
        <v>11</v>
      </c>
      <c r="W19" s="18" t="s">
        <v>12</v>
      </c>
      <c r="X19" s="18"/>
      <c r="Y19" s="18"/>
      <c r="Z19" s="18"/>
    </row>
    <row r="20" spans="2:32" x14ac:dyDescent="0.55000000000000004">
      <c r="B20" s="21" t="s">
        <v>38</v>
      </c>
      <c r="C20" s="39">
        <f t="shared" si="0"/>
        <v>691881</v>
      </c>
      <c r="D20" s="39">
        <f>IF(ECA!C20=0,NA(),ECA!C20)</f>
        <v>368934</v>
      </c>
      <c r="E20" s="39">
        <f>IF(CAA!C20=0,NA(),CAA!C20)</f>
        <v>207356</v>
      </c>
      <c r="F20" s="39">
        <f>IF(NCA!C20=0,NA(),NCA!C20)</f>
        <v>115591</v>
      </c>
      <c r="S20" s="9" t="s">
        <v>16</v>
      </c>
      <c r="T20" s="12"/>
      <c r="U20" s="12"/>
      <c r="V20" s="12"/>
      <c r="W20" s="12"/>
      <c r="X20" s="12"/>
      <c r="Y20" s="12"/>
      <c r="Z20" s="12"/>
    </row>
    <row r="21" spans="2:32" x14ac:dyDescent="0.55000000000000004">
      <c r="B21" s="21" t="s">
        <v>39</v>
      </c>
      <c r="C21" s="39">
        <f t="shared" si="0"/>
        <v>627558</v>
      </c>
      <c r="D21" s="39">
        <f>IF(ECA!C21=0,NA(),ECA!C21)</f>
        <v>314108</v>
      </c>
      <c r="E21" s="39">
        <f>IF(CAA!C21=0,NA(),CAA!C21)</f>
        <v>202674</v>
      </c>
      <c r="F21" s="39">
        <f>IF(NCA!C21=0,NA(),NCA!C21)</f>
        <v>110776</v>
      </c>
      <c r="S21" s="9" t="s">
        <v>18</v>
      </c>
      <c r="T21" s="44">
        <f t="shared" ref="T21:W29" si="20">IFERROR(T8/T7-1,"")</f>
        <v>4.4715325970474229E-2</v>
      </c>
      <c r="U21" s="44">
        <f t="shared" si="20"/>
        <v>4.724457631134249E-2</v>
      </c>
      <c r="V21" s="44">
        <f t="shared" si="20"/>
        <v>7.2780787469580721E-2</v>
      </c>
      <c r="W21" s="44">
        <f t="shared" si="20"/>
        <v>2.9568709840574359E-2</v>
      </c>
      <c r="X21" s="44"/>
      <c r="Y21" s="44"/>
      <c r="Z21" s="44"/>
    </row>
    <row r="22" spans="2:32" x14ac:dyDescent="0.55000000000000004">
      <c r="B22" s="22" t="s">
        <v>40</v>
      </c>
      <c r="C22" s="43">
        <f t="shared" si="0"/>
        <v>666655</v>
      </c>
      <c r="D22" s="43">
        <f>IF(ECA!C22=0,NA(),ECA!C22)</f>
        <v>345730</v>
      </c>
      <c r="E22" s="43">
        <f>IF(CAA!C22=0,NA(),CAA!C22)</f>
        <v>202665</v>
      </c>
      <c r="F22" s="43">
        <f>IF(NCA!C22=0,NA(),NCA!C22)</f>
        <v>118260</v>
      </c>
      <c r="S22" s="9" t="s">
        <v>20</v>
      </c>
      <c r="T22" s="44">
        <f t="shared" si="20"/>
        <v>2.9110509700499554E-2</v>
      </c>
      <c r="U22" s="44">
        <f t="shared" si="20"/>
        <v>4.9582443134657872E-2</v>
      </c>
      <c r="V22" s="44">
        <f t="shared" si="20"/>
        <v>3.5880533410814763E-2</v>
      </c>
      <c r="W22" s="44">
        <f t="shared" si="20"/>
        <v>3.411168634108197E-2</v>
      </c>
      <c r="X22" s="44"/>
      <c r="Y22" s="44"/>
      <c r="Z22" s="44"/>
      <c r="AC22" s="7">
        <f>_xlfn.XLOOKUP(AD18,T6:W6,T5:W5)</f>
        <v>3</v>
      </c>
    </row>
    <row r="23" spans="2:32" x14ac:dyDescent="0.55000000000000004">
      <c r="B23" s="21" t="s">
        <v>41</v>
      </c>
      <c r="C23" s="39">
        <f t="shared" si="0"/>
        <v>679740</v>
      </c>
      <c r="D23" s="39">
        <f>IF(ECA!C23=0,NA(),ECA!C23)</f>
        <v>344151</v>
      </c>
      <c r="E23" s="39">
        <f>IF(CAA!C23=0,NA(),CAA!C23)</f>
        <v>217546</v>
      </c>
      <c r="F23" s="39">
        <f>IF(NCA!C23=0,NA(),NCA!C23)</f>
        <v>118043</v>
      </c>
      <c r="S23" s="9" t="s">
        <v>22</v>
      </c>
      <c r="T23" s="44">
        <f t="shared" si="20"/>
        <v>1.0740997482578729E-2</v>
      </c>
      <c r="U23" s="44">
        <f t="shared" si="20"/>
        <v>-1.2371743263844825E-2</v>
      </c>
      <c r="V23" s="44">
        <f t="shared" si="20"/>
        <v>-8.3206479341547457E-2</v>
      </c>
      <c r="W23" s="44">
        <f t="shared" si="20"/>
        <v>-6.3034079920843755E-2</v>
      </c>
      <c r="X23" s="44"/>
      <c r="Y23" s="44"/>
      <c r="Z23" s="44"/>
      <c r="AC23" s="7" t="s">
        <v>42</v>
      </c>
    </row>
    <row r="24" spans="2:32" x14ac:dyDescent="0.55000000000000004">
      <c r="B24" s="21" t="s">
        <v>43</v>
      </c>
      <c r="C24" s="39">
        <f t="shared" si="0"/>
        <v>689629</v>
      </c>
      <c r="D24" s="39">
        <f>IF(ECA!C24=0,NA(),ECA!C24)</f>
        <v>357815</v>
      </c>
      <c r="E24" s="39">
        <f>IF(CAA!C24=0,NA(),CAA!C24)</f>
        <v>213858</v>
      </c>
      <c r="F24" s="39">
        <f>IF(NCA!C24=0,NA(),NCA!C24)</f>
        <v>117956</v>
      </c>
      <c r="S24" s="9" t="s">
        <v>24</v>
      </c>
      <c r="T24" s="44">
        <f t="shared" si="20"/>
        <v>-1.8546460001299447E-2</v>
      </c>
      <c r="U24" s="44">
        <f t="shared" si="20"/>
        <v>-3.2548949891672008E-3</v>
      </c>
      <c r="V24" s="44">
        <f t="shared" si="20"/>
        <v>0.11772617033007315</v>
      </c>
      <c r="W24" s="44">
        <f t="shared" si="20"/>
        <v>6.5288642551244669E-2</v>
      </c>
      <c r="X24" s="44"/>
      <c r="Y24" s="44"/>
      <c r="Z24" s="44"/>
      <c r="AC24" s="9" t="s">
        <v>16</v>
      </c>
      <c r="AD24" s="8" cm="1">
        <f t="array" aca="1" ref="AD24:AD33" ca="1">OFFSET(S7,0,$AC$22,COUNT($T$7:$T$16),1)</f>
        <v>615973</v>
      </c>
    </row>
    <row r="25" spans="2:32" x14ac:dyDescent="0.55000000000000004">
      <c r="B25" s="21" t="s">
        <v>44</v>
      </c>
      <c r="C25" s="39">
        <f t="shared" si="0"/>
        <v>701438</v>
      </c>
      <c r="D25" s="39">
        <f>IF(ECA!C25=0,NA(),ECA!C25)</f>
        <v>356854</v>
      </c>
      <c r="E25" s="39">
        <f>IF(CAA!C25=0,NA(),CAA!C25)</f>
        <v>220865</v>
      </c>
      <c r="F25" s="39">
        <f>IF(NCA!C25=0,NA(),NCA!C25)</f>
        <v>123719</v>
      </c>
      <c r="S25" s="9" t="s">
        <v>26</v>
      </c>
      <c r="T25" s="44">
        <f t="shared" si="20"/>
        <v>5.007208638597116E-2</v>
      </c>
      <c r="U25" s="44">
        <f t="shared" si="20"/>
        <v>1.7220853531391578E-2</v>
      </c>
      <c r="V25" s="44">
        <f t="shared" si="20"/>
        <v>1.0602505139442053E-2</v>
      </c>
      <c r="W25" s="44">
        <f t="shared" si="20"/>
        <v>1.3831704638260778E-2</v>
      </c>
      <c r="X25" s="44"/>
      <c r="Y25" s="44"/>
      <c r="Z25" s="44"/>
      <c r="AC25" s="9" t="s">
        <v>18</v>
      </c>
      <c r="AD25" s="8">
        <f ca="1"/>
        <v>660804</v>
      </c>
      <c r="AF25" s="26" t="str">
        <f>_xlfn.CONCAT(A1," ",AD18," across Years")</f>
        <v>ECA, CAA &amp; NCA Grinds Q3 across Years</v>
      </c>
    </row>
    <row r="26" spans="2:32" x14ac:dyDescent="0.55000000000000004">
      <c r="B26" s="22" t="s">
        <v>45</v>
      </c>
      <c r="C26" s="43">
        <f t="shared" si="0"/>
        <v>710180</v>
      </c>
      <c r="D26" s="43">
        <f>IF(ECA!C26=0,NA(),ECA!C26)</f>
        <v>375811</v>
      </c>
      <c r="E26" s="43">
        <f>IF(CAA!C26=0,NA(),CAA!C26)</f>
        <v>210970</v>
      </c>
      <c r="F26" s="43">
        <f>IF(NCA!C26=0,NA(),NCA!C26)</f>
        <v>123399</v>
      </c>
      <c r="S26" s="9" t="s">
        <v>28</v>
      </c>
      <c r="T26" s="44">
        <f t="shared" si="20"/>
        <v>-2.2784458989935197E-2</v>
      </c>
      <c r="U26" s="44">
        <f t="shared" si="20"/>
        <v>7.9315186634449919E-3</v>
      </c>
      <c r="V26" s="44">
        <f t="shared" si="20"/>
        <v>-6.9295715041438943E-2</v>
      </c>
      <c r="W26" s="44">
        <f t="shared" si="20"/>
        <v>-6.1605298866810321E-2</v>
      </c>
      <c r="X26" s="44"/>
      <c r="Y26" s="44"/>
      <c r="Z26" s="44"/>
      <c r="AC26" s="9" t="s">
        <v>20</v>
      </c>
      <c r="AD26" s="8">
        <f ca="1"/>
        <v>684514</v>
      </c>
    </row>
    <row r="27" spans="2:32" x14ac:dyDescent="0.55000000000000004">
      <c r="B27" s="21" t="s">
        <v>46</v>
      </c>
      <c r="C27" s="39">
        <f t="shared" si="0"/>
        <v>713776</v>
      </c>
      <c r="D27" s="39">
        <f>IF(ECA!C27=0,NA(),ECA!C27)</f>
        <v>365826</v>
      </c>
      <c r="E27" s="39">
        <f>IF(CAA!C27=0,NA(),CAA!C27)</f>
        <v>231309</v>
      </c>
      <c r="F27" s="39">
        <f>IF(NCA!C27=0,NA(),NCA!C27)</f>
        <v>116641</v>
      </c>
      <c r="S27" s="9" t="s">
        <v>30</v>
      </c>
      <c r="T27" s="44">
        <f t="shared" si="20"/>
        <v>-4.5305248791062014E-2</v>
      </c>
      <c r="U27" s="44">
        <f t="shared" si="20"/>
        <v>-7.5947326215686228E-4</v>
      </c>
      <c r="V27" s="44">
        <f t="shared" si="20"/>
        <v>2.7370849393636654E-2</v>
      </c>
      <c r="W27" s="44">
        <f t="shared" si="20"/>
        <v>1.355145512375544E-2</v>
      </c>
      <c r="X27" s="44"/>
      <c r="Y27" s="44"/>
      <c r="Z27" s="44"/>
      <c r="AC27" s="9" t="s">
        <v>22</v>
      </c>
      <c r="AD27" s="8">
        <f ca="1"/>
        <v>627558</v>
      </c>
    </row>
    <row r="28" spans="2:32" x14ac:dyDescent="0.55000000000000004">
      <c r="B28" s="21" t="s">
        <v>47</v>
      </c>
      <c r="C28" s="39">
        <f t="shared" si="0"/>
        <v>701505</v>
      </c>
      <c r="D28" s="39">
        <f>IF(ECA!C28=0,NA(),ECA!C28)</f>
        <v>373498</v>
      </c>
      <c r="E28" s="39">
        <f>IF(CAA!C28=0,NA(),CAA!C28)</f>
        <v>213313</v>
      </c>
      <c r="F28" s="39">
        <f>IF(NCA!C28=0,NA(),NCA!C28)</f>
        <v>114694</v>
      </c>
      <c r="S28" s="9" t="s">
        <v>74</v>
      </c>
      <c r="T28" s="44">
        <f t="shared" si="20"/>
        <v>-2.521804682901041E-2</v>
      </c>
      <c r="U28" s="44">
        <f t="shared" si="20"/>
        <v>-3.5770495886952025E-2</v>
      </c>
      <c r="V28" s="44">
        <f t="shared" si="20"/>
        <v>-9.1568298537497927E-2</v>
      </c>
      <c r="W28" s="44">
        <f t="shared" si="20"/>
        <v>-7.484342212285866E-2</v>
      </c>
      <c r="X28" s="44"/>
      <c r="Y28" s="44"/>
      <c r="Z28" s="44"/>
      <c r="AC28" s="9" t="s">
        <v>24</v>
      </c>
      <c r="AD28" s="8">
        <f ca="1"/>
        <v>701438</v>
      </c>
    </row>
    <row r="29" spans="2:32" x14ac:dyDescent="0.55000000000000004">
      <c r="B29" s="21" t="s">
        <v>48</v>
      </c>
      <c r="C29" s="39">
        <f t="shared" si="0"/>
        <v>708875</v>
      </c>
      <c r="D29" s="39">
        <f>IF(ECA!C29=0,NA(),ECA!C29)</f>
        <v>364081</v>
      </c>
      <c r="E29" s="39">
        <f>IF(CAA!C29=0,NA(),CAA!C29)</f>
        <v>228895</v>
      </c>
      <c r="F29" s="39">
        <f>IF(NCA!C29=0,NA(),NCA!C29)</f>
        <v>115899</v>
      </c>
      <c r="S29" s="9" t="s">
        <v>165</v>
      </c>
      <c r="T29" s="44">
        <f t="shared" si="20"/>
        <v>-6.8569861612431615E-2</v>
      </c>
      <c r="U29" s="44">
        <f t="shared" si="20"/>
        <v>-3.7832894684694085E-2</v>
      </c>
      <c r="V29" s="44">
        <f t="shared" si="20"/>
        <v>5.6721532452557399E-2</v>
      </c>
      <c r="W29" s="44"/>
      <c r="AC29" s="9" t="s">
        <v>26</v>
      </c>
      <c r="AD29" s="8">
        <f ca="1"/>
        <v>708875</v>
      </c>
    </row>
    <row r="30" spans="2:32" x14ac:dyDescent="0.55000000000000004">
      <c r="B30" s="22" t="s">
        <v>49</v>
      </c>
      <c r="C30" s="43">
        <f t="shared" si="0"/>
        <v>720003</v>
      </c>
      <c r="D30" s="43">
        <f>IF(ECA!C30=0,NA(),ECA!C30)</f>
        <v>369679</v>
      </c>
      <c r="E30" s="43">
        <f>IF(CAA!C30=0,NA(),CAA!C30)</f>
        <v>231080</v>
      </c>
      <c r="F30" s="43">
        <f>IF(NCA!C30=0,NA(),NCA!C30)</f>
        <v>119244</v>
      </c>
      <c r="AC30" s="9" t="s">
        <v>28</v>
      </c>
      <c r="AD30" s="8">
        <f ca="1"/>
        <v>659753</v>
      </c>
    </row>
    <row r="31" spans="2:32" x14ac:dyDescent="0.55000000000000004">
      <c r="B31" s="21" t="s">
        <v>50</v>
      </c>
      <c r="C31" s="39">
        <f t="shared" si="0"/>
        <v>697513</v>
      </c>
      <c r="D31" s="39">
        <f>IF(ECA!C31=0,NA(),ECA!C31)</f>
        <v>359577</v>
      </c>
      <c r="E31" s="39">
        <f>IF(CAA!C31=0,NA(),CAA!C31)</f>
        <v>230806</v>
      </c>
      <c r="F31" s="39">
        <f>IF(NCA!C31=0,NA(),NCA!C31)</f>
        <v>107130</v>
      </c>
      <c r="AC31" s="9" t="s">
        <v>30</v>
      </c>
      <c r="AD31" s="8">
        <f ca="1"/>
        <v>677811</v>
      </c>
    </row>
    <row r="32" spans="2:32" ht="15.6" x14ac:dyDescent="0.6">
      <c r="B32" s="21" t="s">
        <v>51</v>
      </c>
      <c r="C32" s="39">
        <f t="shared" si="0"/>
        <v>707069</v>
      </c>
      <c r="D32" s="39">
        <f>IF(ECA!C32=0,NA(),ECA!C32)</f>
        <v>375375</v>
      </c>
      <c r="E32" s="39">
        <f>IF(CAA!C32=0,NA(),CAA!C32)</f>
        <v>222028</v>
      </c>
      <c r="F32" s="39">
        <f>IF(NCA!C32=0,NA(),NCA!C32)</f>
        <v>109666</v>
      </c>
      <c r="S32" s="149" t="s">
        <v>52</v>
      </c>
      <c r="T32" s="149"/>
      <c r="U32" s="149"/>
      <c r="V32" s="149"/>
      <c r="W32" s="149"/>
      <c r="X32" s="92"/>
      <c r="Y32" s="92"/>
      <c r="Z32" s="92"/>
      <c r="AC32" s="9" t="s">
        <v>74</v>
      </c>
      <c r="AD32" s="8">
        <f ca="1"/>
        <v>615745</v>
      </c>
    </row>
    <row r="33" spans="2:30" x14ac:dyDescent="0.55000000000000004">
      <c r="B33" s="21" t="s">
        <v>53</v>
      </c>
      <c r="C33" s="39">
        <f t="shared" si="0"/>
        <v>659753</v>
      </c>
      <c r="D33" s="39">
        <f>IF(ECA!C33=0,NA(),ECA!C33)</f>
        <v>343283</v>
      </c>
      <c r="E33" s="39">
        <f>IF(CAA!C33=0,NA(),CAA!C33)</f>
        <v>213977</v>
      </c>
      <c r="F33" s="39">
        <f>IF(NCA!C33=0,NA(),NCA!C33)</f>
        <v>102493</v>
      </c>
      <c r="T33" s="18" t="s">
        <v>9</v>
      </c>
      <c r="U33" s="18" t="s">
        <v>10</v>
      </c>
      <c r="V33" s="18" t="s">
        <v>11</v>
      </c>
      <c r="W33" s="18" t="s">
        <v>12</v>
      </c>
      <c r="X33" s="18"/>
      <c r="Y33" s="18"/>
      <c r="Z33" s="18"/>
      <c r="AC33" s="9" t="s">
        <v>165</v>
      </c>
      <c r="AD33" s="8">
        <f ca="1"/>
        <v>650671</v>
      </c>
    </row>
    <row r="34" spans="2:30" x14ac:dyDescent="0.55000000000000004">
      <c r="B34" s="22" t="s">
        <v>54</v>
      </c>
      <c r="C34" s="43">
        <f>SUM(D34:F34)</f>
        <v>675647</v>
      </c>
      <c r="D34" s="43">
        <f>IF(ECA!C34=0,NA(),ECA!C34)</f>
        <v>366298</v>
      </c>
      <c r="E34" s="43">
        <f>IF(CAA!C34=0,NA(),CAA!C34)</f>
        <v>211468</v>
      </c>
      <c r="F34" s="43">
        <f>IF(NCA!C34=0,NA(),NCA!C34)</f>
        <v>97881</v>
      </c>
      <c r="S34" s="9" t="s">
        <v>16</v>
      </c>
      <c r="T34" s="41"/>
      <c r="U34" s="41">
        <f t="shared" ref="U34:W42" si="21">IFERROR(U7/T7-1,"")</f>
        <v>0</v>
      </c>
      <c r="V34" s="41">
        <f t="shared" si="21"/>
        <v>-3.3529826168954502E-2</v>
      </c>
      <c r="W34" s="41">
        <f t="shared" si="21"/>
        <v>8.4907942393579017E-2</v>
      </c>
      <c r="X34" s="41"/>
      <c r="Y34" s="41"/>
      <c r="Z34" s="41"/>
    </row>
    <row r="35" spans="2:30" x14ac:dyDescent="0.55000000000000004">
      <c r="B35" s="21" t="s">
        <v>55</v>
      </c>
      <c r="C35" s="39">
        <f t="shared" si="0"/>
        <v>665912</v>
      </c>
      <c r="D35" s="39">
        <f>IF(ECA!C35=0,NA(),ECA!C35)</f>
        <v>350739</v>
      </c>
      <c r="E35" s="39">
        <f>IF(CAA!C35=0,NA(),CAA!C35)</f>
        <v>211202</v>
      </c>
      <c r="F35" s="39">
        <f>IF(NCA!C35=0,NA(),NCA!C35)</f>
        <v>103971</v>
      </c>
      <c r="S35" s="9" t="s">
        <v>18</v>
      </c>
      <c r="T35" s="41">
        <f t="shared" ref="T35:T43" si="22">IFERROR(T8/W7-1,"")</f>
        <v>-3.6392258265321997E-3</v>
      </c>
      <c r="U35" s="41">
        <f t="shared" si="21"/>
        <v>2.4209947705311485E-3</v>
      </c>
      <c r="V35" s="41">
        <f t="shared" si="21"/>
        <v>-9.9632334213294316E-3</v>
      </c>
      <c r="W35" s="41">
        <f t="shared" si="21"/>
        <v>4.1207377679311818E-2</v>
      </c>
      <c r="X35" s="41"/>
      <c r="Y35" s="41"/>
      <c r="Z35" s="41"/>
    </row>
    <row r="36" spans="2:30" x14ac:dyDescent="0.55000000000000004">
      <c r="B36" s="21" t="s">
        <v>56</v>
      </c>
      <c r="C36" s="10">
        <f t="shared" si="0"/>
        <v>706532</v>
      </c>
      <c r="D36" s="10">
        <f>IF(ECA!C36=0,NA(),ECA!C36)</f>
        <v>367287</v>
      </c>
      <c r="E36" s="10">
        <f>IF(CAA!C36=0,NA(),CAA!C36)</f>
        <v>225562</v>
      </c>
      <c r="F36" s="10">
        <f>IF(NCA!C36=0,NA(),NCA!C36)</f>
        <v>113683</v>
      </c>
      <c r="S36" s="9" t="s">
        <v>20</v>
      </c>
      <c r="T36" s="41">
        <f t="shared" si="22"/>
        <v>-4.0826470784873781E-3</v>
      </c>
      <c r="U36" s="41">
        <f t="shared" si="21"/>
        <v>2.2361997883906692E-2</v>
      </c>
      <c r="V36" s="41">
        <f t="shared" si="21"/>
        <v>-2.2887796410809846E-2</v>
      </c>
      <c r="W36" s="41">
        <f t="shared" si="21"/>
        <v>3.9429434606158553E-2</v>
      </c>
      <c r="X36" s="41"/>
      <c r="Y36" s="41"/>
      <c r="Z36" s="41"/>
    </row>
    <row r="37" spans="2:30" x14ac:dyDescent="0.55000000000000004">
      <c r="B37" s="21" t="s">
        <v>57</v>
      </c>
      <c r="C37" s="10">
        <f t="shared" si="0"/>
        <v>677811</v>
      </c>
      <c r="D37" s="10">
        <f>IF(ECA!C37=0,NA(),ECA!C37)</f>
        <v>357502</v>
      </c>
      <c r="E37" s="10">
        <f>IF(CAA!C37=0,NA(),CAA!C37)</f>
        <v>215528</v>
      </c>
      <c r="F37" s="10">
        <f>IF(NCA!C37=0,NA(),NCA!C37)</f>
        <v>104781</v>
      </c>
      <c r="S37" s="9" t="s">
        <v>22</v>
      </c>
      <c r="T37" s="41">
        <f t="shared" si="22"/>
        <v>-2.6590152690638469E-2</v>
      </c>
      <c r="U37" s="41">
        <f t="shared" si="21"/>
        <v>-1.0164817314842756E-3</v>
      </c>
      <c r="V37" s="41">
        <f t="shared" si="21"/>
        <v>-9.296829946190166E-2</v>
      </c>
      <c r="W37" s="41">
        <f t="shared" si="21"/>
        <v>6.2300217669123858E-2</v>
      </c>
      <c r="X37" s="41"/>
      <c r="Y37" s="41"/>
      <c r="Z37" s="41"/>
    </row>
    <row r="38" spans="2:30" x14ac:dyDescent="0.55000000000000004">
      <c r="B38" s="22" t="s">
        <v>58</v>
      </c>
      <c r="C38" s="43">
        <f t="shared" si="0"/>
        <v>684803</v>
      </c>
      <c r="D38" s="43">
        <f>IF(ECA!C38=0,NA(),ECA!C38)</f>
        <v>354334</v>
      </c>
      <c r="E38" s="43">
        <f>IF(CAA!C38=0,NA(),CAA!C38)</f>
        <v>221205</v>
      </c>
      <c r="F38" s="43">
        <f>IF(NCA!C38=0,NA(),NCA!C38)</f>
        <v>109264</v>
      </c>
      <c r="S38" s="9" t="s">
        <v>24</v>
      </c>
      <c r="T38" s="41">
        <f t="shared" si="22"/>
        <v>1.9627843487260987E-2</v>
      </c>
      <c r="U38" s="41">
        <f t="shared" si="21"/>
        <v>1.4548209609556606E-2</v>
      </c>
      <c r="V38" s="41">
        <f t="shared" si="21"/>
        <v>1.712369984440909E-2</v>
      </c>
      <c r="W38" s="41">
        <f t="shared" si="21"/>
        <v>1.2462968929541907E-2</v>
      </c>
      <c r="X38" s="41"/>
      <c r="Y38" s="41"/>
      <c r="Z38" s="41"/>
    </row>
    <row r="39" spans="2:30" x14ac:dyDescent="0.55000000000000004">
      <c r="B39" s="21" t="s">
        <v>73</v>
      </c>
      <c r="C39" s="39">
        <f t="shared" ref="C39:C40" si="23">SUM(D39:F39)</f>
        <v>649119</v>
      </c>
      <c r="D39" s="39">
        <f>IF(ECA!C39=0,NA(),ECA!C39)</f>
        <v>331853</v>
      </c>
      <c r="E39" s="39">
        <f>IF(CAA!C39=0,NA(),CAA!C39)</f>
        <v>214505</v>
      </c>
      <c r="F39" s="39">
        <f>IF(NCA!C39=0,NA(),NCA!C39)</f>
        <v>102761</v>
      </c>
      <c r="S39" s="9" t="s">
        <v>26</v>
      </c>
      <c r="T39" s="41">
        <f t="shared" si="22"/>
        <v>5.0635050268945658E-3</v>
      </c>
      <c r="U39" s="41">
        <f t="shared" si="21"/>
        <v>-1.7191667974266411E-2</v>
      </c>
      <c r="V39" s="41">
        <f t="shared" si="21"/>
        <v>1.0505983563908972E-2</v>
      </c>
      <c r="W39" s="41">
        <f t="shared" si="21"/>
        <v>1.5698113207547104E-2</v>
      </c>
      <c r="X39" s="41"/>
      <c r="Y39" s="41"/>
      <c r="Z39" s="41"/>
    </row>
    <row r="40" spans="2:30" x14ac:dyDescent="0.55000000000000004">
      <c r="B40" s="21" t="s">
        <v>151</v>
      </c>
      <c r="C40" s="39">
        <f t="shared" si="23"/>
        <v>681259</v>
      </c>
      <c r="D40" s="10">
        <f>IF(ECA!C40=0,NA(),ECA!C40)</f>
        <v>353522</v>
      </c>
      <c r="E40" s="10">
        <f>IF(CAA!C40=0,NA(),CAA!C40)</f>
        <v>217459</v>
      </c>
      <c r="F40" s="10">
        <f>IF(NCA!C40=0,NA(),NCA!C40)</f>
        <v>110278</v>
      </c>
      <c r="S40" s="9" t="s">
        <v>28</v>
      </c>
      <c r="T40" s="41">
        <f t="shared" si="22"/>
        <v>-3.1235980961190402E-2</v>
      </c>
      <c r="U40" s="41">
        <f t="shared" si="21"/>
        <v>1.3700103080516168E-2</v>
      </c>
      <c r="V40" s="41">
        <f t="shared" si="21"/>
        <v>-6.691850441753211E-2</v>
      </c>
      <c r="W40" s="41">
        <f t="shared" si="21"/>
        <v>2.409083399393408E-2</v>
      </c>
      <c r="X40" s="41"/>
      <c r="Y40" s="41"/>
      <c r="Z40" s="41"/>
    </row>
    <row r="41" spans="2:30" x14ac:dyDescent="0.55000000000000004">
      <c r="B41" s="21" t="s">
        <v>160</v>
      </c>
      <c r="C41" s="39">
        <f t="shared" ref="C41" si="24">SUM(D41:F41)</f>
        <v>615745</v>
      </c>
      <c r="D41" s="10">
        <f>IF(ECA!C41=0,NA(),ECA!C41)</f>
        <v>331762</v>
      </c>
      <c r="E41" s="10">
        <f>IF(CAA!C41=0,NA(),CAA!C41)</f>
        <v>182118</v>
      </c>
      <c r="F41" s="10">
        <f>IF(NCA!C41=0,NA(),NCA!C41)</f>
        <v>101865</v>
      </c>
      <c r="S41" s="9" t="s">
        <v>30</v>
      </c>
      <c r="T41" s="41">
        <f t="shared" si="22"/>
        <v>-1.4408411492983775E-2</v>
      </c>
      <c r="U41" s="41">
        <f t="shared" si="21"/>
        <v>6.0999050925647724E-2</v>
      </c>
      <c r="V41" s="41">
        <f t="shared" si="21"/>
        <v>-4.0650671165637253E-2</v>
      </c>
      <c r="W41" s="41">
        <f t="shared" si="21"/>
        <v>1.0315559942225772E-2</v>
      </c>
      <c r="X41" s="41"/>
      <c r="Y41" s="41"/>
      <c r="Z41" s="41"/>
    </row>
    <row r="42" spans="2:30" x14ac:dyDescent="0.55000000000000004">
      <c r="B42" s="22" t="s">
        <v>162</v>
      </c>
      <c r="C42" s="43">
        <f t="shared" ref="C42:C43" si="25">SUM(D42:F42)</f>
        <v>633550</v>
      </c>
      <c r="D42" s="43">
        <f>IF(ECA!C42=0,NA(),ECA!C42)</f>
        <v>337353</v>
      </c>
      <c r="E42" s="43">
        <f>IF(CAA!C42=0,NA(),CAA!C42)</f>
        <v>183413</v>
      </c>
      <c r="F42" s="43">
        <f>IF(NCA!C42=0,NA(),NCA!C42)</f>
        <v>112784</v>
      </c>
      <c r="S42" s="9" t="s">
        <v>74</v>
      </c>
      <c r="T42" s="41">
        <f t="shared" si="22"/>
        <v>-5.2108416581118977E-2</v>
      </c>
      <c r="U42" s="41">
        <f t="shared" si="21"/>
        <v>4.951326336157158E-2</v>
      </c>
      <c r="V42" s="41">
        <f t="shared" si="21"/>
        <v>-9.6166068998721488E-2</v>
      </c>
      <c r="W42" s="41">
        <f t="shared" si="21"/>
        <v>2.8916190955671661E-2</v>
      </c>
      <c r="X42" s="41"/>
      <c r="Y42" s="41"/>
      <c r="Z42" s="41"/>
    </row>
    <row r="43" spans="2:30" x14ac:dyDescent="0.55000000000000004">
      <c r="B43" s="21" t="s">
        <v>187</v>
      </c>
      <c r="C43" s="39">
        <f t="shared" si="25"/>
        <v>604609</v>
      </c>
      <c r="D43" s="39">
        <f>IF(ECA!C43=0,NA(),ECA!C43)</f>
        <v>304470</v>
      </c>
      <c r="E43" s="39">
        <f>IF(CAA!C43=0,NA(),CAA!C43)</f>
        <v>197022</v>
      </c>
      <c r="F43" s="39">
        <f>IF(NCA!C43=0,NA(),NCA!C43)</f>
        <v>103117</v>
      </c>
      <c r="S43" s="9" t="s">
        <v>165</v>
      </c>
      <c r="T43" s="41">
        <f t="shared" si="22"/>
        <v>-4.5680688185620655E-2</v>
      </c>
      <c r="U43" s="41">
        <f t="shared" ref="U43" si="26">IFERROR(U16/T16-1,"")</f>
        <v>8.4146944554249092E-2</v>
      </c>
      <c r="V43" s="41">
        <f t="shared" ref="V43" si="27">IFERROR(V16/U16-1,"")</f>
        <v>-7.3441802634690578E-3</v>
      </c>
    </row>
    <row r="44" spans="2:30" x14ac:dyDescent="0.55000000000000004">
      <c r="B44" s="21" t="s">
        <v>209</v>
      </c>
      <c r="C44" s="39">
        <f t="shared" ref="C44:C45" si="28">SUM(D44:F44)</f>
        <v>655485</v>
      </c>
      <c r="D44" s="39">
        <f>IF(ECA!C44=0,NA(),ECA!C44)</f>
        <v>325895</v>
      </c>
      <c r="E44" s="39">
        <f>IF(CAA!C44=0,NA(),CAA!C44)</f>
        <v>223503</v>
      </c>
      <c r="F44" s="39">
        <f>IF(NCA!C44=0,NA(),NCA!C44)</f>
        <v>106087</v>
      </c>
    </row>
    <row r="45" spans="2:30" x14ac:dyDescent="0.55000000000000004">
      <c r="B45" s="21" t="s">
        <v>210</v>
      </c>
      <c r="C45" s="39">
        <f t="shared" si="28"/>
        <v>650671</v>
      </c>
      <c r="D45" s="39">
        <f>IF(ECA!C45=0,NA(),ECA!C45)</f>
        <v>316366</v>
      </c>
      <c r="E45" s="39">
        <f>IF(CAA!C45=0,NA(),CAA!C45)</f>
        <v>224646</v>
      </c>
      <c r="F45" s="39">
        <f>IF(NCA!C45=0,NA(),NCA!C45)</f>
        <v>109659</v>
      </c>
    </row>
    <row r="50" spans="14:21" x14ac:dyDescent="0.55000000000000004">
      <c r="T50" s="12"/>
    </row>
    <row r="51" spans="14:21" x14ac:dyDescent="0.55000000000000004">
      <c r="T51" s="12"/>
      <c r="U51" s="44"/>
    </row>
    <row r="57" spans="14:21" x14ac:dyDescent="0.55000000000000004">
      <c r="O57" s="7" t="s">
        <v>9</v>
      </c>
      <c r="P57" s="7" t="s">
        <v>10</v>
      </c>
      <c r="Q57" s="7" t="s">
        <v>11</v>
      </c>
      <c r="R57" s="7" t="s">
        <v>12</v>
      </c>
    </row>
    <row r="58" spans="14:21" x14ac:dyDescent="0.55000000000000004">
      <c r="N58" s="7" t="s">
        <v>16</v>
      </c>
      <c r="O58" s="7">
        <v>637343</v>
      </c>
      <c r="P58" s="7">
        <v>637343</v>
      </c>
      <c r="Q58" s="7">
        <v>615973</v>
      </c>
      <c r="R58" s="7">
        <v>668274</v>
      </c>
      <c r="S58" s="7">
        <f>SUM(O58:R58)</f>
        <v>2558933</v>
      </c>
    </row>
    <row r="59" spans="14:21" x14ac:dyDescent="0.55000000000000004">
      <c r="N59" s="7" t="s">
        <v>18</v>
      </c>
      <c r="O59" s="7">
        <v>665842</v>
      </c>
      <c r="P59" s="7">
        <v>667454</v>
      </c>
      <c r="Q59" s="7">
        <v>660804</v>
      </c>
      <c r="R59" s="7">
        <v>688034</v>
      </c>
      <c r="S59" s="7">
        <f t="shared" ref="S59:S65" si="29">SUM(O59:R59)</f>
        <v>2682134</v>
      </c>
    </row>
    <row r="60" spans="14:21" x14ac:dyDescent="0.55000000000000004">
      <c r="N60" s="7" t="s">
        <v>20</v>
      </c>
      <c r="O60" s="7">
        <v>685225</v>
      </c>
      <c r="P60" s="7">
        <v>700548</v>
      </c>
      <c r="Q60" s="7">
        <v>684514</v>
      </c>
      <c r="R60" s="7">
        <v>711504</v>
      </c>
      <c r="S60" s="7">
        <f t="shared" si="29"/>
        <v>2781791</v>
      </c>
    </row>
    <row r="61" spans="14:21" x14ac:dyDescent="0.55000000000000004">
      <c r="N61" s="7" t="s">
        <v>22</v>
      </c>
      <c r="O61" s="7">
        <v>692585</v>
      </c>
      <c r="P61" s="7">
        <v>691881</v>
      </c>
      <c r="Q61" s="7">
        <v>627558</v>
      </c>
      <c r="R61" s="7">
        <v>666655</v>
      </c>
      <c r="S61" s="7">
        <f t="shared" si="29"/>
        <v>2678679</v>
      </c>
    </row>
    <row r="62" spans="14:21" x14ac:dyDescent="0.55000000000000004">
      <c r="N62" s="7" t="s">
        <v>24</v>
      </c>
      <c r="O62" s="7">
        <v>679740</v>
      </c>
      <c r="P62" s="7">
        <v>689629</v>
      </c>
      <c r="Q62" s="7">
        <v>701438</v>
      </c>
      <c r="R62" s="7">
        <v>710180</v>
      </c>
      <c r="S62" s="7">
        <f t="shared" si="29"/>
        <v>2780987</v>
      </c>
    </row>
    <row r="63" spans="14:21" x14ac:dyDescent="0.55000000000000004">
      <c r="N63" s="7" t="s">
        <v>26</v>
      </c>
      <c r="O63" s="7">
        <v>713776</v>
      </c>
      <c r="P63" s="7">
        <v>701505</v>
      </c>
      <c r="Q63" s="7">
        <v>708875</v>
      </c>
      <c r="R63" s="7">
        <v>720003</v>
      </c>
      <c r="S63" s="7">
        <f t="shared" si="29"/>
        <v>2844159</v>
      </c>
    </row>
    <row r="64" spans="14:21" x14ac:dyDescent="0.55000000000000004">
      <c r="N64" s="7" t="s">
        <v>28</v>
      </c>
      <c r="O64" s="7">
        <v>697513</v>
      </c>
      <c r="P64" s="7">
        <v>707069</v>
      </c>
      <c r="Q64" s="7">
        <v>659753</v>
      </c>
      <c r="R64" s="7">
        <v>675647</v>
      </c>
      <c r="S64" s="7">
        <f t="shared" si="29"/>
        <v>2739982</v>
      </c>
    </row>
    <row r="65" spans="14:19" x14ac:dyDescent="0.55000000000000004">
      <c r="N65" s="7" t="s">
        <v>30</v>
      </c>
      <c r="O65" s="7">
        <v>665912</v>
      </c>
      <c r="P65" s="7">
        <v>702500</v>
      </c>
      <c r="Q65" s="7">
        <v>673251</v>
      </c>
      <c r="R65" s="7">
        <v>680596</v>
      </c>
      <c r="S65" s="7">
        <f t="shared" si="29"/>
        <v>2722259</v>
      </c>
    </row>
    <row r="66" spans="14:19" x14ac:dyDescent="0.55000000000000004">
      <c r="N66" s="7" t="s">
        <v>74</v>
      </c>
      <c r="O66" s="7">
        <v>644725</v>
      </c>
      <c r="P66" s="7">
        <v>677698</v>
      </c>
      <c r="Q66" s="7">
        <v>607947.94999999995</v>
      </c>
      <c r="R66" s="7">
        <f>S66-SUM(O66:Q66)</f>
        <v>696608.9850000001</v>
      </c>
      <c r="S66" s="7">
        <f>S65*(1-0.035)</f>
        <v>2626979.9350000001</v>
      </c>
    </row>
    <row r="70" spans="14:19" x14ac:dyDescent="0.55000000000000004">
      <c r="R70" s="47">
        <f>R66/R65-1</f>
        <v>2.3527885852987929E-2</v>
      </c>
    </row>
    <row r="83" spans="16:20" x14ac:dyDescent="0.55000000000000004">
      <c r="P83" s="7">
        <f>AVERAGE(O58:O65)</f>
        <v>679742</v>
      </c>
      <c r="Q83" s="7">
        <f>AVERAGE(P58:P65)</f>
        <v>687241.125</v>
      </c>
      <c r="R83" s="7">
        <f>AVERAGE(Q58:Q65)</f>
        <v>666520.75</v>
      </c>
      <c r="S83" s="7">
        <f>AVERAGE(R58:R65)</f>
        <v>690111.625</v>
      </c>
      <c r="T83" s="7">
        <f>SUM(P83:S83)</f>
        <v>2723615.5</v>
      </c>
    </row>
    <row r="85" spans="16:20" x14ac:dyDescent="0.55000000000000004">
      <c r="P85" s="72">
        <f>P83/$T$83</f>
        <v>0.2495734071127147</v>
      </c>
      <c r="Q85" s="72">
        <f>Q83/$T$83</f>
        <v>0.25232677850452828</v>
      </c>
      <c r="R85" s="72">
        <f>R83/$T$83</f>
        <v>0.24471910590903892</v>
      </c>
      <c r="S85" s="72">
        <f>S83/$T$83</f>
        <v>0.25338070847371813</v>
      </c>
    </row>
  </sheetData>
  <mergeCells count="4">
    <mergeCell ref="S18:W18"/>
    <mergeCell ref="AB18:AC18"/>
    <mergeCell ref="S32:W32"/>
    <mergeCell ref="A1:AK1"/>
  </mergeCells>
  <phoneticPr fontId="19" type="noConversion"/>
  <conditionalFormatting sqref="T21:W2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{2C1369D3-239F-47C3-B5B8-6A021B88A953}</x14:id>
        </ext>
      </extLst>
    </cfRule>
  </conditionalFormatting>
  <conditionalFormatting sqref="T34:W4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{1BC7AA80-483E-44D2-9010-AB9BDF2BB302}</x14:id>
        </ext>
      </extLst>
    </cfRule>
  </conditionalFormatting>
  <conditionalFormatting sqref="X7:X1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16:Y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:Z2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{DAAE23AA-476D-4077-AEF8-029755F3C5C6}</x14:id>
        </ext>
      </extLst>
    </cfRule>
  </conditionalFormatting>
  <conditionalFormatting sqref="X34:Z4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{AD28E63C-6855-4CA1-99D2-6CBD42F7041D}</x14:id>
        </ext>
      </extLst>
    </cfRule>
  </conditionalFormatting>
  <conditionalFormatting sqref="Y8:Y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{8B93D12A-3629-4F39-ADE4-13D67B916FBC}</x14:id>
        </ext>
      </extLst>
    </cfRule>
  </conditionalFormatting>
  <conditionalFormatting sqref="Z7:Z15 T7:W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:AC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:AD1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{9DA708B0-3C22-4853-8EDD-3D09F4BB0953}</x14:id>
        </ext>
      </extLst>
    </cfRule>
  </conditionalFormatting>
  <dataValidations count="1">
    <dataValidation type="list" allowBlank="1" showInputMessage="1" showErrorMessage="1" sqref="AD18" xr:uid="{5DFE4AB4-39F0-4DDA-BAAF-3B253583FC39}">
      <formula1>$T$6:$W$6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369D3-239F-47C3-B5B8-6A021B88A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T21:W29</xm:sqref>
        </x14:conditionalFormatting>
        <x14:conditionalFormatting xmlns:xm="http://schemas.microsoft.com/office/excel/2006/main">
          <x14:cfRule type="dataBar" id="{1BC7AA80-483E-44D2-9010-AB9BDF2BB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T34:W43</xm:sqref>
        </x14:conditionalFormatting>
        <x14:conditionalFormatting xmlns:xm="http://schemas.microsoft.com/office/excel/2006/main">
          <x14:cfRule type="dataBar" id="{DAAE23AA-476D-4077-AEF8-029755F3C5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X21:Z28</xm:sqref>
        </x14:conditionalFormatting>
        <x14:conditionalFormatting xmlns:xm="http://schemas.microsoft.com/office/excel/2006/main">
          <x14:cfRule type="dataBar" id="{AD28E63C-6855-4CA1-99D2-6CBD42F704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X34:Z42</xm:sqref>
        </x14:conditionalFormatting>
        <x14:conditionalFormatting xmlns:xm="http://schemas.microsoft.com/office/excel/2006/main">
          <x14:cfRule type="dataBar" id="{8B93D12A-3629-4F39-ADE4-13D67B916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Y8:Y15</xm:sqref>
        </x14:conditionalFormatting>
        <x14:conditionalFormatting xmlns:xm="http://schemas.microsoft.com/office/excel/2006/main">
          <x14:cfRule type="dataBar" id="{9DA708B0-3C22-4853-8EDD-3D09F4BB09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AD8:AD16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9E02-EDEB-4C44-B4C2-A2206B181E15}">
  <sheetPr codeName="Sheet19"/>
  <dimension ref="A1:AG51"/>
  <sheetViews>
    <sheetView showGridLines="0" zoomScale="55" zoomScaleNormal="55" workbookViewId="0">
      <selection activeCell="M53" sqref="M53"/>
    </sheetView>
  </sheetViews>
  <sheetFormatPr defaultColWidth="9.15625" defaultRowHeight="14.4" x14ac:dyDescent="0.55000000000000004"/>
  <cols>
    <col min="1" max="1" width="9.15625" style="7"/>
    <col min="2" max="2" width="10.41796875" style="7" bestFit="1" customWidth="1"/>
    <col min="3" max="3" width="8.26171875" style="7" bestFit="1" customWidth="1"/>
    <col min="4" max="4" width="9.26171875" style="7" customWidth="1"/>
    <col min="5" max="5" width="10.83984375" style="7" bestFit="1" customWidth="1"/>
    <col min="6" max="6" width="6.41796875" style="7" customWidth="1"/>
    <col min="7" max="14" width="9.15625" style="7"/>
    <col min="15" max="15" width="4.578125" style="7" customWidth="1"/>
    <col min="16" max="16" width="9.15625" style="7"/>
    <col min="17" max="22" width="9.15625" style="7" customWidth="1"/>
    <col min="23" max="23" width="11.26171875" style="7" customWidth="1"/>
    <col min="24" max="24" width="9.15625" style="7"/>
    <col min="25" max="25" width="13.578125" style="7" customWidth="1"/>
    <col min="26" max="26" width="11.578125" style="7" bestFit="1" customWidth="1"/>
    <col min="27" max="16384" width="9.15625" style="7"/>
  </cols>
  <sheetData>
    <row r="1" spans="1:33" s="5" customFormat="1" ht="55.5" customHeight="1" x14ac:dyDescent="0.55000000000000004">
      <c r="A1" s="148" t="s">
        <v>158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</row>
    <row r="2" spans="1:33" s="6" customFormat="1" ht="5.25" customHeight="1" x14ac:dyDescent="0.6"/>
    <row r="3" spans="1:33" x14ac:dyDescent="0.55000000000000004">
      <c r="X3" s="20">
        <f>COUNT(Q16:T16)</f>
        <v>2</v>
      </c>
      <c r="Y3" s="19" t="str">
        <f ca="1">OFFSET(P6,0,$X$3,1,1)</f>
        <v>Q2</v>
      </c>
    </row>
    <row r="4" spans="1:33" x14ac:dyDescent="0.55000000000000004">
      <c r="C4" s="72">
        <v>-0.05</v>
      </c>
      <c r="X4" s="20"/>
      <c r="Y4" s="19"/>
    </row>
    <row r="5" spans="1:33" ht="14.7" thickBot="1" x14ac:dyDescent="0.6">
      <c r="Q5" s="7">
        <v>1</v>
      </c>
      <c r="R5" s="7">
        <v>2</v>
      </c>
      <c r="S5" s="7">
        <v>3</v>
      </c>
      <c r="T5" s="7">
        <v>4</v>
      </c>
    </row>
    <row r="6" spans="1:33" ht="15.6" x14ac:dyDescent="0.6">
      <c r="B6" s="23" t="s">
        <v>7</v>
      </c>
      <c r="C6" s="23" t="s">
        <v>320</v>
      </c>
      <c r="D6" s="26" t="s">
        <v>186</v>
      </c>
      <c r="Q6" s="24" t="s">
        <v>9</v>
      </c>
      <c r="R6" s="24" t="s">
        <v>10</v>
      </c>
      <c r="S6" s="24" t="s">
        <v>11</v>
      </c>
      <c r="T6" s="24" t="s">
        <v>12</v>
      </c>
      <c r="U6" s="93" t="s">
        <v>208</v>
      </c>
      <c r="V6" s="94" t="s">
        <v>14</v>
      </c>
      <c r="X6" s="16" t="s">
        <v>42</v>
      </c>
      <c r="Y6" s="16" t="str">
        <f ca="1">_xlfn.CONCAT("YTD (Q1 to ",Y3,")")</f>
        <v>YTD (Q1 to Q2)</v>
      </c>
      <c r="Z6" s="16" t="s">
        <v>14</v>
      </c>
      <c r="AD6" s="15" t="s">
        <v>9</v>
      </c>
      <c r="AE6" s="15" t="s">
        <v>10</v>
      </c>
      <c r="AF6" s="15" t="s">
        <v>11</v>
      </c>
      <c r="AG6" s="15" t="s">
        <v>12</v>
      </c>
    </row>
    <row r="7" spans="1:33" x14ac:dyDescent="0.55000000000000004">
      <c r="B7" s="21" t="s">
        <v>15</v>
      </c>
      <c r="C7" s="37">
        <v>91423</v>
      </c>
      <c r="D7" s="89">
        <f>C7/ECA!C7</f>
        <v>0.26909616443114021</v>
      </c>
      <c r="P7" s="28" t="s">
        <v>16</v>
      </c>
      <c r="Q7" s="12">
        <f>C7</f>
        <v>91423</v>
      </c>
      <c r="R7" s="12">
        <f>C8</f>
        <v>91423</v>
      </c>
      <c r="S7" s="12">
        <f>C9</f>
        <v>87849</v>
      </c>
      <c r="T7" s="12">
        <f>C10</f>
        <v>103613</v>
      </c>
      <c r="U7" s="95">
        <f>SUM(Q7:T7)</f>
        <v>374308</v>
      </c>
      <c r="V7" s="96"/>
      <c r="X7" s="28" t="s">
        <v>16</v>
      </c>
      <c r="Y7" s="8">
        <f ca="1">SUM(OFFSET(Q7,0,0,1,$X$3))</f>
        <v>182846</v>
      </c>
      <c r="AC7" s="9">
        <v>2017</v>
      </c>
      <c r="AD7" s="12">
        <f>Q7</f>
        <v>91423</v>
      </c>
      <c r="AE7" s="12">
        <f>AD7+R7</f>
        <v>182846</v>
      </c>
      <c r="AF7" s="12">
        <f>AE7+S7</f>
        <v>270695</v>
      </c>
      <c r="AG7" s="12">
        <f>AF7+T7</f>
        <v>374308</v>
      </c>
    </row>
    <row r="8" spans="1:33" x14ac:dyDescent="0.55000000000000004">
      <c r="B8" s="21" t="s">
        <v>17</v>
      </c>
      <c r="C8" s="40">
        <v>91423</v>
      </c>
      <c r="D8" s="89">
        <f>C8/ECA!C8</f>
        <v>0.26909616443114021</v>
      </c>
      <c r="P8" s="28" t="s">
        <v>18</v>
      </c>
      <c r="Q8" s="12">
        <f>C11</f>
        <v>98549</v>
      </c>
      <c r="R8" s="12">
        <f>C12</f>
        <v>99642</v>
      </c>
      <c r="S8" s="12">
        <f>C13</f>
        <v>94357</v>
      </c>
      <c r="T8" s="12">
        <f>C14</f>
        <v>106146</v>
      </c>
      <c r="U8" s="95">
        <f t="shared" ref="U8:U15" si="0">SUM(Q8:T8)</f>
        <v>398694</v>
      </c>
      <c r="V8" s="97">
        <f>U8/U7-1</f>
        <v>6.514955598063632E-2</v>
      </c>
      <c r="X8" s="28" t="s">
        <v>18</v>
      </c>
      <c r="Y8" s="8">
        <f t="shared" ref="Y8:Y14" ca="1" si="1">SUM(OFFSET(Q8,0,0,1,$X$3))</f>
        <v>198191</v>
      </c>
      <c r="Z8" s="14">
        <f ca="1">Y8/Y7-1</f>
        <v>8.3923082812858985E-2</v>
      </c>
      <c r="AC8" s="9">
        <v>2018</v>
      </c>
      <c r="AD8" s="12">
        <f t="shared" ref="AD8:AD14" si="2">Q8</f>
        <v>98549</v>
      </c>
      <c r="AE8" s="12">
        <f t="shared" ref="AE8:AE13" si="3">AD8+R8</f>
        <v>198191</v>
      </c>
      <c r="AF8" s="12">
        <f t="shared" ref="AF8:AG13" si="4">AE8+S8</f>
        <v>292548</v>
      </c>
      <c r="AG8" s="12">
        <f t="shared" si="4"/>
        <v>398694</v>
      </c>
    </row>
    <row r="9" spans="1:33" x14ac:dyDescent="0.55000000000000004">
      <c r="B9" s="21" t="s">
        <v>19</v>
      </c>
      <c r="C9" s="40">
        <v>87849</v>
      </c>
      <c r="D9" s="89">
        <f>C9/ECA!C9</f>
        <v>0.26462933397596167</v>
      </c>
      <c r="P9" s="28" t="s">
        <v>20</v>
      </c>
      <c r="Q9" s="12">
        <f>C15</f>
        <v>99181</v>
      </c>
      <c r="R9" s="12">
        <f>C16</f>
        <v>101498</v>
      </c>
      <c r="S9" s="12">
        <f>C17</f>
        <v>94203</v>
      </c>
      <c r="T9" s="12">
        <f>C18</f>
        <v>103333</v>
      </c>
      <c r="U9" s="95">
        <f t="shared" si="0"/>
        <v>398215</v>
      </c>
      <c r="V9" s="97">
        <f t="shared" ref="V9:V15" si="5">U9/U8-1</f>
        <v>-1.2014226449357235E-3</v>
      </c>
      <c r="X9" s="28" t="s">
        <v>20</v>
      </c>
      <c r="Y9" s="8">
        <f t="shared" ca="1" si="1"/>
        <v>200679</v>
      </c>
      <c r="Z9" s="14">
        <f t="shared" ref="Z9:Z14" ca="1" si="6">Y9/Y8-1</f>
        <v>1.2553546831087115E-2</v>
      </c>
      <c r="AC9" s="9">
        <v>2019</v>
      </c>
      <c r="AD9" s="12">
        <f t="shared" si="2"/>
        <v>99181</v>
      </c>
      <c r="AE9" s="12">
        <f t="shared" si="3"/>
        <v>200679</v>
      </c>
      <c r="AF9" s="12">
        <f t="shared" si="4"/>
        <v>294882</v>
      </c>
      <c r="AG9" s="12">
        <f t="shared" si="4"/>
        <v>398215</v>
      </c>
    </row>
    <row r="10" spans="1:33" x14ac:dyDescent="0.55000000000000004">
      <c r="B10" s="22" t="s">
        <v>21</v>
      </c>
      <c r="C10" s="43">
        <v>103613</v>
      </c>
      <c r="D10" s="89">
        <f>C10/ECA!C10</f>
        <v>0.29306960378340463</v>
      </c>
      <c r="P10" s="28" t="s">
        <v>22</v>
      </c>
      <c r="Q10" s="12">
        <f>C19</f>
        <v>98250</v>
      </c>
      <c r="R10" s="12">
        <f>C20</f>
        <v>99559</v>
      </c>
      <c r="S10" s="12">
        <f>C21</f>
        <v>78885</v>
      </c>
      <c r="T10" s="12">
        <f>C22</f>
        <v>93355</v>
      </c>
      <c r="U10" s="95">
        <f t="shared" si="0"/>
        <v>370049</v>
      </c>
      <c r="V10" s="97">
        <f t="shared" si="5"/>
        <v>-7.0730635460743541E-2</v>
      </c>
      <c r="X10" s="28" t="s">
        <v>22</v>
      </c>
      <c r="Y10" s="8">
        <f t="shared" ca="1" si="1"/>
        <v>197809</v>
      </c>
      <c r="Z10" s="14">
        <f t="shared" ca="1" si="6"/>
        <v>-1.4301446588830924E-2</v>
      </c>
      <c r="AC10" s="9">
        <v>2020</v>
      </c>
      <c r="AD10" s="12">
        <f t="shared" si="2"/>
        <v>98250</v>
      </c>
      <c r="AE10" s="12">
        <f t="shared" si="3"/>
        <v>197809</v>
      </c>
      <c r="AF10" s="12">
        <f t="shared" si="4"/>
        <v>276694</v>
      </c>
      <c r="AG10" s="12">
        <f t="shared" si="4"/>
        <v>370049</v>
      </c>
    </row>
    <row r="11" spans="1:33" x14ac:dyDescent="0.55000000000000004">
      <c r="B11" s="21" t="s">
        <v>23</v>
      </c>
      <c r="C11" s="39">
        <v>98549</v>
      </c>
      <c r="D11" s="89">
        <f>C11/ECA!C11</f>
        <v>0.27894963287534746</v>
      </c>
      <c r="P11" s="28" t="s">
        <v>24</v>
      </c>
      <c r="Q11" s="12">
        <f>C23</f>
        <v>92034</v>
      </c>
      <c r="R11" s="12">
        <f>C24</f>
        <v>91482</v>
      </c>
      <c r="S11" s="12">
        <f>C25</f>
        <v>93064</v>
      </c>
      <c r="T11" s="12">
        <f>C26</f>
        <v>108615</v>
      </c>
      <c r="U11" s="95">
        <f t="shared" si="0"/>
        <v>385195</v>
      </c>
      <c r="V11" s="97">
        <f t="shared" si="5"/>
        <v>4.0929714713456855E-2</v>
      </c>
      <c r="X11" s="28" t="s">
        <v>24</v>
      </c>
      <c r="Y11" s="8">
        <f t="shared" ca="1" si="1"/>
        <v>183516</v>
      </c>
      <c r="Z11" s="14">
        <f t="shared" ca="1" si="6"/>
        <v>-7.2256570732373127E-2</v>
      </c>
      <c r="AC11" s="9">
        <v>2021</v>
      </c>
      <c r="AD11" s="12">
        <f t="shared" si="2"/>
        <v>92034</v>
      </c>
      <c r="AE11" s="12">
        <f t="shared" si="3"/>
        <v>183516</v>
      </c>
      <c r="AF11" s="12">
        <f t="shared" si="4"/>
        <v>276580</v>
      </c>
      <c r="AG11" s="12">
        <f t="shared" si="4"/>
        <v>385195</v>
      </c>
    </row>
    <row r="12" spans="1:33" x14ac:dyDescent="0.55000000000000004">
      <c r="B12" s="21" t="s">
        <v>25</v>
      </c>
      <c r="C12" s="39">
        <v>99642</v>
      </c>
      <c r="D12" s="89">
        <f>C12/ECA!C12</f>
        <v>0.27799415230782965</v>
      </c>
      <c r="P12" s="28" t="s">
        <v>26</v>
      </c>
      <c r="Q12" s="12">
        <f>C27</f>
        <v>100149</v>
      </c>
      <c r="R12" s="12">
        <f>C28</f>
        <v>98018</v>
      </c>
      <c r="S12" s="12">
        <f>C29</f>
        <v>96498</v>
      </c>
      <c r="T12" s="12">
        <f>C30</f>
        <v>103532</v>
      </c>
      <c r="U12" s="95">
        <f t="shared" si="0"/>
        <v>398197</v>
      </c>
      <c r="V12" s="97">
        <f t="shared" si="5"/>
        <v>3.3754332221342498E-2</v>
      </c>
      <c r="X12" s="28" t="s">
        <v>26</v>
      </c>
      <c r="Y12" s="8">
        <f t="shared" ca="1" si="1"/>
        <v>198167</v>
      </c>
      <c r="Z12" s="14">
        <f t="shared" ca="1" si="6"/>
        <v>7.9835000762876307E-2</v>
      </c>
      <c r="AC12" s="9">
        <v>2022</v>
      </c>
      <c r="AD12" s="12">
        <f t="shared" si="2"/>
        <v>100149</v>
      </c>
      <c r="AE12" s="12">
        <f t="shared" si="3"/>
        <v>198167</v>
      </c>
      <c r="AF12" s="12">
        <f t="shared" si="4"/>
        <v>294665</v>
      </c>
      <c r="AG12" s="12">
        <f t="shared" si="4"/>
        <v>398197</v>
      </c>
    </row>
    <row r="13" spans="1:33" x14ac:dyDescent="0.55000000000000004">
      <c r="B13" s="21" t="s">
        <v>27</v>
      </c>
      <c r="C13" s="39">
        <v>94357</v>
      </c>
      <c r="D13" s="89">
        <f>C13/ECA!C13</f>
        <v>0.26496662538717081</v>
      </c>
      <c r="P13" s="28" t="s">
        <v>28</v>
      </c>
      <c r="Q13" s="12">
        <f>IF(C31=0,"",C31)</f>
        <v>99546</v>
      </c>
      <c r="R13" s="12">
        <f>IF(C32=0,"",C32)</f>
        <v>101923</v>
      </c>
      <c r="S13" s="12">
        <f>IF(C33=0,"",C33)</f>
        <v>94302</v>
      </c>
      <c r="T13" s="12">
        <f>IF(C34=0,NA(),C34)</f>
        <v>99144</v>
      </c>
      <c r="U13" s="95">
        <f t="shared" si="0"/>
        <v>394915</v>
      </c>
      <c r="V13" s="97">
        <f t="shared" si="5"/>
        <v>-8.2421514978766597E-3</v>
      </c>
      <c r="X13" s="28" t="s">
        <v>28</v>
      </c>
      <c r="Y13" s="8">
        <f t="shared" ca="1" si="1"/>
        <v>201469</v>
      </c>
      <c r="Z13" s="14">
        <f t="shared" ca="1" si="6"/>
        <v>1.6662713771717685E-2</v>
      </c>
      <c r="AC13" s="9">
        <v>2023</v>
      </c>
      <c r="AD13" s="12">
        <f t="shared" si="2"/>
        <v>99546</v>
      </c>
      <c r="AE13" s="12">
        <f t="shared" si="3"/>
        <v>201469</v>
      </c>
      <c r="AF13" s="12">
        <f t="shared" si="4"/>
        <v>295771</v>
      </c>
      <c r="AG13" s="12">
        <f t="shared" si="4"/>
        <v>394915</v>
      </c>
    </row>
    <row r="14" spans="1:33" x14ac:dyDescent="0.55000000000000004">
      <c r="B14" s="22" t="s">
        <v>29</v>
      </c>
      <c r="C14" s="43">
        <v>106146</v>
      </c>
      <c r="D14" s="89">
        <f>C14/ECA!C14</f>
        <v>0.29231497953855728</v>
      </c>
      <c r="P14" s="28" t="s">
        <v>30</v>
      </c>
      <c r="Q14" s="12">
        <f>C35</f>
        <v>97421</v>
      </c>
      <c r="R14" s="12">
        <f>C36</f>
        <v>105889.13043478261</v>
      </c>
      <c r="S14" s="12">
        <f>C37</f>
        <v>102000</v>
      </c>
      <c r="T14" s="12">
        <f>C38</f>
        <v>100351.13696456901</v>
      </c>
      <c r="U14" s="95">
        <f t="shared" si="0"/>
        <v>405661.26739935158</v>
      </c>
      <c r="V14" s="97">
        <f t="shared" si="5"/>
        <v>2.7211595911402542E-2</v>
      </c>
      <c r="X14" s="28" t="s">
        <v>30</v>
      </c>
      <c r="Y14" s="8">
        <f t="shared" ca="1" si="1"/>
        <v>203310.13043478259</v>
      </c>
      <c r="Z14" s="14">
        <f t="shared" ca="1" si="6"/>
        <v>9.1385296734614041E-3</v>
      </c>
      <c r="AC14" s="9">
        <v>2024</v>
      </c>
      <c r="AD14" s="12">
        <f t="shared" si="2"/>
        <v>97421</v>
      </c>
      <c r="AE14" s="12"/>
      <c r="AF14" s="12"/>
      <c r="AG14" s="12"/>
    </row>
    <row r="15" spans="1:33" x14ac:dyDescent="0.55000000000000004">
      <c r="B15" s="21" t="s">
        <v>31</v>
      </c>
      <c r="C15" s="39">
        <v>99181</v>
      </c>
      <c r="D15" s="89">
        <f>C15/ECA!C15</f>
        <v>0.27619095357042406</v>
      </c>
      <c r="P15" s="28" t="s">
        <v>74</v>
      </c>
      <c r="Q15" s="12">
        <f>C39</f>
        <v>90017.004000000001</v>
      </c>
      <c r="R15" s="12">
        <f>C40</f>
        <v>97418</v>
      </c>
      <c r="S15" s="12">
        <f>C41</f>
        <v>84280</v>
      </c>
      <c r="T15" s="12">
        <f>C42</f>
        <v>94882</v>
      </c>
      <c r="U15" s="95">
        <f t="shared" si="0"/>
        <v>366597.00400000002</v>
      </c>
      <c r="V15" s="97">
        <f t="shared" si="5"/>
        <v>-9.6297740353147643E-2</v>
      </c>
      <c r="X15" s="28" t="s">
        <v>74</v>
      </c>
      <c r="Y15" s="8">
        <f ca="1">SUM(OFFSET(Q15,0,0,1,$X$3))</f>
        <v>187435.00400000002</v>
      </c>
      <c r="Z15" s="14">
        <f ca="1">Y15/Y14-1</f>
        <v>-7.8083302592120263E-2</v>
      </c>
    </row>
    <row r="16" spans="1:33" ht="14.7" thickBot="1" x14ac:dyDescent="0.6">
      <c r="B16" s="21" t="s">
        <v>32</v>
      </c>
      <c r="C16" s="39">
        <v>101498</v>
      </c>
      <c r="D16" s="89">
        <f>C16/ECA!C16</f>
        <v>0.2740530134275122</v>
      </c>
      <c r="P16" s="28" t="s">
        <v>165</v>
      </c>
      <c r="Q16" s="12">
        <f>C43</f>
        <v>81096</v>
      </c>
      <c r="R16" s="12">
        <f>C44</f>
        <v>92547.099999999991</v>
      </c>
      <c r="S16" s="12"/>
      <c r="T16" s="12"/>
      <c r="U16" s="98"/>
      <c r="V16" s="99"/>
      <c r="X16" s="28" t="s">
        <v>165</v>
      </c>
      <c r="Y16" s="8">
        <f ca="1">SUM(OFFSET(Q16,0,0,1,$X$3))</f>
        <v>173643.09999999998</v>
      </c>
      <c r="Z16" s="14">
        <f ca="1">Y16/Y15-1</f>
        <v>-7.3582328304055977E-2</v>
      </c>
    </row>
    <row r="17" spans="2:28" x14ac:dyDescent="0.55000000000000004">
      <c r="B17" s="21" t="s">
        <v>33</v>
      </c>
      <c r="C17" s="39">
        <v>94203</v>
      </c>
      <c r="D17" s="89">
        <f>C17/ECA!C17</f>
        <v>0.27313926179361536</v>
      </c>
    </row>
    <row r="18" spans="2:28" ht="15.6" x14ac:dyDescent="0.6">
      <c r="B18" s="22" t="s">
        <v>34</v>
      </c>
      <c r="C18" s="43">
        <v>103333</v>
      </c>
      <c r="D18" s="89">
        <f>C18/ECA!C18</f>
        <v>0.2847109715104425</v>
      </c>
      <c r="P18" s="149" t="s">
        <v>35</v>
      </c>
      <c r="Q18" s="149"/>
      <c r="R18" s="149"/>
      <c r="S18" s="149"/>
      <c r="T18" s="149"/>
      <c r="U18" s="92"/>
      <c r="V18" s="92"/>
      <c r="X18" s="150" t="s">
        <v>36</v>
      </c>
      <c r="Y18" s="150"/>
      <c r="Z18" s="25" t="s">
        <v>10</v>
      </c>
    </row>
    <row r="19" spans="2:28" x14ac:dyDescent="0.55000000000000004">
      <c r="B19" s="21" t="s">
        <v>37</v>
      </c>
      <c r="C19" s="39">
        <v>98250</v>
      </c>
      <c r="D19" s="89">
        <f>C19/ECA!C19</f>
        <v>0.27660395100239021</v>
      </c>
      <c r="Q19" s="18" t="s">
        <v>9</v>
      </c>
      <c r="R19" s="18" t="s">
        <v>10</v>
      </c>
      <c r="S19" s="18" t="s">
        <v>11</v>
      </c>
      <c r="T19" s="18" t="s">
        <v>12</v>
      </c>
      <c r="U19" s="18"/>
      <c r="V19" s="18"/>
    </row>
    <row r="20" spans="2:28" x14ac:dyDescent="0.55000000000000004">
      <c r="B20" s="21" t="s">
        <v>38</v>
      </c>
      <c r="C20" s="39">
        <v>99559</v>
      </c>
      <c r="D20" s="89">
        <f>C20/ECA!C20</f>
        <v>0.26985585497677089</v>
      </c>
      <c r="P20" s="28" t="s">
        <v>16</v>
      </c>
      <c r="Q20" s="12"/>
      <c r="R20" s="12"/>
      <c r="S20" s="12"/>
      <c r="T20" s="12"/>
      <c r="U20" s="12"/>
      <c r="V20" s="12"/>
    </row>
    <row r="21" spans="2:28" x14ac:dyDescent="0.55000000000000004">
      <c r="B21" s="21" t="s">
        <v>39</v>
      </c>
      <c r="C21" s="39">
        <v>78885</v>
      </c>
      <c r="D21" s="89">
        <f>C21/ECA!C21</f>
        <v>0.25113973537764084</v>
      </c>
      <c r="P21" s="28" t="s">
        <v>18</v>
      </c>
      <c r="Q21" s="14">
        <f t="shared" ref="Q21:T29" si="7">IFERROR(Q8/Q7-1,"")</f>
        <v>7.7945374796276612E-2</v>
      </c>
      <c r="R21" s="14">
        <f t="shared" si="7"/>
        <v>8.9900790829441135E-2</v>
      </c>
      <c r="S21" s="14">
        <f t="shared" si="7"/>
        <v>7.4081662853305197E-2</v>
      </c>
      <c r="T21" s="14">
        <f t="shared" si="7"/>
        <v>2.4446739308773946E-2</v>
      </c>
      <c r="U21" s="14"/>
      <c r="V21" s="14"/>
    </row>
    <row r="22" spans="2:28" x14ac:dyDescent="0.55000000000000004">
      <c r="B22" s="22" t="s">
        <v>40</v>
      </c>
      <c r="C22" s="43">
        <v>93355</v>
      </c>
      <c r="D22" s="89">
        <f>C22/ECA!C22</f>
        <v>0.2700228502010239</v>
      </c>
      <c r="P22" s="28" t="s">
        <v>20</v>
      </c>
      <c r="Q22" s="14">
        <f t="shared" si="7"/>
        <v>6.4130534049051668E-3</v>
      </c>
      <c r="R22" s="14">
        <f t="shared" si="7"/>
        <v>1.8626683527026788E-2</v>
      </c>
      <c r="S22" s="14">
        <f t="shared" si="7"/>
        <v>-1.63209936729658E-3</v>
      </c>
      <c r="T22" s="14">
        <f t="shared" si="7"/>
        <v>-2.65012341491907E-2</v>
      </c>
      <c r="U22" s="14"/>
      <c r="V22" s="14"/>
      <c r="Y22" s="7">
        <f>_xlfn.XLOOKUP(Z18,Q6:T6,Q5:T5)</f>
        <v>2</v>
      </c>
    </row>
    <row r="23" spans="2:28" x14ac:dyDescent="0.55000000000000004">
      <c r="B23" s="21" t="s">
        <v>41</v>
      </c>
      <c r="C23" s="39">
        <v>92034</v>
      </c>
      <c r="D23" s="89">
        <f>C23/ECA!C23</f>
        <v>0.26742331127906066</v>
      </c>
      <c r="P23" s="28" t="s">
        <v>22</v>
      </c>
      <c r="Q23" s="14">
        <f t="shared" si="7"/>
        <v>-9.386878535203369E-3</v>
      </c>
      <c r="R23" s="14">
        <f t="shared" si="7"/>
        <v>-1.9103824705905548E-2</v>
      </c>
      <c r="S23" s="14">
        <f t="shared" si="7"/>
        <v>-0.16260628642399921</v>
      </c>
      <c r="T23" s="14">
        <f t="shared" si="7"/>
        <v>-9.6561601811618769E-2</v>
      </c>
      <c r="U23" s="14"/>
      <c r="V23" s="14"/>
      <c r="Y23" s="7" t="s">
        <v>42</v>
      </c>
    </row>
    <row r="24" spans="2:28" x14ac:dyDescent="0.55000000000000004">
      <c r="B24" s="21" t="s">
        <v>43</v>
      </c>
      <c r="C24" s="39">
        <v>91482</v>
      </c>
      <c r="D24" s="89">
        <f>C24/ECA!C24</f>
        <v>0.2556684320109554</v>
      </c>
      <c r="P24" s="28" t="s">
        <v>24</v>
      </c>
      <c r="Q24" s="14">
        <f t="shared" si="7"/>
        <v>-6.3267175572519041E-2</v>
      </c>
      <c r="R24" s="14">
        <f t="shared" si="7"/>
        <v>-8.1127773481051491E-2</v>
      </c>
      <c r="S24" s="14">
        <f t="shared" si="7"/>
        <v>0.17974266337072953</v>
      </c>
      <c r="T24" s="14">
        <f t="shared" si="7"/>
        <v>0.16346205345187714</v>
      </c>
      <c r="U24" s="14"/>
      <c r="V24" s="14"/>
      <c r="Y24" s="9" t="s">
        <v>16</v>
      </c>
      <c r="Z24" s="8" cm="1">
        <f t="array" aca="1" ref="Z24:Z33" ca="1">OFFSET(P7,0,$Y$22,COUNT($Q$7:$Q$16),1)</f>
        <v>91423</v>
      </c>
    </row>
    <row r="25" spans="2:28" x14ac:dyDescent="0.55000000000000004">
      <c r="B25" s="21" t="s">
        <v>44</v>
      </c>
      <c r="C25" s="39">
        <v>93064</v>
      </c>
      <c r="D25" s="89">
        <f>C25/ECA!C25</f>
        <v>0.2607901270547619</v>
      </c>
      <c r="P25" s="28" t="s">
        <v>26</v>
      </c>
      <c r="Q25" s="14">
        <f t="shared" si="7"/>
        <v>8.8173935719408014E-2</v>
      </c>
      <c r="R25" s="14">
        <f t="shared" si="7"/>
        <v>7.1445748890492045E-2</v>
      </c>
      <c r="S25" s="14">
        <f t="shared" si="7"/>
        <v>3.6899338089916522E-2</v>
      </c>
      <c r="T25" s="14">
        <f t="shared" si="7"/>
        <v>-4.6798324356672638E-2</v>
      </c>
      <c r="U25" s="14"/>
      <c r="V25" s="14"/>
      <c r="Y25" s="9" t="s">
        <v>18</v>
      </c>
      <c r="Z25" s="8">
        <f ca="1"/>
        <v>99642</v>
      </c>
      <c r="AB25" s="26" t="str">
        <f>_xlfn.CONCAT(A1," ",Z18," across Years")</f>
        <v>Germany Grinds Q2 across Years</v>
      </c>
    </row>
    <row r="26" spans="2:28" x14ac:dyDescent="0.55000000000000004">
      <c r="B26" s="22" t="s">
        <v>45</v>
      </c>
      <c r="C26" s="43">
        <v>108615</v>
      </c>
      <c r="D26" s="89">
        <f>C26/ECA!C26</f>
        <v>0.28901495698635749</v>
      </c>
      <c r="P26" s="28" t="s">
        <v>28</v>
      </c>
      <c r="Q26" s="14">
        <f t="shared" si="7"/>
        <v>-6.0210286672857105E-3</v>
      </c>
      <c r="R26" s="14">
        <f t="shared" si="7"/>
        <v>3.9839621294047944E-2</v>
      </c>
      <c r="S26" s="14">
        <f t="shared" si="7"/>
        <v>-2.275694833053532E-2</v>
      </c>
      <c r="T26" s="14">
        <f t="shared" si="7"/>
        <v>-4.2383031333307564E-2</v>
      </c>
      <c r="U26" s="14"/>
      <c r="V26" s="14"/>
      <c r="Y26" s="9" t="s">
        <v>20</v>
      </c>
      <c r="Z26" s="8">
        <f ca="1"/>
        <v>101498</v>
      </c>
    </row>
    <row r="27" spans="2:28" x14ac:dyDescent="0.55000000000000004">
      <c r="B27" s="21" t="s">
        <v>46</v>
      </c>
      <c r="C27" s="39">
        <v>100149</v>
      </c>
      <c r="D27" s="89">
        <f>C27/ECA!C27</f>
        <v>0.27376129635400437</v>
      </c>
      <c r="P27" s="28" t="s">
        <v>30</v>
      </c>
      <c r="Q27" s="14">
        <f t="shared" si="7"/>
        <v>-2.1346914994073041E-2</v>
      </c>
      <c r="R27" s="14">
        <f t="shared" si="7"/>
        <v>3.8913007219004703E-2</v>
      </c>
      <c r="S27" s="14">
        <f t="shared" si="7"/>
        <v>8.1631354584208227E-2</v>
      </c>
      <c r="T27" s="14">
        <f t="shared" si="7"/>
        <v>1.2175592719367856E-2</v>
      </c>
      <c r="U27" s="14"/>
      <c r="V27" s="14"/>
      <c r="Y27" s="9" t="s">
        <v>22</v>
      </c>
      <c r="Z27" s="8">
        <f ca="1"/>
        <v>99559</v>
      </c>
    </row>
    <row r="28" spans="2:28" x14ac:dyDescent="0.55000000000000004">
      <c r="B28" s="21" t="s">
        <v>47</v>
      </c>
      <c r="C28" s="39">
        <v>98018</v>
      </c>
      <c r="D28" s="89">
        <f>C28/ECA!C28</f>
        <v>0.26243246282443278</v>
      </c>
      <c r="P28" s="28" t="s">
        <v>74</v>
      </c>
      <c r="Q28" s="14">
        <f t="shared" si="7"/>
        <v>-7.5999999999999956E-2</v>
      </c>
      <c r="R28" s="14">
        <f t="shared" si="7"/>
        <v>-7.999999999999996E-2</v>
      </c>
      <c r="S28" s="14">
        <f t="shared" si="7"/>
        <v>-0.17372549019607841</v>
      </c>
      <c r="T28" s="14">
        <f t="shared" si="7"/>
        <v>-5.4499999999999993E-2</v>
      </c>
      <c r="U28" s="14"/>
      <c r="V28" s="14"/>
      <c r="Y28" s="9" t="s">
        <v>24</v>
      </c>
      <c r="Z28" s="8">
        <f ca="1"/>
        <v>91482</v>
      </c>
    </row>
    <row r="29" spans="2:28" x14ac:dyDescent="0.55000000000000004">
      <c r="B29" s="21" t="s">
        <v>48</v>
      </c>
      <c r="C29" s="39">
        <v>96498</v>
      </c>
      <c r="D29" s="89">
        <f>C29/ECA!C29</f>
        <v>0.26504541571793089</v>
      </c>
      <c r="P29" s="28" t="s">
        <v>165</v>
      </c>
      <c r="Q29" s="14">
        <f t="shared" si="7"/>
        <v>-9.910354270399846E-2</v>
      </c>
      <c r="R29" s="14">
        <f t="shared" si="7"/>
        <v>-5.0000000000000044E-2</v>
      </c>
      <c r="Y29" s="9" t="s">
        <v>26</v>
      </c>
      <c r="Z29" s="8">
        <f ca="1"/>
        <v>98018</v>
      </c>
    </row>
    <row r="30" spans="2:28" x14ac:dyDescent="0.55000000000000004">
      <c r="B30" s="22" t="s">
        <v>49</v>
      </c>
      <c r="C30" s="43">
        <v>103532</v>
      </c>
      <c r="D30" s="89">
        <f>C30/ECA!C30</f>
        <v>0.28005918648340861</v>
      </c>
      <c r="Y30" s="9" t="s">
        <v>28</v>
      </c>
      <c r="Z30" s="8">
        <f ca="1"/>
        <v>101923</v>
      </c>
    </row>
    <row r="31" spans="2:28" x14ac:dyDescent="0.55000000000000004">
      <c r="B31" s="21" t="s">
        <v>50</v>
      </c>
      <c r="C31" s="39">
        <v>99546</v>
      </c>
      <c r="D31" s="89">
        <f>C31/ECA!C31</f>
        <v>0.27684195596492545</v>
      </c>
      <c r="Y31" s="9" t="s">
        <v>30</v>
      </c>
      <c r="Z31" s="8">
        <f ca="1"/>
        <v>105889.13043478261</v>
      </c>
    </row>
    <row r="32" spans="2:28" ht="15.6" x14ac:dyDescent="0.6">
      <c r="B32" s="21" t="s">
        <v>51</v>
      </c>
      <c r="C32" s="39">
        <v>101923</v>
      </c>
      <c r="D32" s="89">
        <f>C32/ECA!C32</f>
        <v>0.27152314352314355</v>
      </c>
      <c r="P32" s="149" t="s">
        <v>52</v>
      </c>
      <c r="Q32" s="149"/>
      <c r="R32" s="149"/>
      <c r="S32" s="149"/>
      <c r="T32" s="149"/>
      <c r="U32" s="92"/>
      <c r="V32" s="92"/>
      <c r="Y32" s="7" t="s">
        <v>74</v>
      </c>
      <c r="Z32" s="8">
        <f ca="1"/>
        <v>97418</v>
      </c>
    </row>
    <row r="33" spans="2:26" x14ac:dyDescent="0.55000000000000004">
      <c r="B33" s="21" t="s">
        <v>53</v>
      </c>
      <c r="C33" s="39">
        <v>94302</v>
      </c>
      <c r="D33" s="89">
        <f>C33/ECA!C33</f>
        <v>0.27470629189327755</v>
      </c>
      <c r="Q33" s="18" t="s">
        <v>9</v>
      </c>
      <c r="R33" s="18" t="s">
        <v>10</v>
      </c>
      <c r="S33" s="18" t="s">
        <v>11</v>
      </c>
      <c r="T33" s="18" t="s">
        <v>12</v>
      </c>
      <c r="U33" s="18"/>
      <c r="V33" s="18"/>
      <c r="Y33" s="7" t="s">
        <v>165</v>
      </c>
      <c r="Z33" s="8">
        <f ca="1"/>
        <v>92547.099999999991</v>
      </c>
    </row>
    <row r="34" spans="2:26" x14ac:dyDescent="0.55000000000000004">
      <c r="B34" s="22" t="s">
        <v>54</v>
      </c>
      <c r="C34" s="40">
        <v>99144</v>
      </c>
      <c r="D34" s="89">
        <f>C34/ECA!C34</f>
        <v>0.2706648684950505</v>
      </c>
      <c r="P34" s="28" t="s">
        <v>16</v>
      </c>
      <c r="Q34" s="41"/>
      <c r="R34" s="41">
        <f t="shared" ref="R34:T43" si="8">IFERROR(R7/Q7-1,"")</f>
        <v>0</v>
      </c>
      <c r="S34" s="41">
        <f t="shared" si="8"/>
        <v>-3.9093007230128096E-2</v>
      </c>
      <c r="T34" s="41">
        <f t="shared" si="8"/>
        <v>0.17944427369691174</v>
      </c>
      <c r="U34" s="41"/>
      <c r="V34" s="41"/>
    </row>
    <row r="35" spans="2:26" x14ac:dyDescent="0.55000000000000004">
      <c r="B35" s="21" t="s">
        <v>55</v>
      </c>
      <c r="C35" s="48">
        <v>97421</v>
      </c>
      <c r="D35" s="89">
        <f>C35/ECA!C35</f>
        <v>0.27775924547883185</v>
      </c>
      <c r="P35" s="28" t="s">
        <v>18</v>
      </c>
      <c r="Q35" s="41">
        <f t="shared" ref="Q35:Q43" si="9">IFERROR(Q8/T7-1,"")</f>
        <v>-4.8874176020383575E-2</v>
      </c>
      <c r="R35" s="41">
        <f t="shared" si="8"/>
        <v>1.1090929385381809E-2</v>
      </c>
      <c r="S35" s="41">
        <f t="shared" si="8"/>
        <v>-5.3039882780353653E-2</v>
      </c>
      <c r="T35" s="41">
        <f t="shared" si="8"/>
        <v>0.1249403859809024</v>
      </c>
      <c r="U35" s="41"/>
      <c r="V35" s="41"/>
    </row>
    <row r="36" spans="2:26" x14ac:dyDescent="0.55000000000000004">
      <c r="B36" s="21" t="s">
        <v>56</v>
      </c>
      <c r="C36" s="40">
        <v>105889.13043478261</v>
      </c>
      <c r="D36" s="89">
        <f>C36/ECA!C36</f>
        <v>0.28830078503944495</v>
      </c>
      <c r="P36" s="28" t="s">
        <v>20</v>
      </c>
      <c r="Q36" s="41">
        <f t="shared" si="9"/>
        <v>-6.5617168805230497E-2</v>
      </c>
      <c r="R36" s="41">
        <f t="shared" si="8"/>
        <v>2.33613292868593E-2</v>
      </c>
      <c r="S36" s="41">
        <f t="shared" si="8"/>
        <v>-7.1873337405663151E-2</v>
      </c>
      <c r="T36" s="41">
        <f t="shared" si="8"/>
        <v>9.6918357164846203E-2</v>
      </c>
      <c r="U36" s="41"/>
      <c r="V36" s="41"/>
    </row>
    <row r="37" spans="2:26" x14ac:dyDescent="0.55000000000000004">
      <c r="B37" s="21" t="s">
        <v>57</v>
      </c>
      <c r="C37" s="40">
        <v>102000</v>
      </c>
      <c r="D37" s="89">
        <f>C37/ECA!C37</f>
        <v>0.28531308915754316</v>
      </c>
      <c r="P37" s="28" t="s">
        <v>22</v>
      </c>
      <c r="Q37" s="41">
        <f t="shared" si="9"/>
        <v>-4.9190481259617003E-2</v>
      </c>
      <c r="R37" s="41">
        <f t="shared" si="8"/>
        <v>1.332315521628491E-2</v>
      </c>
      <c r="S37" s="41">
        <f t="shared" si="8"/>
        <v>-0.20765576191002322</v>
      </c>
      <c r="T37" s="41">
        <f t="shared" si="8"/>
        <v>0.1834315776129809</v>
      </c>
      <c r="U37" s="41"/>
      <c r="V37" s="41"/>
    </row>
    <row r="38" spans="2:26" x14ac:dyDescent="0.55000000000000004">
      <c r="B38" s="21" t="s">
        <v>58</v>
      </c>
      <c r="C38" s="40">
        <v>100351.13696456901</v>
      </c>
      <c r="D38" s="89">
        <f>C38/ECA!C38</f>
        <v>0.28321057805508082</v>
      </c>
      <c r="P38" s="28" t="s">
        <v>24</v>
      </c>
      <c r="Q38" s="41">
        <f t="shared" si="9"/>
        <v>-1.4150286540624446E-2</v>
      </c>
      <c r="R38" s="41">
        <f t="shared" si="8"/>
        <v>-5.9977834278636122E-3</v>
      </c>
      <c r="S38" s="41">
        <f t="shared" si="8"/>
        <v>1.7293019391792841E-2</v>
      </c>
      <c r="T38" s="41">
        <f t="shared" si="8"/>
        <v>0.16710006017364387</v>
      </c>
      <c r="U38" s="41"/>
      <c r="V38" s="41"/>
    </row>
    <row r="39" spans="2:26" x14ac:dyDescent="0.55000000000000004">
      <c r="B39" s="66" t="s">
        <v>73</v>
      </c>
      <c r="C39" s="48">
        <v>90017.004000000001</v>
      </c>
      <c r="D39" s="89">
        <f>C39/ECA!C39</f>
        <v>0.27125565837886051</v>
      </c>
      <c r="P39" s="28" t="s">
        <v>26</v>
      </c>
      <c r="Q39" s="41">
        <f t="shared" si="9"/>
        <v>-7.7945035216130387E-2</v>
      </c>
      <c r="R39" s="41">
        <f t="shared" si="8"/>
        <v>-2.127829533994352E-2</v>
      </c>
      <c r="S39" s="41">
        <f t="shared" si="8"/>
        <v>-1.5507355791793298E-2</v>
      </c>
      <c r="T39" s="41">
        <f t="shared" si="8"/>
        <v>7.2892702439428803E-2</v>
      </c>
      <c r="U39" s="41"/>
      <c r="V39" s="41"/>
    </row>
    <row r="40" spans="2:26" x14ac:dyDescent="0.55000000000000004">
      <c r="B40" s="21" t="s">
        <v>178</v>
      </c>
      <c r="C40" s="40">
        <v>97418</v>
      </c>
      <c r="D40" s="89">
        <f>C40/ECA!C40</f>
        <v>0.27556417988130866</v>
      </c>
      <c r="P40" s="28" t="s">
        <v>28</v>
      </c>
      <c r="Q40" s="41">
        <f t="shared" si="9"/>
        <v>-3.8500173859289832E-2</v>
      </c>
      <c r="R40" s="41">
        <f t="shared" si="8"/>
        <v>2.3878407972193649E-2</v>
      </c>
      <c r="S40" s="41">
        <f t="shared" si="8"/>
        <v>-7.4772131903495742E-2</v>
      </c>
      <c r="T40" s="41">
        <f t="shared" si="8"/>
        <v>5.1345676655850436E-2</v>
      </c>
      <c r="U40" s="41"/>
      <c r="V40" s="41"/>
    </row>
    <row r="41" spans="2:26" x14ac:dyDescent="0.55000000000000004">
      <c r="B41" s="21" t="s">
        <v>180</v>
      </c>
      <c r="C41" s="40">
        <v>84280</v>
      </c>
      <c r="D41" s="89">
        <f>C41/ECA!C41</f>
        <v>0.25403753293023312</v>
      </c>
      <c r="P41" s="28" t="s">
        <v>30</v>
      </c>
      <c r="Q41" s="41">
        <f t="shared" si="9"/>
        <v>-1.7378762204470211E-2</v>
      </c>
      <c r="R41" s="41">
        <f t="shared" si="8"/>
        <v>8.6923049802225538E-2</v>
      </c>
      <c r="S41" s="41">
        <f t="shared" si="8"/>
        <v>-3.6728325360816272E-2</v>
      </c>
      <c r="T41" s="41">
        <f t="shared" si="8"/>
        <v>-1.6165323876774385E-2</v>
      </c>
      <c r="U41" s="41"/>
      <c r="V41" s="41"/>
    </row>
    <row r="42" spans="2:26" x14ac:dyDescent="0.55000000000000004">
      <c r="B42" s="21" t="s">
        <v>179</v>
      </c>
      <c r="C42" s="40">
        <v>94882</v>
      </c>
      <c r="D42" s="89">
        <f>C42/ECA!C42</f>
        <v>0.28125435374815105</v>
      </c>
      <c r="P42" s="28" t="s">
        <v>74</v>
      </c>
      <c r="Q42" s="41">
        <f t="shared" si="9"/>
        <v>-0.10297972974852976</v>
      </c>
      <c r="R42" s="41">
        <f t="shared" si="8"/>
        <v>8.2217755214337052E-2</v>
      </c>
      <c r="S42" s="41">
        <f t="shared" ref="S42" si="10">IFERROR(S15/R15-1,"")</f>
        <v>-0.13486214046685419</v>
      </c>
      <c r="T42" s="41">
        <f t="shared" ref="T42" si="11">IFERROR(T15/S15-1,"")</f>
        <v>0.12579496915045096</v>
      </c>
      <c r="U42" s="41"/>
      <c r="V42" s="41"/>
    </row>
    <row r="43" spans="2:26" x14ac:dyDescent="0.55000000000000004">
      <c r="B43" s="66" t="s">
        <v>187</v>
      </c>
      <c r="C43" s="48">
        <v>81096</v>
      </c>
      <c r="D43" s="89">
        <f>C43/ECA!C43</f>
        <v>0.26635136466646958</v>
      </c>
      <c r="P43" s="28" t="s">
        <v>165</v>
      </c>
      <c r="Q43" s="41">
        <f t="shared" si="9"/>
        <v>-0.14529626272633378</v>
      </c>
      <c r="R43" s="41">
        <f t="shared" si="8"/>
        <v>0.14120425175101103</v>
      </c>
    </row>
    <row r="44" spans="2:26" x14ac:dyDescent="0.55000000000000004">
      <c r="B44" s="21" t="s">
        <v>209</v>
      </c>
      <c r="C44" s="39">
        <f>R15*(1+C4)</f>
        <v>92547.099999999991</v>
      </c>
    </row>
    <row r="48" spans="2:26" x14ac:dyDescent="0.55000000000000004">
      <c r="R48" s="44"/>
    </row>
    <row r="51" spans="5:5" x14ac:dyDescent="0.55000000000000004">
      <c r="E51" s="87"/>
    </row>
  </sheetData>
  <mergeCells count="4">
    <mergeCell ref="A1:AF1"/>
    <mergeCell ref="P18:T18"/>
    <mergeCell ref="X18:Y18"/>
    <mergeCell ref="P32:T32"/>
  </mergeCells>
  <conditionalFormatting sqref="Q7:T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V28 Q29:R2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{EC60391B-A24D-428E-BE27-D3B628326BCF}</x14:id>
        </ext>
      </extLst>
    </cfRule>
  </conditionalFormatting>
  <conditionalFormatting sqref="Q34:V42 Q43:R4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{7F6C0E93-FBB9-4C42-9A1B-A0B45EE854BE}</x14:id>
        </ext>
      </extLst>
    </cfRule>
  </conditionalFormatting>
  <conditionalFormatting sqref="U7:U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16:V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8:V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{95A90F7E-50A2-4FC8-9FA4-C5BABDB15A0C}</x14:id>
        </ext>
      </extLst>
    </cfRule>
  </conditionalFormatting>
  <conditionalFormatting sqref="Y7:Y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:Z1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{0E8D1783-06EF-4A9F-A215-73D7FE90CD3E}</x14:id>
        </ext>
      </extLst>
    </cfRule>
  </conditionalFormatting>
  <dataValidations count="1">
    <dataValidation type="list" allowBlank="1" showInputMessage="1" showErrorMessage="1" sqref="Z18" xr:uid="{566845E1-2E8D-49EC-BB6C-0B41B8064245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60391B-A24D-428E-BE27-D3B628326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Q21:V28 Q29:R29</xm:sqref>
        </x14:conditionalFormatting>
        <x14:conditionalFormatting xmlns:xm="http://schemas.microsoft.com/office/excel/2006/main">
          <x14:cfRule type="dataBar" id="{7F6C0E93-FBB9-4C42-9A1B-A0B45EE85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Q34:V42 Q43:R43</xm:sqref>
        </x14:conditionalFormatting>
        <x14:conditionalFormatting xmlns:xm="http://schemas.microsoft.com/office/excel/2006/main">
          <x14:cfRule type="dataBar" id="{95A90F7E-50A2-4FC8-9FA4-C5BABDB15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>
          <x14:cfRule type="dataBar" id="{0E8D1783-06EF-4A9F-A215-73D7FE90CD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Z8:Z16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12A6-39C6-4C94-A933-6132AA38891C}">
  <sheetPr codeName="Sheet10"/>
  <dimension ref="A1:AE41"/>
  <sheetViews>
    <sheetView showGridLines="0" zoomScale="70" zoomScaleNormal="70" workbookViewId="0">
      <selection activeCell="C7" sqref="C7:C40"/>
    </sheetView>
  </sheetViews>
  <sheetFormatPr defaultColWidth="9.15625" defaultRowHeight="14.4" x14ac:dyDescent="0.55000000000000004"/>
  <cols>
    <col min="1" max="1" width="9.15625" style="7"/>
    <col min="2" max="2" width="10.41796875" style="7" bestFit="1" customWidth="1"/>
    <col min="3" max="3" width="11.578125" style="7" bestFit="1" customWidth="1"/>
    <col min="4" max="16" width="9.15625" style="7"/>
    <col min="17" max="17" width="10.578125" style="7" bestFit="1" customWidth="1"/>
    <col min="18" max="20" width="9.15625" style="7"/>
    <col min="21" max="21" width="11.26171875" style="7" customWidth="1"/>
    <col min="22" max="22" width="9.15625" style="7"/>
    <col min="23" max="23" width="13.578125" style="7" customWidth="1"/>
    <col min="24" max="24" width="11.578125" style="7" bestFit="1" customWidth="1"/>
    <col min="25" max="16384" width="9.15625" style="7"/>
  </cols>
  <sheetData>
    <row r="1" spans="1:31" s="27" customFormat="1" ht="55.5" customHeight="1" x14ac:dyDescent="0.55000000000000004">
      <c r="A1" s="160" t="s">
        <v>64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</row>
    <row r="2" spans="1:31" s="6" customFormat="1" ht="5.25" customHeight="1" x14ac:dyDescent="0.6"/>
    <row r="3" spans="1:31" hidden="1" x14ac:dyDescent="0.55000000000000004">
      <c r="V3" s="20">
        <f>COUNT(Q13:T13)</f>
        <v>4</v>
      </c>
      <c r="W3" s="19" t="str">
        <f ca="1">OFFSET(P6,0,$V$3,1,1)</f>
        <v>Q4</v>
      </c>
    </row>
    <row r="4" spans="1:31" x14ac:dyDescent="0.55000000000000004">
      <c r="V4" s="20"/>
      <c r="W4" s="19"/>
    </row>
    <row r="5" spans="1:31" x14ac:dyDescent="0.55000000000000004">
      <c r="Q5" s="7">
        <v>1</v>
      </c>
      <c r="R5" s="7">
        <v>2</v>
      </c>
      <c r="S5" s="7">
        <v>3</v>
      </c>
      <c r="T5" s="7">
        <v>4</v>
      </c>
    </row>
    <row r="6" spans="1:31" ht="15.6" x14ac:dyDescent="0.6">
      <c r="B6" s="23" t="s">
        <v>7</v>
      </c>
      <c r="C6" s="23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V6" s="16" t="s">
        <v>42</v>
      </c>
      <c r="W6" s="16" t="str">
        <f ca="1">_xlfn.CONCAT("YTD (Q1 to ",W3,")")</f>
        <v>YTD (Q1 to Q4)</v>
      </c>
      <c r="X6" s="16" t="s">
        <v>14</v>
      </c>
      <c r="AB6" s="15" t="s">
        <v>9</v>
      </c>
      <c r="AC6" s="15" t="s">
        <v>10</v>
      </c>
      <c r="AD6" s="15" t="s">
        <v>11</v>
      </c>
      <c r="AE6" s="15" t="s">
        <v>12</v>
      </c>
    </row>
    <row r="7" spans="1:31" x14ac:dyDescent="0.55000000000000004">
      <c r="B7" s="21" t="s">
        <v>15</v>
      </c>
      <c r="C7" s="10">
        <v>91423</v>
      </c>
      <c r="P7" s="28" t="s">
        <v>16</v>
      </c>
      <c r="Q7" s="12">
        <f>C7</f>
        <v>91423</v>
      </c>
      <c r="R7" s="12">
        <f>C8</f>
        <v>91423</v>
      </c>
      <c r="S7" s="12">
        <f>C9</f>
        <v>87849</v>
      </c>
      <c r="T7" s="12">
        <f>C10</f>
        <v>103613</v>
      </c>
      <c r="V7" s="28" t="str">
        <f>P7</f>
        <v>16/17</v>
      </c>
      <c r="W7" s="8">
        <f t="shared" ref="W7:W13" ca="1" si="0">SUM(OFFSET(Q7,0,0,1,$V$3))</f>
        <v>374308</v>
      </c>
      <c r="AA7" s="9">
        <v>2017</v>
      </c>
      <c r="AB7" s="12">
        <f>Q7</f>
        <v>91423</v>
      </c>
      <c r="AC7" s="12">
        <f>AB7+R7</f>
        <v>182846</v>
      </c>
      <c r="AD7" s="12">
        <f t="shared" ref="AD7:AE13" si="1">AC7+S7</f>
        <v>270695</v>
      </c>
      <c r="AE7" s="12">
        <f t="shared" si="1"/>
        <v>374308</v>
      </c>
    </row>
    <row r="8" spans="1:31" x14ac:dyDescent="0.55000000000000004">
      <c r="B8" s="21" t="s">
        <v>17</v>
      </c>
      <c r="C8" s="10">
        <v>91423</v>
      </c>
      <c r="P8" s="28" t="s">
        <v>18</v>
      </c>
      <c r="Q8" s="12">
        <f>C11</f>
        <v>98549</v>
      </c>
      <c r="R8" s="12">
        <f>C12</f>
        <v>99642</v>
      </c>
      <c r="S8" s="12">
        <f>C13</f>
        <v>94357</v>
      </c>
      <c r="T8" s="12">
        <f>C14</f>
        <v>106146</v>
      </c>
      <c r="V8" s="28" t="str">
        <f t="shared" ref="V8:V15" si="2">P8</f>
        <v>17/18</v>
      </c>
      <c r="W8" s="8">
        <f t="shared" ca="1" si="0"/>
        <v>398694</v>
      </c>
      <c r="X8" s="14">
        <f ca="1">W8/W7-1</f>
        <v>6.514955598063632E-2</v>
      </c>
      <c r="AA8" s="9">
        <v>2018</v>
      </c>
      <c r="AB8" s="12">
        <f t="shared" ref="AB8:AB14" si="3">Q8</f>
        <v>98549</v>
      </c>
      <c r="AC8" s="12">
        <f t="shared" ref="AC8:AC13" si="4">AB8+R8</f>
        <v>198191</v>
      </c>
      <c r="AD8" s="12">
        <f t="shared" si="1"/>
        <v>292548</v>
      </c>
      <c r="AE8" s="12">
        <f t="shared" si="1"/>
        <v>398694</v>
      </c>
    </row>
    <row r="9" spans="1:31" x14ac:dyDescent="0.55000000000000004">
      <c r="B9" s="21" t="s">
        <v>19</v>
      </c>
      <c r="C9" s="10">
        <v>87849</v>
      </c>
      <c r="P9" s="28" t="s">
        <v>20</v>
      </c>
      <c r="Q9" s="12">
        <f>C15</f>
        <v>99181</v>
      </c>
      <c r="R9" s="12">
        <f>C16</f>
        <v>101498</v>
      </c>
      <c r="S9" s="12">
        <f>C17</f>
        <v>94203</v>
      </c>
      <c r="T9" s="12">
        <f>C18</f>
        <v>103333</v>
      </c>
      <c r="V9" s="28" t="str">
        <f t="shared" si="2"/>
        <v>18/19</v>
      </c>
      <c r="W9" s="8">
        <f t="shared" ca="1" si="0"/>
        <v>398215</v>
      </c>
      <c r="X9" s="14">
        <f t="shared" ref="X9:X13" ca="1" si="5">W9/W8-1</f>
        <v>-1.2014226449357235E-3</v>
      </c>
      <c r="AA9" s="9">
        <v>2019</v>
      </c>
      <c r="AB9" s="12">
        <f t="shared" si="3"/>
        <v>99181</v>
      </c>
      <c r="AC9" s="12">
        <f t="shared" si="4"/>
        <v>200679</v>
      </c>
      <c r="AD9" s="12">
        <f t="shared" si="1"/>
        <v>294882</v>
      </c>
      <c r="AE9" s="12">
        <f t="shared" si="1"/>
        <v>398215</v>
      </c>
    </row>
    <row r="10" spans="1:31" x14ac:dyDescent="0.55000000000000004">
      <c r="B10" s="22" t="s">
        <v>21</v>
      </c>
      <c r="C10" s="10">
        <v>103613</v>
      </c>
      <c r="P10" s="28" t="s">
        <v>22</v>
      </c>
      <c r="Q10" s="12">
        <f>C19</f>
        <v>98250</v>
      </c>
      <c r="R10" s="12">
        <f>C20</f>
        <v>99559</v>
      </c>
      <c r="S10" s="12">
        <f>C21</f>
        <v>78885</v>
      </c>
      <c r="T10" s="12">
        <f>C22</f>
        <v>93355</v>
      </c>
      <c r="V10" s="28" t="str">
        <f t="shared" si="2"/>
        <v>19/20</v>
      </c>
      <c r="W10" s="8">
        <f t="shared" ca="1" si="0"/>
        <v>370049</v>
      </c>
      <c r="X10" s="14">
        <f t="shared" ca="1" si="5"/>
        <v>-7.0730635460743541E-2</v>
      </c>
      <c r="AA10" s="9">
        <v>2020</v>
      </c>
      <c r="AB10" s="12">
        <f t="shared" si="3"/>
        <v>98250</v>
      </c>
      <c r="AC10" s="12">
        <f t="shared" si="4"/>
        <v>197809</v>
      </c>
      <c r="AD10" s="12">
        <f t="shared" si="1"/>
        <v>276694</v>
      </c>
      <c r="AE10" s="12">
        <f t="shared" si="1"/>
        <v>370049</v>
      </c>
    </row>
    <row r="11" spans="1:31" x14ac:dyDescent="0.55000000000000004">
      <c r="B11" s="21" t="s">
        <v>23</v>
      </c>
      <c r="C11" s="11">
        <v>98549</v>
      </c>
      <c r="P11" s="28" t="s">
        <v>24</v>
      </c>
      <c r="Q11" s="12">
        <f>C23</f>
        <v>92034</v>
      </c>
      <c r="R11" s="12">
        <f>C24</f>
        <v>91482</v>
      </c>
      <c r="S11" s="12">
        <f>C25</f>
        <v>93064</v>
      </c>
      <c r="T11" s="12">
        <f>C26</f>
        <v>108615</v>
      </c>
      <c r="V11" s="28" t="str">
        <f t="shared" si="2"/>
        <v>20/21</v>
      </c>
      <c r="W11" s="8">
        <f t="shared" ca="1" si="0"/>
        <v>385195</v>
      </c>
      <c r="X11" s="14">
        <f t="shared" ca="1" si="5"/>
        <v>4.0929714713456855E-2</v>
      </c>
      <c r="AA11" s="9">
        <v>2021</v>
      </c>
      <c r="AB11" s="12">
        <f t="shared" si="3"/>
        <v>92034</v>
      </c>
      <c r="AC11" s="12">
        <f t="shared" si="4"/>
        <v>183516</v>
      </c>
      <c r="AD11" s="12">
        <f t="shared" si="1"/>
        <v>276580</v>
      </c>
      <c r="AE11" s="12">
        <f t="shared" si="1"/>
        <v>385195</v>
      </c>
    </row>
    <row r="12" spans="1:31" x14ac:dyDescent="0.55000000000000004">
      <c r="B12" s="21" t="s">
        <v>25</v>
      </c>
      <c r="C12" s="8">
        <v>99642</v>
      </c>
      <c r="P12" s="28" t="s">
        <v>26</v>
      </c>
      <c r="Q12" s="12">
        <f>C27</f>
        <v>100149</v>
      </c>
      <c r="R12" s="12">
        <f>C28</f>
        <v>98018</v>
      </c>
      <c r="S12" s="12">
        <f>C29</f>
        <v>96498</v>
      </c>
      <c r="T12" s="12">
        <f>C30</f>
        <v>103532</v>
      </c>
      <c r="V12" s="28" t="str">
        <f t="shared" si="2"/>
        <v>21/22</v>
      </c>
      <c r="W12" s="8">
        <f t="shared" ca="1" si="0"/>
        <v>398197</v>
      </c>
      <c r="X12" s="14">
        <f t="shared" ca="1" si="5"/>
        <v>3.3754332221342498E-2</v>
      </c>
      <c r="AA12" s="9">
        <v>2022</v>
      </c>
      <c r="AB12" s="12">
        <f t="shared" si="3"/>
        <v>100149</v>
      </c>
      <c r="AC12" s="12">
        <f t="shared" si="4"/>
        <v>198167</v>
      </c>
      <c r="AD12" s="12">
        <f t="shared" si="1"/>
        <v>294665</v>
      </c>
      <c r="AE12" s="12">
        <f t="shared" si="1"/>
        <v>398197</v>
      </c>
    </row>
    <row r="13" spans="1:31" x14ac:dyDescent="0.55000000000000004">
      <c r="B13" s="21" t="s">
        <v>27</v>
      </c>
      <c r="C13" s="8">
        <v>94357</v>
      </c>
      <c r="P13" s="28" t="s">
        <v>28</v>
      </c>
      <c r="Q13" s="12">
        <f>IF(C31=0,"",C31)</f>
        <v>99546</v>
      </c>
      <c r="R13" s="12">
        <f>IF(C32=0,"",C32)</f>
        <v>101923</v>
      </c>
      <c r="S13" s="12">
        <f>IF(C33=0,"",C33)</f>
        <v>94302</v>
      </c>
      <c r="T13" s="12">
        <f>IF(C34=0,NA(),C34)</f>
        <v>99144</v>
      </c>
      <c r="V13" s="28" t="str">
        <f t="shared" si="2"/>
        <v>22/23</v>
      </c>
      <c r="W13" s="8">
        <f t="shared" ca="1" si="0"/>
        <v>394915</v>
      </c>
      <c r="X13" s="14">
        <f t="shared" ca="1" si="5"/>
        <v>-8.2421514978766597E-3</v>
      </c>
      <c r="AA13" s="9">
        <v>2023</v>
      </c>
      <c r="AB13" s="12">
        <f t="shared" si="3"/>
        <v>99546</v>
      </c>
      <c r="AC13" s="12">
        <f t="shared" si="4"/>
        <v>201469</v>
      </c>
      <c r="AD13" s="12">
        <f t="shared" si="1"/>
        <v>295771</v>
      </c>
      <c r="AE13" s="12">
        <f t="shared" si="1"/>
        <v>394915</v>
      </c>
    </row>
    <row r="14" spans="1:31" x14ac:dyDescent="0.55000000000000004">
      <c r="B14" s="22" t="s">
        <v>29</v>
      </c>
      <c r="C14" s="8">
        <v>106146</v>
      </c>
      <c r="P14" s="28" t="s">
        <v>30</v>
      </c>
      <c r="Q14" s="12">
        <f>IF(C35=0,"",C35)</f>
        <v>97421</v>
      </c>
      <c r="R14" s="12">
        <f>97418/0.92</f>
        <v>105889.13043478261</v>
      </c>
      <c r="S14" s="12">
        <v>102000</v>
      </c>
      <c r="T14" s="12">
        <v>101351</v>
      </c>
      <c r="V14" s="28" t="str">
        <f t="shared" si="2"/>
        <v>23/24</v>
      </c>
      <c r="W14" s="8"/>
      <c r="AA14" s="9">
        <v>2024</v>
      </c>
      <c r="AB14" s="12">
        <f t="shared" si="3"/>
        <v>97421</v>
      </c>
      <c r="AC14" s="12"/>
      <c r="AD14" s="12"/>
      <c r="AE14" s="12"/>
    </row>
    <row r="15" spans="1:31" x14ac:dyDescent="0.55000000000000004">
      <c r="B15" s="21" t="s">
        <v>31</v>
      </c>
      <c r="C15" s="11">
        <v>99181</v>
      </c>
      <c r="P15" s="28" t="s">
        <v>74</v>
      </c>
      <c r="Q15" s="12">
        <f>Q14*(1-0.076)</f>
        <v>90017.004000000001</v>
      </c>
      <c r="R15" s="12">
        <v>97418</v>
      </c>
      <c r="S15" s="12"/>
      <c r="T15" s="12"/>
      <c r="V15" s="7" t="str">
        <f t="shared" si="2"/>
        <v>24/25</v>
      </c>
    </row>
    <row r="16" spans="1:31" x14ac:dyDescent="0.55000000000000004">
      <c r="B16" s="21" t="s">
        <v>32</v>
      </c>
      <c r="C16" s="8">
        <v>101498</v>
      </c>
    </row>
    <row r="17" spans="2:26" x14ac:dyDescent="0.55000000000000004">
      <c r="B17" s="21" t="s">
        <v>33</v>
      </c>
      <c r="C17" s="8">
        <v>94203</v>
      </c>
    </row>
    <row r="18" spans="2:26" ht="15.6" x14ac:dyDescent="0.6">
      <c r="B18" s="22" t="s">
        <v>34</v>
      </c>
      <c r="C18" s="8">
        <v>103333</v>
      </c>
      <c r="P18" s="149" t="s">
        <v>35</v>
      </c>
      <c r="Q18" s="149"/>
      <c r="R18" s="149"/>
      <c r="S18" s="149"/>
      <c r="T18" s="149"/>
      <c r="V18" s="150" t="s">
        <v>36</v>
      </c>
      <c r="W18" s="150"/>
      <c r="X18" s="25" t="s">
        <v>9</v>
      </c>
    </row>
    <row r="19" spans="2:26" x14ac:dyDescent="0.55000000000000004">
      <c r="B19" s="21" t="s">
        <v>37</v>
      </c>
      <c r="C19" s="11">
        <v>98250</v>
      </c>
      <c r="Q19" s="18" t="s">
        <v>9</v>
      </c>
      <c r="R19" s="18" t="s">
        <v>10</v>
      </c>
      <c r="S19" s="18" t="s">
        <v>11</v>
      </c>
      <c r="T19" s="18" t="s">
        <v>12</v>
      </c>
    </row>
    <row r="20" spans="2:26" x14ac:dyDescent="0.55000000000000004">
      <c r="B20" s="21" t="s">
        <v>38</v>
      </c>
      <c r="C20" s="8">
        <v>99559</v>
      </c>
      <c r="P20" s="28" t="s">
        <v>16</v>
      </c>
      <c r="Q20" s="12"/>
      <c r="R20" s="12"/>
      <c r="S20" s="12"/>
      <c r="T20" s="12"/>
    </row>
    <row r="21" spans="2:26" x14ac:dyDescent="0.55000000000000004">
      <c r="B21" s="21" t="s">
        <v>39</v>
      </c>
      <c r="C21" s="8">
        <v>78885</v>
      </c>
      <c r="P21" s="28" t="s">
        <v>18</v>
      </c>
      <c r="Q21" s="14">
        <f t="shared" ref="Q21:T28" si="6">IFERROR(Q8/Q7-1,"")</f>
        <v>7.7945374796276612E-2</v>
      </c>
      <c r="R21" s="14">
        <f t="shared" si="6"/>
        <v>8.9900790829441135E-2</v>
      </c>
      <c r="S21" s="14">
        <f t="shared" si="6"/>
        <v>7.4081662853305197E-2</v>
      </c>
      <c r="T21" s="14">
        <f t="shared" si="6"/>
        <v>2.4446739308773946E-2</v>
      </c>
    </row>
    <row r="22" spans="2:26" x14ac:dyDescent="0.55000000000000004">
      <c r="B22" s="22" t="s">
        <v>40</v>
      </c>
      <c r="C22" s="8">
        <v>93355</v>
      </c>
      <c r="P22" s="28" t="s">
        <v>20</v>
      </c>
      <c r="Q22" s="14">
        <f t="shared" si="6"/>
        <v>6.4130534049051668E-3</v>
      </c>
      <c r="R22" s="14">
        <f t="shared" si="6"/>
        <v>1.8626683527026788E-2</v>
      </c>
      <c r="S22" s="14">
        <f t="shared" si="6"/>
        <v>-1.63209936729658E-3</v>
      </c>
      <c r="T22" s="14">
        <f t="shared" si="6"/>
        <v>-2.65012341491907E-2</v>
      </c>
      <c r="W22" s="7">
        <f>_xlfn.XLOOKUP(X18,Q6:T6,Q5:T5)</f>
        <v>1</v>
      </c>
    </row>
    <row r="23" spans="2:26" x14ac:dyDescent="0.55000000000000004">
      <c r="B23" s="21" t="s">
        <v>41</v>
      </c>
      <c r="C23" s="11">
        <v>92034</v>
      </c>
      <c r="P23" s="28" t="s">
        <v>22</v>
      </c>
      <c r="Q23" s="14">
        <f t="shared" si="6"/>
        <v>-9.386878535203369E-3</v>
      </c>
      <c r="R23" s="14">
        <f t="shared" si="6"/>
        <v>-1.9103824705905548E-2</v>
      </c>
      <c r="S23" s="14">
        <f t="shared" si="6"/>
        <v>-0.16260628642399921</v>
      </c>
      <c r="T23" s="14">
        <f t="shared" si="6"/>
        <v>-9.6561601811618769E-2</v>
      </c>
      <c r="W23" s="7" t="s">
        <v>42</v>
      </c>
    </row>
    <row r="24" spans="2:26" x14ac:dyDescent="0.55000000000000004">
      <c r="B24" s="21" t="s">
        <v>43</v>
      </c>
      <c r="C24" s="8">
        <v>91482</v>
      </c>
      <c r="P24" s="28" t="s">
        <v>24</v>
      </c>
      <c r="Q24" s="14">
        <f t="shared" si="6"/>
        <v>-6.3267175572519041E-2</v>
      </c>
      <c r="R24" s="14">
        <f t="shared" si="6"/>
        <v>-8.1127773481051491E-2</v>
      </c>
      <c r="S24" s="14">
        <f t="shared" si="6"/>
        <v>0.17974266337072953</v>
      </c>
      <c r="T24" s="14">
        <f t="shared" si="6"/>
        <v>0.16346205345187714</v>
      </c>
      <c r="W24" s="9" t="s">
        <v>16</v>
      </c>
      <c r="X24" s="8" cm="1">
        <f t="array" aca="1" ref="X24:X31" ca="1">OFFSET(P7,0,$W$22,COUNT($Q$7:$Q$14),1)</f>
        <v>91423</v>
      </c>
    </row>
    <row r="25" spans="2:26" x14ac:dyDescent="0.55000000000000004">
      <c r="B25" s="21" t="s">
        <v>44</v>
      </c>
      <c r="C25" s="8">
        <v>93064</v>
      </c>
      <c r="P25" s="28" t="s">
        <v>26</v>
      </c>
      <c r="Q25" s="14">
        <f t="shared" si="6"/>
        <v>8.8173935719408014E-2</v>
      </c>
      <c r="R25" s="14">
        <f t="shared" si="6"/>
        <v>7.1445748890492045E-2</v>
      </c>
      <c r="S25" s="14">
        <f t="shared" si="6"/>
        <v>3.6899338089916522E-2</v>
      </c>
      <c r="T25" s="14">
        <f t="shared" si="6"/>
        <v>-4.6798324356672638E-2</v>
      </c>
      <c r="W25" s="9" t="s">
        <v>18</v>
      </c>
      <c r="X25" s="8">
        <f ca="1"/>
        <v>98549</v>
      </c>
      <c r="Z25" s="26" t="str">
        <f>_xlfn.CONCAT(A1," ",X18," across Years")</f>
        <v>German Grinds Q1 across Years</v>
      </c>
    </row>
    <row r="26" spans="2:26" x14ac:dyDescent="0.55000000000000004">
      <c r="B26" s="22" t="s">
        <v>45</v>
      </c>
      <c r="C26" s="8">
        <v>108615</v>
      </c>
      <c r="P26" s="28" t="s">
        <v>28</v>
      </c>
      <c r="Q26" s="14">
        <f t="shared" si="6"/>
        <v>-6.0210286672857105E-3</v>
      </c>
      <c r="R26" s="14">
        <f t="shared" si="6"/>
        <v>3.9839621294047944E-2</v>
      </c>
      <c r="S26" s="14">
        <f t="shared" si="6"/>
        <v>-2.275694833053532E-2</v>
      </c>
      <c r="T26" s="14">
        <f t="shared" si="6"/>
        <v>-4.2383031333307564E-2</v>
      </c>
      <c r="W26" s="9" t="s">
        <v>20</v>
      </c>
      <c r="X26" s="8">
        <f ca="1"/>
        <v>99181</v>
      </c>
    </row>
    <row r="27" spans="2:26" x14ac:dyDescent="0.55000000000000004">
      <c r="B27" s="21" t="s">
        <v>46</v>
      </c>
      <c r="C27" s="11">
        <v>100149</v>
      </c>
      <c r="P27" s="28" t="s">
        <v>30</v>
      </c>
      <c r="Q27" s="13">
        <f t="shared" si="6"/>
        <v>-2.1346914994073041E-2</v>
      </c>
      <c r="R27" s="13">
        <f t="shared" si="6"/>
        <v>3.8913007219004703E-2</v>
      </c>
      <c r="S27" s="13">
        <f t="shared" si="6"/>
        <v>8.1631354584208227E-2</v>
      </c>
      <c r="T27" s="13">
        <f t="shared" si="6"/>
        <v>2.2260550310659211E-2</v>
      </c>
      <c r="W27" s="9" t="s">
        <v>22</v>
      </c>
      <c r="X27" s="8">
        <f ca="1"/>
        <v>98250</v>
      </c>
    </row>
    <row r="28" spans="2:26" x14ac:dyDescent="0.55000000000000004">
      <c r="B28" s="21" t="s">
        <v>47</v>
      </c>
      <c r="C28" s="8">
        <v>98018</v>
      </c>
      <c r="P28" s="28" t="s">
        <v>74</v>
      </c>
      <c r="Q28" s="13">
        <f t="shared" si="6"/>
        <v>-7.5999999999999956E-2</v>
      </c>
      <c r="R28" s="13">
        <f t="shared" si="6"/>
        <v>-7.999999999999996E-2</v>
      </c>
      <c r="W28" s="9" t="s">
        <v>24</v>
      </c>
      <c r="X28" s="8">
        <f ca="1"/>
        <v>92034</v>
      </c>
    </row>
    <row r="29" spans="2:26" x14ac:dyDescent="0.55000000000000004">
      <c r="B29" s="21" t="s">
        <v>48</v>
      </c>
      <c r="C29" s="8">
        <v>96498</v>
      </c>
      <c r="W29" s="9" t="s">
        <v>26</v>
      </c>
      <c r="X29" s="8">
        <f ca="1"/>
        <v>100149</v>
      </c>
    </row>
    <row r="30" spans="2:26" x14ac:dyDescent="0.55000000000000004">
      <c r="B30" s="22" t="s">
        <v>49</v>
      </c>
      <c r="C30" s="8">
        <v>103532</v>
      </c>
      <c r="W30" s="9" t="s">
        <v>28</v>
      </c>
      <c r="X30" s="8">
        <f ca="1"/>
        <v>99546</v>
      </c>
    </row>
    <row r="31" spans="2:26" x14ac:dyDescent="0.55000000000000004">
      <c r="B31" s="21" t="s">
        <v>50</v>
      </c>
      <c r="C31" s="11">
        <v>99546</v>
      </c>
      <c r="W31" s="9" t="s">
        <v>30</v>
      </c>
      <c r="X31" s="8">
        <f ca="1"/>
        <v>97421</v>
      </c>
    </row>
    <row r="32" spans="2:26" ht="15.6" x14ac:dyDescent="0.6">
      <c r="B32" s="21" t="s">
        <v>51</v>
      </c>
      <c r="C32" s="8">
        <v>101923</v>
      </c>
      <c r="P32" s="149" t="s">
        <v>52</v>
      </c>
      <c r="Q32" s="149"/>
      <c r="R32" s="149"/>
      <c r="S32" s="149"/>
      <c r="T32" s="149"/>
    </row>
    <row r="33" spans="2:20" x14ac:dyDescent="0.55000000000000004">
      <c r="B33" s="21" t="s">
        <v>53</v>
      </c>
      <c r="C33" s="8">
        <v>94302</v>
      </c>
      <c r="Q33" s="18" t="s">
        <v>9</v>
      </c>
      <c r="R33" s="18" t="s">
        <v>10</v>
      </c>
      <c r="S33" s="18" t="s">
        <v>11</v>
      </c>
      <c r="T33" s="18" t="s">
        <v>12</v>
      </c>
    </row>
    <row r="34" spans="2:20" x14ac:dyDescent="0.55000000000000004">
      <c r="B34" s="22" t="s">
        <v>54</v>
      </c>
      <c r="C34" s="8">
        <v>99144</v>
      </c>
      <c r="P34" s="28" t="s">
        <v>16</v>
      </c>
      <c r="Q34" s="17"/>
      <c r="R34" s="17">
        <f t="shared" ref="R34:T41" si="7">IFERROR(R7/Q7-1,"")</f>
        <v>0</v>
      </c>
      <c r="S34" s="17">
        <f t="shared" si="7"/>
        <v>-3.9093007230128096E-2</v>
      </c>
      <c r="T34" s="17">
        <f t="shared" si="7"/>
        <v>0.17944427369691174</v>
      </c>
    </row>
    <row r="35" spans="2:20" x14ac:dyDescent="0.55000000000000004">
      <c r="B35" s="21" t="s">
        <v>55</v>
      </c>
      <c r="C35" s="8">
        <v>97421</v>
      </c>
      <c r="P35" s="28" t="s">
        <v>18</v>
      </c>
      <c r="Q35" s="17">
        <f t="shared" ref="Q35:Q41" si="8">IFERROR(Q8/T7-1,"")</f>
        <v>-4.8874176020383575E-2</v>
      </c>
      <c r="R35" s="17">
        <f t="shared" si="7"/>
        <v>1.1090929385381809E-2</v>
      </c>
      <c r="S35" s="17">
        <f t="shared" si="7"/>
        <v>-5.3039882780353653E-2</v>
      </c>
      <c r="T35" s="17">
        <f t="shared" si="7"/>
        <v>0.1249403859809024</v>
      </c>
    </row>
    <row r="36" spans="2:20" x14ac:dyDescent="0.55000000000000004">
      <c r="B36" s="21" t="s">
        <v>56</v>
      </c>
      <c r="C36" s="12">
        <f>R14</f>
        <v>105889.13043478261</v>
      </c>
      <c r="P36" s="28" t="s">
        <v>20</v>
      </c>
      <c r="Q36" s="17">
        <f t="shared" si="8"/>
        <v>-6.5617168805230497E-2</v>
      </c>
      <c r="R36" s="17">
        <f t="shared" si="7"/>
        <v>2.33613292868593E-2</v>
      </c>
      <c r="S36" s="17">
        <f t="shared" si="7"/>
        <v>-7.1873337405663151E-2</v>
      </c>
      <c r="T36" s="17">
        <f t="shared" si="7"/>
        <v>9.6918357164846203E-2</v>
      </c>
    </row>
    <row r="37" spans="2:20" x14ac:dyDescent="0.55000000000000004">
      <c r="B37" s="21" t="s">
        <v>57</v>
      </c>
      <c r="C37" s="12">
        <f>S14</f>
        <v>102000</v>
      </c>
      <c r="P37" s="28" t="s">
        <v>22</v>
      </c>
      <c r="Q37" s="17">
        <f t="shared" si="8"/>
        <v>-4.9190481259617003E-2</v>
      </c>
      <c r="R37" s="17">
        <f t="shared" si="7"/>
        <v>1.332315521628491E-2</v>
      </c>
      <c r="S37" s="17">
        <f t="shared" si="7"/>
        <v>-0.20765576191002322</v>
      </c>
      <c r="T37" s="17">
        <f t="shared" si="7"/>
        <v>0.1834315776129809</v>
      </c>
    </row>
    <row r="38" spans="2:20" x14ac:dyDescent="0.55000000000000004">
      <c r="B38" s="21" t="s">
        <v>58</v>
      </c>
      <c r="C38" s="12">
        <f>T14</f>
        <v>101351</v>
      </c>
      <c r="P38" s="28" t="s">
        <v>24</v>
      </c>
      <c r="Q38" s="17">
        <f t="shared" si="8"/>
        <v>-1.4150286540624446E-2</v>
      </c>
      <c r="R38" s="17">
        <f t="shared" si="7"/>
        <v>-5.9977834278636122E-3</v>
      </c>
      <c r="S38" s="17">
        <f t="shared" si="7"/>
        <v>1.7293019391792841E-2</v>
      </c>
      <c r="T38" s="17">
        <f t="shared" si="7"/>
        <v>0.16710006017364387</v>
      </c>
    </row>
    <row r="39" spans="2:20" x14ac:dyDescent="0.55000000000000004">
      <c r="C39" s="12">
        <f>Q15</f>
        <v>90017.004000000001</v>
      </c>
      <c r="P39" s="28" t="s">
        <v>26</v>
      </c>
      <c r="Q39" s="17">
        <f t="shared" si="8"/>
        <v>-7.7945035216130387E-2</v>
      </c>
      <c r="R39" s="17">
        <f t="shared" si="7"/>
        <v>-2.127829533994352E-2</v>
      </c>
      <c r="S39" s="17">
        <f t="shared" si="7"/>
        <v>-1.5507355791793298E-2</v>
      </c>
      <c r="T39" s="17">
        <f t="shared" si="7"/>
        <v>7.2892702439428803E-2</v>
      </c>
    </row>
    <row r="40" spans="2:20" x14ac:dyDescent="0.55000000000000004">
      <c r="C40" s="12">
        <f>R15</f>
        <v>97418</v>
      </c>
      <c r="P40" s="28" t="s">
        <v>28</v>
      </c>
      <c r="Q40" s="17">
        <f t="shared" si="8"/>
        <v>-3.8500173859289832E-2</v>
      </c>
      <c r="R40" s="17">
        <f t="shared" si="7"/>
        <v>2.3878407972193649E-2</v>
      </c>
      <c r="S40" s="17">
        <f t="shared" si="7"/>
        <v>-7.4772131903495742E-2</v>
      </c>
      <c r="T40" s="17">
        <f t="shared" si="7"/>
        <v>5.1345676655850436E-2</v>
      </c>
    </row>
    <row r="41" spans="2:20" x14ac:dyDescent="0.55000000000000004">
      <c r="P41" s="28" t="s">
        <v>30</v>
      </c>
      <c r="Q41" s="17">
        <f t="shared" si="8"/>
        <v>-1.7378762204470211E-2</v>
      </c>
      <c r="R41" s="17">
        <f t="shared" si="7"/>
        <v>8.6923049802225538E-2</v>
      </c>
      <c r="S41" s="17">
        <f t="shared" si="7"/>
        <v>-3.6728325360816272E-2</v>
      </c>
      <c r="T41" s="17">
        <f t="shared" si="7"/>
        <v>-6.3627450980392464E-3</v>
      </c>
    </row>
  </sheetData>
  <mergeCells count="4">
    <mergeCell ref="A1:AD1"/>
    <mergeCell ref="P18:T18"/>
    <mergeCell ref="V18:W18"/>
    <mergeCell ref="P32:T32"/>
  </mergeCells>
  <conditionalFormatting sqref="Q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7:T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T27 Q28:R2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{BE0E3007-67E0-40DA-A58F-950B28C39313}</x14:id>
        </ext>
      </extLst>
    </cfRule>
  </conditionalFormatting>
  <conditionalFormatting sqref="Q34:T4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{F8A5EBE6-C96D-4BF9-A0E6-A6B9CF260865}</x14:id>
        </ext>
      </extLst>
    </cfRule>
  </conditionalFormatting>
  <conditionalFormatting sqref="R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:W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1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{FDEF32A2-07CD-46EF-90F4-CD0FA5862D68}</x14:id>
        </ext>
      </extLst>
    </cfRule>
  </conditionalFormatting>
  <dataValidations disablePrompts="1" count="1">
    <dataValidation type="list" allowBlank="1" showInputMessage="1" showErrorMessage="1" sqref="X18" xr:uid="{5434CA78-6836-41B4-BAB9-6B021A0F3CCA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0E3007-67E0-40DA-A58F-950B28C3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Q21:T27 Q28:R28</xm:sqref>
        </x14:conditionalFormatting>
        <x14:conditionalFormatting xmlns:xm="http://schemas.microsoft.com/office/excel/2006/main">
          <x14:cfRule type="dataBar" id="{F8A5EBE6-C96D-4BF9-A0E6-A6B9CF260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Q34:T41</xm:sqref>
        </x14:conditionalFormatting>
        <x14:conditionalFormatting xmlns:xm="http://schemas.microsoft.com/office/excel/2006/main">
          <x14:cfRule type="dataBar" id="{FDEF32A2-07CD-46EF-90F4-CD0FA5862D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X8:X14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865C-99FF-4C5A-A797-D021613614C4}">
  <sheetPr codeName="Sheet1"/>
  <dimension ref="A1:AE41"/>
  <sheetViews>
    <sheetView showGridLines="0" zoomScale="55" zoomScaleNormal="55" workbookViewId="0">
      <selection activeCell="S50" sqref="S50"/>
    </sheetView>
  </sheetViews>
  <sheetFormatPr defaultColWidth="9.15625" defaultRowHeight="14.4" x14ac:dyDescent="0.55000000000000004"/>
  <cols>
    <col min="1" max="1" width="9.15625" style="7"/>
    <col min="2" max="2" width="10.41796875" style="7" bestFit="1" customWidth="1"/>
    <col min="3" max="3" width="11.578125" style="7" bestFit="1" customWidth="1"/>
    <col min="4" max="20" width="9.15625" style="7"/>
    <col min="21" max="21" width="11.26171875" style="7" customWidth="1"/>
    <col min="22" max="22" width="9.15625" style="7"/>
    <col min="23" max="23" width="13.578125" style="7" customWidth="1"/>
    <col min="24" max="24" width="11.578125" style="7" bestFit="1" customWidth="1"/>
    <col min="25" max="16384" width="9.15625" style="7"/>
  </cols>
  <sheetData>
    <row r="1" spans="1:31" s="5" customFormat="1" ht="55.5" customHeight="1" x14ac:dyDescent="0.55000000000000004">
      <c r="A1" s="148" t="s">
        <v>63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</row>
    <row r="2" spans="1:31" s="6" customFormat="1" ht="5.25" customHeight="1" x14ac:dyDescent="0.6"/>
    <row r="3" spans="1:31" hidden="1" x14ac:dyDescent="0.55000000000000004">
      <c r="V3" s="20">
        <f>COUNT(Q13:T13)</f>
        <v>4</v>
      </c>
      <c r="W3" s="19" t="str">
        <f ca="1">OFFSET(P6,0,$V$3,1,1)</f>
        <v>Q4</v>
      </c>
    </row>
    <row r="4" spans="1:31" x14ac:dyDescent="0.55000000000000004">
      <c r="V4" s="20"/>
      <c r="W4" s="19"/>
    </row>
    <row r="5" spans="1:31" x14ac:dyDescent="0.55000000000000004">
      <c r="Q5" s="7">
        <v>1</v>
      </c>
      <c r="R5" s="7">
        <v>2</v>
      </c>
      <c r="S5" s="7">
        <v>3</v>
      </c>
      <c r="T5" s="7">
        <v>4</v>
      </c>
    </row>
    <row r="6" spans="1:31" ht="15.6" x14ac:dyDescent="0.6">
      <c r="B6" s="23" t="s">
        <v>7</v>
      </c>
      <c r="C6" s="23" t="s">
        <v>8</v>
      </c>
      <c r="Q6" s="24" t="s">
        <v>9</v>
      </c>
      <c r="R6" s="24" t="s">
        <v>10</v>
      </c>
      <c r="S6" s="24" t="s">
        <v>11</v>
      </c>
      <c r="T6" s="24" t="s">
        <v>12</v>
      </c>
      <c r="V6" s="16" t="s">
        <v>13</v>
      </c>
      <c r="W6" s="16" t="str">
        <f ca="1">_xlfn.CONCAT("YTD (Q1 to ",W3,")")</f>
        <v>YTD (Q1 to Q4)</v>
      </c>
      <c r="X6" s="16" t="s">
        <v>14</v>
      </c>
      <c r="AB6" s="15" t="s">
        <v>9</v>
      </c>
      <c r="AC6" s="15" t="s">
        <v>10</v>
      </c>
      <c r="AD6" s="15" t="s">
        <v>11</v>
      </c>
      <c r="AE6" s="15" t="s">
        <v>12</v>
      </c>
    </row>
    <row r="7" spans="1:31" x14ac:dyDescent="0.55000000000000004">
      <c r="B7" s="21" t="s">
        <v>15</v>
      </c>
      <c r="C7" s="10">
        <v>127000</v>
      </c>
      <c r="P7" s="28" t="s">
        <v>16</v>
      </c>
      <c r="Q7" s="12">
        <f>C7</f>
        <v>127000</v>
      </c>
      <c r="R7" s="12">
        <f>C8</f>
        <v>127000</v>
      </c>
      <c r="S7" s="12">
        <f>C9</f>
        <v>127000</v>
      </c>
      <c r="T7" s="12">
        <f>C10</f>
        <v>128000</v>
      </c>
      <c r="V7" s="28" t="str">
        <f>P7</f>
        <v>16/17</v>
      </c>
      <c r="W7" s="8">
        <f ca="1">SUM(OFFSET(Q7,0,0,1,$V$3))</f>
        <v>509000</v>
      </c>
      <c r="AA7" s="9">
        <v>2017</v>
      </c>
      <c r="AB7" s="12">
        <f>Q7</f>
        <v>127000</v>
      </c>
      <c r="AC7" s="12">
        <f>AB7+R7</f>
        <v>254000</v>
      </c>
      <c r="AD7" s="12">
        <f t="shared" ref="AD7:AE13" si="0">AC7+S7</f>
        <v>381000</v>
      </c>
      <c r="AE7" s="12">
        <f t="shared" si="0"/>
        <v>509000</v>
      </c>
    </row>
    <row r="8" spans="1:31" x14ac:dyDescent="0.55000000000000004">
      <c r="B8" s="21" t="s">
        <v>17</v>
      </c>
      <c r="C8" s="10">
        <v>127000</v>
      </c>
      <c r="P8" s="28" t="s">
        <v>18</v>
      </c>
      <c r="Q8" s="12">
        <f>C11</f>
        <v>124000</v>
      </c>
      <c r="R8" s="12">
        <f>C12</f>
        <v>130000</v>
      </c>
      <c r="S8" s="12">
        <f>C13</f>
        <v>125000</v>
      </c>
      <c r="T8" s="12">
        <f>C14</f>
        <v>126347</v>
      </c>
      <c r="V8" s="28" t="str">
        <f t="shared" ref="V8:V14" si="1">P8</f>
        <v>17/18</v>
      </c>
      <c r="W8" s="8">
        <f t="shared" ref="W8:W13" ca="1" si="2">SUM(OFFSET(Q8,0,0,1,$V$3))</f>
        <v>505347</v>
      </c>
      <c r="X8" s="14">
        <f ca="1">W8/W7-1</f>
        <v>-7.1768172888015958E-3</v>
      </c>
      <c r="AA8" s="9">
        <v>2018</v>
      </c>
      <c r="AB8" s="12">
        <f t="shared" ref="AB8:AB14" si="3">Q8</f>
        <v>124000</v>
      </c>
      <c r="AC8" s="12">
        <f t="shared" ref="AC8:AC13" si="4">AB8+R8</f>
        <v>254000</v>
      </c>
      <c r="AD8" s="12">
        <f t="shared" si="0"/>
        <v>379000</v>
      </c>
      <c r="AE8" s="12">
        <f t="shared" si="0"/>
        <v>505347</v>
      </c>
    </row>
    <row r="9" spans="1:31" x14ac:dyDescent="0.55000000000000004">
      <c r="B9" s="21" t="s">
        <v>19</v>
      </c>
      <c r="C9" s="10">
        <v>127000</v>
      </c>
      <c r="P9" s="28" t="s">
        <v>20</v>
      </c>
      <c r="Q9" s="12">
        <f>C15</f>
        <v>135510</v>
      </c>
      <c r="R9" s="12">
        <f>C16</f>
        <v>133000</v>
      </c>
      <c r="S9" s="12">
        <f>C17</f>
        <v>139000</v>
      </c>
      <c r="T9" s="12">
        <f>C18</f>
        <v>140473</v>
      </c>
      <c r="V9" s="28" t="str">
        <f t="shared" si="1"/>
        <v>18/19</v>
      </c>
      <c r="W9" s="8">
        <f t="shared" ca="1" si="2"/>
        <v>547983</v>
      </c>
      <c r="X9" s="14">
        <f t="shared" ref="X9:X13" ca="1" si="5">W9/W8-1</f>
        <v>8.4369749894626755E-2</v>
      </c>
      <c r="AA9" s="9">
        <v>2019</v>
      </c>
      <c r="AB9" s="12">
        <f t="shared" si="3"/>
        <v>135510</v>
      </c>
      <c r="AC9" s="12">
        <f t="shared" si="4"/>
        <v>268510</v>
      </c>
      <c r="AD9" s="12">
        <f t="shared" si="0"/>
        <v>407510</v>
      </c>
      <c r="AE9" s="12">
        <f t="shared" si="0"/>
        <v>547983</v>
      </c>
    </row>
    <row r="10" spans="1:31" x14ac:dyDescent="0.55000000000000004">
      <c r="B10" s="22" t="s">
        <v>21</v>
      </c>
      <c r="C10" s="10">
        <v>128000</v>
      </c>
      <c r="P10" s="28" t="s">
        <v>22</v>
      </c>
      <c r="Q10" s="12">
        <f>C19</f>
        <v>144314</v>
      </c>
      <c r="R10" s="12">
        <f>C20</f>
        <v>139821</v>
      </c>
      <c r="S10" s="12">
        <f>C21</f>
        <v>139559</v>
      </c>
      <c r="T10" s="12">
        <f>C22</f>
        <v>135954</v>
      </c>
      <c r="V10" s="28" t="str">
        <f t="shared" si="1"/>
        <v>19/20</v>
      </c>
      <c r="W10" s="8">
        <f t="shared" ca="1" si="2"/>
        <v>559648</v>
      </c>
      <c r="X10" s="14">
        <f t="shared" ca="1" si="5"/>
        <v>2.1287156718365452E-2</v>
      </c>
      <c r="AA10" s="9">
        <v>2020</v>
      </c>
      <c r="AB10" s="12">
        <f t="shared" si="3"/>
        <v>144314</v>
      </c>
      <c r="AC10" s="12">
        <f t="shared" si="4"/>
        <v>284135</v>
      </c>
      <c r="AD10" s="12">
        <f t="shared" si="0"/>
        <v>423694</v>
      </c>
      <c r="AE10" s="12">
        <f t="shared" si="0"/>
        <v>559648</v>
      </c>
    </row>
    <row r="11" spans="1:31" x14ac:dyDescent="0.55000000000000004">
      <c r="B11" s="21" t="s">
        <v>23</v>
      </c>
      <c r="C11" s="11">
        <v>124000</v>
      </c>
      <c r="P11" s="28" t="s">
        <v>24</v>
      </c>
      <c r="Q11" s="12">
        <f>C23</f>
        <v>150241</v>
      </c>
      <c r="R11" s="12">
        <f>C24</f>
        <v>150593</v>
      </c>
      <c r="S11" s="12">
        <f>C25</f>
        <v>109471</v>
      </c>
      <c r="T11" s="12">
        <f>C26</f>
        <v>154121</v>
      </c>
      <c r="V11" s="28" t="str">
        <f t="shared" si="1"/>
        <v>20/21</v>
      </c>
      <c r="W11" s="8">
        <f t="shared" ca="1" si="2"/>
        <v>564426</v>
      </c>
      <c r="X11" s="14">
        <f t="shared" ca="1" si="5"/>
        <v>8.5375092915547235E-3</v>
      </c>
      <c r="AA11" s="9">
        <v>2021</v>
      </c>
      <c r="AB11" s="12">
        <f t="shared" si="3"/>
        <v>150241</v>
      </c>
      <c r="AC11" s="12">
        <f t="shared" si="4"/>
        <v>300834</v>
      </c>
      <c r="AD11" s="12">
        <f t="shared" si="0"/>
        <v>410305</v>
      </c>
      <c r="AE11" s="12">
        <f t="shared" si="0"/>
        <v>564426</v>
      </c>
    </row>
    <row r="12" spans="1:31" x14ac:dyDescent="0.55000000000000004">
      <c r="B12" s="21" t="s">
        <v>25</v>
      </c>
      <c r="C12" s="8">
        <v>130000</v>
      </c>
      <c r="P12" s="28" t="s">
        <v>26</v>
      </c>
      <c r="Q12" s="12">
        <f>C27</f>
        <v>158272</v>
      </c>
      <c r="R12" s="12">
        <f>C28</f>
        <v>155454</v>
      </c>
      <c r="S12" s="12">
        <f>C29</f>
        <v>156723</v>
      </c>
      <c r="T12" s="12">
        <f>C30</f>
        <v>171540</v>
      </c>
      <c r="V12" s="28" t="str">
        <f t="shared" si="1"/>
        <v>21/22</v>
      </c>
      <c r="W12" s="8">
        <f t="shared" ca="1" si="2"/>
        <v>641989</v>
      </c>
      <c r="X12" s="14">
        <f t="shared" ca="1" si="5"/>
        <v>0.13741925425122159</v>
      </c>
      <c r="AA12" s="9">
        <v>2022</v>
      </c>
      <c r="AB12" s="12">
        <f t="shared" si="3"/>
        <v>158272</v>
      </c>
      <c r="AC12" s="12">
        <f t="shared" si="4"/>
        <v>313726</v>
      </c>
      <c r="AD12" s="12">
        <f t="shared" si="0"/>
        <v>470449</v>
      </c>
      <c r="AE12" s="12">
        <f t="shared" si="0"/>
        <v>641989</v>
      </c>
    </row>
    <row r="13" spans="1:31" x14ac:dyDescent="0.55000000000000004">
      <c r="B13" s="21" t="s">
        <v>27</v>
      </c>
      <c r="C13" s="8">
        <v>125000</v>
      </c>
      <c r="P13" s="28" t="s">
        <v>28</v>
      </c>
      <c r="Q13" s="12">
        <f>IF(C31=0,"",C31)</f>
        <v>172605</v>
      </c>
      <c r="R13" s="12">
        <f>IF(C32=0,"",C32)</f>
        <v>189495</v>
      </c>
      <c r="S13" s="12">
        <f>IF(C33=0,"",C33)</f>
        <v>160725</v>
      </c>
      <c r="T13" s="7">
        <f>IF(C34=0,NA(),C34)</f>
        <v>183731</v>
      </c>
      <c r="V13" s="28" t="str">
        <f t="shared" si="1"/>
        <v>22/23</v>
      </c>
      <c r="W13" s="8">
        <f t="shared" ca="1" si="2"/>
        <v>706556</v>
      </c>
      <c r="X13" s="14">
        <f t="shared" ca="1" si="5"/>
        <v>0.10057337431015179</v>
      </c>
      <c r="AA13" s="9">
        <v>2023</v>
      </c>
      <c r="AB13" s="12">
        <f t="shared" si="3"/>
        <v>172605</v>
      </c>
      <c r="AC13" s="12">
        <f t="shared" si="4"/>
        <v>362100</v>
      </c>
      <c r="AD13" s="12">
        <f t="shared" si="0"/>
        <v>522825</v>
      </c>
      <c r="AE13" s="12">
        <f t="shared" si="0"/>
        <v>706556</v>
      </c>
    </row>
    <row r="14" spans="1:31" x14ac:dyDescent="0.55000000000000004">
      <c r="B14" s="22" t="s">
        <v>29</v>
      </c>
      <c r="C14" s="8">
        <v>126347</v>
      </c>
      <c r="P14" s="28" t="s">
        <v>30</v>
      </c>
      <c r="Q14" s="7">
        <f>IF(C35=0,"",C35)</f>
        <v>169953</v>
      </c>
      <c r="V14" s="28" t="str">
        <f t="shared" si="1"/>
        <v>23/24</v>
      </c>
      <c r="W14" s="8"/>
      <c r="AA14" s="9">
        <v>2024</v>
      </c>
      <c r="AB14" s="12">
        <f t="shared" si="3"/>
        <v>169953</v>
      </c>
      <c r="AC14" s="12"/>
      <c r="AD14" s="12"/>
      <c r="AE14" s="12"/>
    </row>
    <row r="15" spans="1:31" x14ac:dyDescent="0.55000000000000004">
      <c r="B15" s="21" t="s">
        <v>31</v>
      </c>
      <c r="C15" s="11">
        <v>135510</v>
      </c>
    </row>
    <row r="16" spans="1:31" x14ac:dyDescent="0.55000000000000004">
      <c r="B16" s="21" t="s">
        <v>32</v>
      </c>
      <c r="C16" s="8">
        <v>133000</v>
      </c>
    </row>
    <row r="17" spans="2:26" x14ac:dyDescent="0.55000000000000004">
      <c r="B17" s="21" t="s">
        <v>33</v>
      </c>
      <c r="C17" s="8">
        <v>139000</v>
      </c>
    </row>
    <row r="18" spans="2:26" ht="15.6" x14ac:dyDescent="0.6">
      <c r="B18" s="22" t="s">
        <v>34</v>
      </c>
      <c r="C18" s="8">
        <v>140473</v>
      </c>
      <c r="P18" s="149" t="s">
        <v>35</v>
      </c>
      <c r="Q18" s="149"/>
      <c r="R18" s="149"/>
      <c r="S18" s="149"/>
      <c r="T18" s="149"/>
      <c r="V18" s="150" t="s">
        <v>36</v>
      </c>
      <c r="W18" s="150"/>
      <c r="X18" s="25" t="s">
        <v>9</v>
      </c>
    </row>
    <row r="19" spans="2:26" x14ac:dyDescent="0.55000000000000004">
      <c r="B19" s="21" t="s">
        <v>37</v>
      </c>
      <c r="C19" s="11">
        <v>144314</v>
      </c>
      <c r="Q19" s="18" t="s">
        <v>9</v>
      </c>
      <c r="R19" s="18" t="s">
        <v>10</v>
      </c>
      <c r="S19" s="18" t="s">
        <v>11</v>
      </c>
      <c r="T19" s="18" t="s">
        <v>12</v>
      </c>
    </row>
    <row r="20" spans="2:26" x14ac:dyDescent="0.55000000000000004">
      <c r="B20" s="21" t="s">
        <v>38</v>
      </c>
      <c r="C20" s="8">
        <v>139821</v>
      </c>
      <c r="P20" s="9" t="s">
        <v>16</v>
      </c>
      <c r="Q20" s="12"/>
      <c r="R20" s="12"/>
      <c r="S20" s="12"/>
      <c r="T20" s="12"/>
    </row>
    <row r="21" spans="2:26" x14ac:dyDescent="0.55000000000000004">
      <c r="B21" s="21" t="s">
        <v>39</v>
      </c>
      <c r="C21" s="8">
        <v>139559</v>
      </c>
      <c r="P21" s="9" t="s">
        <v>18</v>
      </c>
      <c r="Q21" s="14">
        <f t="shared" ref="Q21:T27" si="6">IFERROR(Q8/Q7-1,"")</f>
        <v>-2.3622047244094446E-2</v>
      </c>
      <c r="R21" s="14">
        <f t="shared" si="6"/>
        <v>2.3622047244094446E-2</v>
      </c>
      <c r="S21" s="14">
        <f t="shared" si="6"/>
        <v>-1.5748031496062964E-2</v>
      </c>
      <c r="T21" s="14">
        <f t="shared" si="6"/>
        <v>-1.2914062500000045E-2</v>
      </c>
    </row>
    <row r="22" spans="2:26" x14ac:dyDescent="0.55000000000000004">
      <c r="B22" s="22" t="s">
        <v>40</v>
      </c>
      <c r="C22" s="8">
        <v>135954</v>
      </c>
      <c r="P22" s="9" t="s">
        <v>20</v>
      </c>
      <c r="Q22" s="14">
        <f t="shared" si="6"/>
        <v>9.2822580645161246E-2</v>
      </c>
      <c r="R22" s="14">
        <f t="shared" si="6"/>
        <v>2.3076923076922995E-2</v>
      </c>
      <c r="S22" s="14">
        <f t="shared" si="6"/>
        <v>0.1120000000000001</v>
      </c>
      <c r="T22" s="14">
        <f t="shared" si="6"/>
        <v>0.11180320862386917</v>
      </c>
      <c r="W22" s="7">
        <f>_xlfn.XLOOKUP(X18,Q6:T6,Q5:T5)</f>
        <v>1</v>
      </c>
    </row>
    <row r="23" spans="2:26" x14ac:dyDescent="0.55000000000000004">
      <c r="B23" s="21" t="s">
        <v>41</v>
      </c>
      <c r="C23" s="11">
        <v>150241</v>
      </c>
      <c r="P23" s="9" t="s">
        <v>22</v>
      </c>
      <c r="Q23" s="14">
        <f t="shared" si="6"/>
        <v>6.4969374953878001E-2</v>
      </c>
      <c r="R23" s="14">
        <f t="shared" si="6"/>
        <v>5.1285714285714379E-2</v>
      </c>
      <c r="S23" s="14">
        <f t="shared" si="6"/>
        <v>4.0215827338130339E-3</v>
      </c>
      <c r="T23" s="14">
        <f t="shared" si="6"/>
        <v>-3.2169883180397707E-2</v>
      </c>
      <c r="W23" s="7" t="s">
        <v>42</v>
      </c>
    </row>
    <row r="24" spans="2:26" x14ac:dyDescent="0.55000000000000004">
      <c r="B24" s="21" t="s">
        <v>43</v>
      </c>
      <c r="C24" s="8">
        <v>150593</v>
      </c>
      <c r="P24" s="9" t="s">
        <v>24</v>
      </c>
      <c r="Q24" s="14">
        <f t="shared" si="6"/>
        <v>4.1070166442618072E-2</v>
      </c>
      <c r="R24" s="14">
        <f t="shared" si="6"/>
        <v>7.7041360024602934E-2</v>
      </c>
      <c r="S24" s="14">
        <f t="shared" si="6"/>
        <v>-0.21559340493984624</v>
      </c>
      <c r="T24" s="14">
        <f t="shared" si="6"/>
        <v>0.1336260794092119</v>
      </c>
      <c r="W24" s="9" t="s">
        <v>16</v>
      </c>
      <c r="X24" s="8" cm="1">
        <f t="array" aca="1" ref="X24:X31" ca="1">OFFSET(P7,0,$W$22,COUNT($Q$7:$Q$14),1)</f>
        <v>127000</v>
      </c>
    </row>
    <row r="25" spans="2:26" x14ac:dyDescent="0.55000000000000004">
      <c r="B25" s="21" t="s">
        <v>44</v>
      </c>
      <c r="C25" s="8">
        <v>109471</v>
      </c>
      <c r="P25" s="9" t="s">
        <v>26</v>
      </c>
      <c r="Q25" s="14">
        <f t="shared" si="6"/>
        <v>5.3454117051936478E-2</v>
      </c>
      <c r="R25" s="14">
        <f t="shared" si="6"/>
        <v>3.2279056795468497E-2</v>
      </c>
      <c r="S25" s="14">
        <f t="shared" si="6"/>
        <v>0.43163942962063007</v>
      </c>
      <c r="T25" s="14">
        <f t="shared" si="6"/>
        <v>0.11302158693494069</v>
      </c>
      <c r="W25" s="9" t="s">
        <v>18</v>
      </c>
      <c r="X25" s="8">
        <f ca="1"/>
        <v>124000</v>
      </c>
      <c r="Z25" s="26" t="str">
        <f>_xlfn.CONCAT(A1," ",X18," across Years")</f>
        <v>IVC Grinds Q1 across Years</v>
      </c>
    </row>
    <row r="26" spans="2:26" x14ac:dyDescent="0.55000000000000004">
      <c r="B26" s="22" t="s">
        <v>45</v>
      </c>
      <c r="C26" s="8">
        <v>154121</v>
      </c>
      <c r="P26" s="9" t="s">
        <v>28</v>
      </c>
      <c r="Q26" s="14">
        <f t="shared" si="6"/>
        <v>9.0559290335624709E-2</v>
      </c>
      <c r="R26" s="14">
        <f t="shared" si="6"/>
        <v>0.21897796132618019</v>
      </c>
      <c r="S26" s="14">
        <f t="shared" si="6"/>
        <v>2.5535498937615975E-2</v>
      </c>
      <c r="T26" s="14">
        <f t="shared" si="6"/>
        <v>7.1067972484551767E-2</v>
      </c>
      <c r="W26" s="9" t="s">
        <v>20</v>
      </c>
      <c r="X26" s="8">
        <f ca="1"/>
        <v>135510</v>
      </c>
    </row>
    <row r="27" spans="2:26" x14ac:dyDescent="0.55000000000000004">
      <c r="B27" s="21" t="s">
        <v>46</v>
      </c>
      <c r="C27" s="11">
        <v>158272</v>
      </c>
      <c r="P27" s="9" t="s">
        <v>30</v>
      </c>
      <c r="Q27" s="14">
        <f t="shared" si="6"/>
        <v>-1.5364560702181285E-2</v>
      </c>
      <c r="R27" s="14"/>
      <c r="S27" s="14"/>
      <c r="T27" s="14"/>
      <c r="W27" s="9" t="s">
        <v>22</v>
      </c>
      <c r="X27" s="8">
        <f ca="1"/>
        <v>144314</v>
      </c>
    </row>
    <row r="28" spans="2:26" x14ac:dyDescent="0.55000000000000004">
      <c r="B28" s="21" t="s">
        <v>47</v>
      </c>
      <c r="C28" s="8">
        <v>155454</v>
      </c>
      <c r="W28" s="9" t="s">
        <v>24</v>
      </c>
      <c r="X28" s="8">
        <f ca="1"/>
        <v>150241</v>
      </c>
    </row>
    <row r="29" spans="2:26" x14ac:dyDescent="0.55000000000000004">
      <c r="B29" s="21" t="s">
        <v>48</v>
      </c>
      <c r="C29" s="8">
        <v>156723</v>
      </c>
      <c r="W29" s="9" t="s">
        <v>26</v>
      </c>
      <c r="X29" s="8">
        <f ca="1"/>
        <v>158272</v>
      </c>
    </row>
    <row r="30" spans="2:26" x14ac:dyDescent="0.55000000000000004">
      <c r="B30" s="22" t="s">
        <v>49</v>
      </c>
      <c r="C30" s="8">
        <v>171540</v>
      </c>
      <c r="W30" s="9" t="s">
        <v>28</v>
      </c>
      <c r="X30" s="8">
        <f ca="1"/>
        <v>172605</v>
      </c>
    </row>
    <row r="31" spans="2:26" x14ac:dyDescent="0.55000000000000004">
      <c r="B31" s="21" t="s">
        <v>50</v>
      </c>
      <c r="C31" s="11">
        <v>172605</v>
      </c>
      <c r="W31" s="9" t="s">
        <v>30</v>
      </c>
      <c r="X31" s="7">
        <f ca="1"/>
        <v>169953</v>
      </c>
    </row>
    <row r="32" spans="2:26" ht="15.6" x14ac:dyDescent="0.6">
      <c r="B32" s="21" t="s">
        <v>51</v>
      </c>
      <c r="C32" s="8">
        <v>189495</v>
      </c>
      <c r="P32" s="149" t="s">
        <v>52</v>
      </c>
      <c r="Q32" s="149"/>
      <c r="R32" s="149"/>
      <c r="S32" s="149"/>
      <c r="T32" s="149"/>
    </row>
    <row r="33" spans="2:20" x14ac:dyDescent="0.55000000000000004">
      <c r="B33" s="21" t="s">
        <v>53</v>
      </c>
      <c r="C33" s="8">
        <v>160725</v>
      </c>
      <c r="Q33" s="18" t="s">
        <v>9</v>
      </c>
      <c r="R33" s="18" t="s">
        <v>10</v>
      </c>
      <c r="S33" s="18" t="s">
        <v>11</v>
      </c>
      <c r="T33" s="18" t="s">
        <v>12</v>
      </c>
    </row>
    <row r="34" spans="2:20" x14ac:dyDescent="0.55000000000000004">
      <c r="B34" s="22" t="s">
        <v>54</v>
      </c>
      <c r="C34" s="8">
        <v>183731</v>
      </c>
      <c r="P34" s="9" t="s">
        <v>16</v>
      </c>
      <c r="Q34" s="17"/>
      <c r="R34" s="17">
        <f t="shared" ref="R34:T41" si="7">IFERROR(R7/Q7-1,"")</f>
        <v>0</v>
      </c>
      <c r="S34" s="17">
        <f t="shared" si="7"/>
        <v>0</v>
      </c>
      <c r="T34" s="17">
        <f t="shared" si="7"/>
        <v>7.8740157480314821E-3</v>
      </c>
    </row>
    <row r="35" spans="2:20" x14ac:dyDescent="0.55000000000000004">
      <c r="B35" s="21" t="s">
        <v>55</v>
      </c>
      <c r="C35" s="8">
        <v>169953</v>
      </c>
      <c r="P35" s="9" t="s">
        <v>18</v>
      </c>
      <c r="Q35" s="17">
        <f t="shared" ref="Q35:Q41" si="8">IFERROR(Q8/T7-1,"")</f>
        <v>-3.125E-2</v>
      </c>
      <c r="R35" s="17">
        <f t="shared" si="7"/>
        <v>4.8387096774193505E-2</v>
      </c>
      <c r="S35" s="17">
        <f t="shared" si="7"/>
        <v>-3.8461538461538436E-2</v>
      </c>
      <c r="T35" s="17">
        <f t="shared" si="7"/>
        <v>1.0775999999999897E-2</v>
      </c>
    </row>
    <row r="36" spans="2:20" x14ac:dyDescent="0.55000000000000004">
      <c r="B36" s="21" t="s">
        <v>56</v>
      </c>
      <c r="P36" s="9" t="s">
        <v>20</v>
      </c>
      <c r="Q36" s="17">
        <f t="shared" si="8"/>
        <v>7.2522497566226418E-2</v>
      </c>
      <c r="R36" s="17">
        <f t="shared" si="7"/>
        <v>-1.8522618256955226E-2</v>
      </c>
      <c r="S36" s="17">
        <f t="shared" si="7"/>
        <v>4.5112781954887327E-2</v>
      </c>
      <c r="T36" s="17">
        <f t="shared" si="7"/>
        <v>1.0597122302158368E-2</v>
      </c>
    </row>
    <row r="37" spans="2:20" x14ac:dyDescent="0.55000000000000004">
      <c r="B37" s="21" t="s">
        <v>57</v>
      </c>
      <c r="P37" s="9" t="s">
        <v>22</v>
      </c>
      <c r="Q37" s="17">
        <f t="shared" si="8"/>
        <v>2.7343332882475702E-2</v>
      </c>
      <c r="R37" s="17">
        <f t="shared" si="7"/>
        <v>-3.1133500561276062E-2</v>
      </c>
      <c r="S37" s="17">
        <f t="shared" si="7"/>
        <v>-1.8738243897554741E-3</v>
      </c>
      <c r="T37" s="17">
        <f t="shared" si="7"/>
        <v>-2.5831368811757072E-2</v>
      </c>
    </row>
    <row r="38" spans="2:20" x14ac:dyDescent="0.55000000000000004">
      <c r="B38" s="21" t="s">
        <v>58</v>
      </c>
      <c r="P38" s="9" t="s">
        <v>24</v>
      </c>
      <c r="Q38" s="17">
        <f t="shared" si="8"/>
        <v>0.10508701472556892</v>
      </c>
      <c r="R38" s="17">
        <f t="shared" si="7"/>
        <v>2.3429024034717916E-3</v>
      </c>
      <c r="S38" s="17">
        <f t="shared" si="7"/>
        <v>-0.27306714123498432</v>
      </c>
      <c r="T38" s="17">
        <f t="shared" si="7"/>
        <v>0.40787057759589307</v>
      </c>
    </row>
    <row r="39" spans="2:20" x14ac:dyDescent="0.55000000000000004">
      <c r="P39" s="9" t="s">
        <v>26</v>
      </c>
      <c r="Q39" s="17">
        <f t="shared" si="8"/>
        <v>2.6933383510358677E-2</v>
      </c>
      <c r="R39" s="17">
        <f t="shared" si="7"/>
        <v>-1.7804791750909876E-2</v>
      </c>
      <c r="S39" s="17">
        <f t="shared" si="7"/>
        <v>8.1631865374967028E-3</v>
      </c>
      <c r="T39" s="17">
        <f t="shared" si="7"/>
        <v>9.4542600639344609E-2</v>
      </c>
    </row>
    <row r="40" spans="2:20" x14ac:dyDescent="0.55000000000000004">
      <c r="P40" s="9" t="s">
        <v>28</v>
      </c>
      <c r="Q40" s="17">
        <f t="shared" si="8"/>
        <v>6.208464498076216E-3</v>
      </c>
      <c r="R40" s="17">
        <f t="shared" si="7"/>
        <v>9.7853480490136535E-2</v>
      </c>
      <c r="S40" s="17">
        <f t="shared" si="7"/>
        <v>-0.15182458640069663</v>
      </c>
      <c r="T40" s="17">
        <f t="shared" si="7"/>
        <v>0.14313890185098765</v>
      </c>
    </row>
    <row r="41" spans="2:20" x14ac:dyDescent="0.55000000000000004">
      <c r="P41" s="9" t="s">
        <v>30</v>
      </c>
      <c r="Q41" s="17">
        <f t="shared" si="8"/>
        <v>-7.4990067000125227E-2</v>
      </c>
      <c r="R41" s="17"/>
      <c r="S41" s="17" t="str">
        <f t="shared" si="7"/>
        <v/>
      </c>
      <c r="T41" s="17" t="str">
        <f t="shared" si="7"/>
        <v/>
      </c>
    </row>
  </sheetData>
  <mergeCells count="4">
    <mergeCell ref="A1:AD1"/>
    <mergeCell ref="P18:T18"/>
    <mergeCell ref="V18:W18"/>
    <mergeCell ref="P32:T32"/>
  </mergeCells>
  <conditionalFormatting sqref="Q7:T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T2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{1A7652BD-DDF8-4CF7-B0D4-E5B0E4085C24}</x14:id>
        </ext>
      </extLst>
    </cfRule>
  </conditionalFormatting>
  <conditionalFormatting sqref="Q34:T4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{7CAFE738-96E7-4043-9C8D-F43784BCA079}</x14:id>
        </ext>
      </extLst>
    </cfRule>
  </conditionalFormatting>
  <conditionalFormatting sqref="W7:W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{8E278848-4DBB-4DFD-9BDF-3DE5418739E2}</x14:id>
        </ext>
      </extLst>
    </cfRule>
  </conditionalFormatting>
  <dataValidations disablePrompts="1" count="1">
    <dataValidation type="list" allowBlank="1" showInputMessage="1" showErrorMessage="1" sqref="X18" xr:uid="{38EB2C69-5500-49C5-919A-1FB111DCB7B2}">
      <formula1>$Q$6:$T$6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7652BD-DDF8-4CF7-B0D4-E5B0E4085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Q21:T27</xm:sqref>
        </x14:conditionalFormatting>
        <x14:conditionalFormatting xmlns:xm="http://schemas.microsoft.com/office/excel/2006/main">
          <x14:cfRule type="dataBar" id="{7CAFE738-96E7-4043-9C8D-F43784BCA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Q34:T41</xm:sqref>
        </x14:conditionalFormatting>
        <x14:conditionalFormatting xmlns:xm="http://schemas.microsoft.com/office/excel/2006/main">
          <x14:cfRule type="dataBar" id="{8E278848-4DBB-4DFD-9BDF-3DE541873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X8:X14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2140-121C-465C-AC55-4090A9C4D05E}">
  <sheetPr codeName="Sheet2"/>
  <dimension ref="A1"/>
  <sheetViews>
    <sheetView showGridLines="0" workbookViewId="0">
      <selection activeCell="E12" sqref="E12"/>
    </sheetView>
  </sheetViews>
  <sheetFormatPr defaultRowHeight="14.4" x14ac:dyDescent="0.55000000000000004"/>
  <cols>
    <col min="1" max="1" width="14.15625" bestFit="1" customWidth="1"/>
  </cols>
  <sheetData>
    <row r="1" spans="1:1" x14ac:dyDescent="0.55000000000000004">
      <c r="A1" s="71">
        <f ca="1">NOW()</f>
        <v>46310.758213310182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15a1d7-5b2b-4aec-b3c1-bed157ad3cff">
      <Terms xmlns="http://schemas.microsoft.com/office/infopath/2007/PartnerControls"/>
    </lcf76f155ced4ddcb4097134ff3c332f>
    <TaxCatchAll xmlns="3bb8a688-9fce-46e7-b438-b3767c5bce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D85F9F-E0B5-46B2-85B8-5AF50A46BFD7}"/>
</file>

<file path=customXml/itemProps2.xml><?xml version="1.0" encoding="utf-8"?>
<ds:datastoreItem xmlns:ds="http://schemas.openxmlformats.org/officeDocument/2006/customXml" ds:itemID="{61F76F8A-CEAA-48A0-AEA0-9856E045A503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c4b1f387-67e6-41bb-9209-e5d19657c4ac"/>
    <ds:schemaRef ds:uri="http://purl.org/dc/elements/1.1/"/>
    <ds:schemaRef ds:uri="47512aee-9d78-4d0f-a8e9-b9fe07c693bf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85D4CC0-4841-404E-BA4D-3CA512E57D4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Menu</vt:lpstr>
      <vt:lpstr>TOTAL</vt:lpstr>
      <vt:lpstr>Proportion</vt:lpstr>
      <vt:lpstr>ECA</vt:lpstr>
      <vt:lpstr>ECA (Larger History)</vt:lpstr>
      <vt:lpstr>History Maker</vt:lpstr>
      <vt:lpstr>ECA Estimates</vt:lpstr>
      <vt:lpstr>Total Scenario</vt:lpstr>
      <vt:lpstr>NCA</vt:lpstr>
      <vt:lpstr>CAA</vt:lpstr>
      <vt:lpstr>IVC</vt:lpstr>
      <vt:lpstr>BR</vt:lpstr>
      <vt:lpstr>ECA non german</vt:lpstr>
      <vt:lpstr>MCB</vt:lpstr>
      <vt:lpstr>CAA Grinding Estimates</vt:lpstr>
      <vt:lpstr>Malaysia</vt:lpstr>
      <vt:lpstr>CAA Non Malaysian Grind</vt:lpstr>
      <vt:lpstr>NCA Estimates</vt:lpstr>
      <vt:lpstr>ECA,NCA,CAA</vt:lpstr>
      <vt:lpstr>German</vt:lpstr>
      <vt:lpstr>GR</vt:lpstr>
      <vt:lpstr>IVC (2)</vt:lpstr>
      <vt:lpstr>timestamp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Virat Arya</dc:creator>
  <cp:keywords/>
  <dc:description/>
  <cp:lastModifiedBy>Virat Arya</cp:lastModifiedBy>
  <cp:revision/>
  <dcterms:created xsi:type="dcterms:W3CDTF">2023-10-20T07:28:54Z</dcterms:created>
  <dcterms:modified xsi:type="dcterms:W3CDTF">2026-10-15T16:11:49Z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{"port":50152,"version":"1.26.718"}</vt:lpwstr>
  </property>
</Properties>
</file>