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9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11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12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3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14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15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16.xml" ContentType="application/vnd.openxmlformats-officedocument.drawing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17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18.xml" ContentType="application/vnd.openxmlformats-officedocument.drawing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drawings/drawing19.xml" ContentType="application/vnd.openxmlformats-officedocument.drawing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drawings/drawing20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21.xml" ContentType="application/vnd.openxmlformats-officedocument.drawing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22.xml" ContentType="application/vnd.openxmlformats-officedocument.drawing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drawings/drawing23.xml" ContentType="application/vnd.openxmlformats-officedocument.drawing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Coffee Aggregated Tradeflows/Archives/"/>
    </mc:Choice>
  </mc:AlternateContent>
  <xr:revisionPtr revIDLastSave="12" documentId="8_{00FF110C-7D68-438D-BEA9-4A858DE8D9BF}" xr6:coauthVersionLast="47" xr6:coauthVersionMax="47" xr10:uidLastSave="{D8D735C5-5386-453E-884F-162CA331019D}"/>
  <bookViews>
    <workbookView xWindow="57480" yWindow="-120" windowWidth="29040" windowHeight="15720" xr2:uid="{00000000-000D-0000-FFFF-FFFF00000000}"/>
  </bookViews>
  <sheets>
    <sheet name="Menu" sheetId="1" r:id="rId1"/>
    <sheet name="Marex total" sheetId="24" r:id="rId2"/>
    <sheet name="Global derived" sheetId="23" r:id="rId3"/>
    <sheet name="Global TDM + Vietnam" sheetId="22" r:id="rId4"/>
    <sheet name="Total TDM" sheetId="21" r:id="rId5"/>
    <sheet name="Aggregated" sheetId="18" r:id="rId6"/>
    <sheet name="Agg (Peru Included)" sheetId="19" r:id="rId7"/>
    <sheet name="S4 Arabica" sheetId="13" r:id="rId8"/>
    <sheet name="S5 Arabica" sheetId="14" r:id="rId9"/>
    <sheet name="Non Brazil Arabica origin" sheetId="25" r:id="rId10"/>
    <sheet name="Brazil Arabica" sheetId="3" r:id="rId11"/>
    <sheet name="Colombia" sheetId="4" r:id="rId12"/>
    <sheet name="Honduras" sheetId="5" r:id="rId13"/>
    <sheet name="Ethiopia" sheetId="6" r:id="rId14"/>
    <sheet name="Peru" sheetId="7" r:id="rId15"/>
    <sheet name="S2 Robusta" sheetId="15" r:id="rId16"/>
    <sheet name="S5 Robusta" sheetId="16" r:id="rId17"/>
    <sheet name="Vietnam" sheetId="9" r:id="rId18"/>
    <sheet name="VTN to Terminals" sheetId="17" r:id="rId19"/>
    <sheet name="Brazil Robusta" sheetId="8" r:id="rId20"/>
    <sheet name="Indonesia" sheetId="10" r:id="rId21"/>
    <sheet name="Uganda" sheetId="11" r:id="rId22"/>
    <sheet name="India" sheetId="12" r:id="rId23"/>
    <sheet name="Brazil + Vietnam Coffee" sheetId="20" r:id="rId24"/>
  </sheets>
  <externalReferences>
    <externalReference r:id="rId2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8" l="1"/>
  <c r="L18" i="8"/>
  <c r="L18" i="20" s="1"/>
  <c r="M18" i="8"/>
  <c r="N18" i="8"/>
  <c r="L17" i="8"/>
  <c r="M17" i="8"/>
  <c r="N17" i="8"/>
  <c r="N17" i="16" s="1"/>
  <c r="M69" i="8"/>
  <c r="N18" i="3"/>
  <c r="M18" i="3"/>
  <c r="L18" i="3"/>
  <c r="K18" i="3"/>
  <c r="C110" i="20"/>
  <c r="C122" i="20" s="1"/>
  <c r="F98" i="20"/>
  <c r="C98" i="20"/>
  <c r="C97" i="20"/>
  <c r="F97" i="20" s="1"/>
  <c r="B97" i="20"/>
  <c r="E97" i="20" s="1"/>
  <c r="C96" i="20"/>
  <c r="F96" i="20" s="1"/>
  <c r="G96" i="20" s="1"/>
  <c r="H96" i="20" s="1"/>
  <c r="B96" i="20"/>
  <c r="E96" i="20" s="1"/>
  <c r="F95" i="20"/>
  <c r="G95" i="20" s="1"/>
  <c r="H95" i="20" s="1"/>
  <c r="C95" i="20"/>
  <c r="C107" i="20" s="1"/>
  <c r="B95" i="20"/>
  <c r="E95" i="20" s="1"/>
  <c r="C94" i="20"/>
  <c r="C106" i="20" s="1"/>
  <c r="B94" i="20"/>
  <c r="B106" i="20" s="1"/>
  <c r="C93" i="20"/>
  <c r="F93" i="20" s="1"/>
  <c r="B93" i="20"/>
  <c r="E93" i="20" s="1"/>
  <c r="C92" i="20"/>
  <c r="F92" i="20" s="1"/>
  <c r="G92" i="20" s="1"/>
  <c r="H92" i="20" s="1"/>
  <c r="B92" i="20"/>
  <c r="E92" i="20" s="1"/>
  <c r="F91" i="20"/>
  <c r="C91" i="20"/>
  <c r="C103" i="20" s="1"/>
  <c r="B91" i="20"/>
  <c r="E91" i="20" s="1"/>
  <c r="C90" i="20"/>
  <c r="C102" i="20" s="1"/>
  <c r="B90" i="20"/>
  <c r="B102" i="20" s="1"/>
  <c r="C89" i="20"/>
  <c r="F89" i="20" s="1"/>
  <c r="B89" i="20"/>
  <c r="E89" i="20" s="1"/>
  <c r="C88" i="20"/>
  <c r="F88" i="20" s="1"/>
  <c r="B88" i="20"/>
  <c r="E88" i="20" s="1"/>
  <c r="F87" i="20"/>
  <c r="C87" i="20"/>
  <c r="C99" i="20" s="1"/>
  <c r="B87" i="20"/>
  <c r="E87" i="20" s="1"/>
  <c r="F86" i="20"/>
  <c r="C86" i="20"/>
  <c r="B86" i="20"/>
  <c r="B98" i="20" s="1"/>
  <c r="F85" i="20"/>
  <c r="G85" i="20" s="1"/>
  <c r="H85" i="20" s="1"/>
  <c r="E85" i="20"/>
  <c r="N88" i="20"/>
  <c r="O86" i="20"/>
  <c r="P86" i="20" s="1"/>
  <c r="N86" i="20"/>
  <c r="N83" i="20"/>
  <c r="O83" i="20" s="1"/>
  <c r="P83" i="20" s="1"/>
  <c r="Q83" i="20" s="1"/>
  <c r="R83" i="20" s="1"/>
  <c r="S83" i="20" s="1"/>
  <c r="T83" i="20" s="1"/>
  <c r="U83" i="20" s="1"/>
  <c r="V83" i="20" s="1"/>
  <c r="W83" i="20" s="1"/>
  <c r="X83" i="20" s="1"/>
  <c r="N82" i="20"/>
  <c r="O82" i="20" s="1"/>
  <c r="P82" i="20" s="1"/>
  <c r="Q82" i="20" s="1"/>
  <c r="R82" i="20" s="1"/>
  <c r="S82" i="20" s="1"/>
  <c r="T82" i="20" s="1"/>
  <c r="U82" i="20" s="1"/>
  <c r="V82" i="20" s="1"/>
  <c r="W82" i="20" s="1"/>
  <c r="X82" i="20" s="1"/>
  <c r="Y82" i="20" s="1"/>
  <c r="N80" i="20"/>
  <c r="N79" i="20"/>
  <c r="O79" i="20" s="1"/>
  <c r="P79" i="20" s="1"/>
  <c r="Q79" i="20" s="1"/>
  <c r="R79" i="20" s="1"/>
  <c r="S79" i="20" s="1"/>
  <c r="T79" i="20" s="1"/>
  <c r="U79" i="20" s="1"/>
  <c r="V79" i="20" s="1"/>
  <c r="W79" i="20" s="1"/>
  <c r="X79" i="20" s="1"/>
  <c r="Y79" i="20" s="1"/>
  <c r="O78" i="20"/>
  <c r="P78" i="20" s="1"/>
  <c r="Q78" i="20" s="1"/>
  <c r="R78" i="20" s="1"/>
  <c r="S78" i="20" s="1"/>
  <c r="T78" i="20" s="1"/>
  <c r="U78" i="20" s="1"/>
  <c r="V78" i="20" s="1"/>
  <c r="W78" i="20" s="1"/>
  <c r="X78" i="20" s="1"/>
  <c r="Y78" i="20" s="1"/>
  <c r="N78" i="20"/>
  <c r="F84" i="20"/>
  <c r="G84" i="20" s="1"/>
  <c r="E84" i="20"/>
  <c r="F83" i="20"/>
  <c r="G83" i="20" s="1"/>
  <c r="E83" i="20"/>
  <c r="F82" i="20"/>
  <c r="G82" i="20" s="1"/>
  <c r="E82" i="20"/>
  <c r="F81" i="20"/>
  <c r="G81" i="20" s="1"/>
  <c r="E81" i="20"/>
  <c r="F80" i="20"/>
  <c r="G80" i="20" s="1"/>
  <c r="E80" i="20"/>
  <c r="F79" i="20"/>
  <c r="G79" i="20" s="1"/>
  <c r="E79" i="20"/>
  <c r="D79" i="20"/>
  <c r="F78" i="20"/>
  <c r="G78" i="20" s="1"/>
  <c r="E78" i="20"/>
  <c r="D78" i="20"/>
  <c r="F77" i="20"/>
  <c r="G77" i="20" s="1"/>
  <c r="E77" i="20"/>
  <c r="F76" i="20"/>
  <c r="G76" i="20" s="1"/>
  <c r="E76" i="20"/>
  <c r="F75" i="20"/>
  <c r="G75" i="20" s="1"/>
  <c r="E75" i="20"/>
  <c r="F74" i="20"/>
  <c r="G74" i="20" s="1"/>
  <c r="E74" i="20"/>
  <c r="H68" i="20"/>
  <c r="D66" i="20"/>
  <c r="C66" i="20"/>
  <c r="B66" i="20"/>
  <c r="A66" i="20"/>
  <c r="E56" i="20"/>
  <c r="Q27" i="20"/>
  <c r="P13" i="20"/>
  <c r="P11" i="20"/>
  <c r="P10" i="20"/>
  <c r="P8" i="20"/>
  <c r="E20" i="20"/>
  <c r="D20" i="20"/>
  <c r="C20" i="20"/>
  <c r="N19" i="20"/>
  <c r="M19" i="20"/>
  <c r="L19" i="20"/>
  <c r="K19" i="20"/>
  <c r="J19" i="20"/>
  <c r="I19" i="20"/>
  <c r="H19" i="20"/>
  <c r="G19" i="20"/>
  <c r="F19" i="20"/>
  <c r="E19" i="20"/>
  <c r="D19" i="20"/>
  <c r="O88" i="20" s="1"/>
  <c r="P88" i="20" s="1"/>
  <c r="Q88" i="20" s="1"/>
  <c r="R88" i="20" s="1"/>
  <c r="S88" i="20" s="1"/>
  <c r="T88" i="20" s="1"/>
  <c r="U88" i="20" s="1"/>
  <c r="V88" i="20" s="1"/>
  <c r="W88" i="20" s="1"/>
  <c r="X88" i="20" s="1"/>
  <c r="Y88" i="20" s="1"/>
  <c r="C19" i="20"/>
  <c r="N18" i="20"/>
  <c r="K18" i="20"/>
  <c r="F18" i="20"/>
  <c r="E18" i="20"/>
  <c r="D18" i="20"/>
  <c r="N17" i="20"/>
  <c r="M66" i="20" s="1"/>
  <c r="M17" i="20"/>
  <c r="L66" i="20" s="1"/>
  <c r="L17" i="20"/>
  <c r="K66" i="20" s="1"/>
  <c r="K17" i="20"/>
  <c r="J17" i="20"/>
  <c r="I17" i="20"/>
  <c r="H17" i="20"/>
  <c r="G17" i="20"/>
  <c r="F66" i="20" s="1"/>
  <c r="F17" i="20"/>
  <c r="E66" i="20" s="1"/>
  <c r="E17" i="20"/>
  <c r="D17" i="20"/>
  <c r="C17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N85" i="20" s="1"/>
  <c r="O85" i="20" s="1"/>
  <c r="P85" i="20" s="1"/>
  <c r="Q85" i="20" s="1"/>
  <c r="R85" i="20" s="1"/>
  <c r="S85" i="20" s="1"/>
  <c r="T85" i="20" s="1"/>
  <c r="U85" i="20" s="1"/>
  <c r="V85" i="20" s="1"/>
  <c r="W85" i="20" s="1"/>
  <c r="X85" i="20" s="1"/>
  <c r="Y85" i="20" s="1"/>
  <c r="N15" i="20"/>
  <c r="M15" i="20"/>
  <c r="L15" i="20"/>
  <c r="K15" i="20"/>
  <c r="J15" i="20"/>
  <c r="I15" i="20"/>
  <c r="H15" i="20"/>
  <c r="G15" i="20"/>
  <c r="F15" i="20"/>
  <c r="E15" i="20"/>
  <c r="D15" i="20"/>
  <c r="C15" i="20"/>
  <c r="N14" i="20"/>
  <c r="M14" i="20"/>
  <c r="L14" i="20"/>
  <c r="K69" i="20" s="1"/>
  <c r="K14" i="20"/>
  <c r="J69" i="20" s="1"/>
  <c r="J14" i="20"/>
  <c r="I69" i="20" s="1"/>
  <c r="I14" i="20"/>
  <c r="H14" i="20"/>
  <c r="G14" i="20"/>
  <c r="F14" i="20"/>
  <c r="E14" i="20"/>
  <c r="D14" i="20"/>
  <c r="C14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N12" i="20"/>
  <c r="M12" i="20"/>
  <c r="L12" i="20"/>
  <c r="K12" i="20"/>
  <c r="J12" i="20"/>
  <c r="I12" i="20"/>
  <c r="H12" i="20"/>
  <c r="G69" i="20" s="1"/>
  <c r="G12" i="20"/>
  <c r="F69" i="20" s="1"/>
  <c r="F12" i="20"/>
  <c r="E69" i="20" s="1"/>
  <c r="E12" i="20"/>
  <c r="D69" i="20" s="1"/>
  <c r="D12" i="20"/>
  <c r="C69" i="20" s="1"/>
  <c r="C12" i="20"/>
  <c r="N81" i="20" s="1"/>
  <c r="N11" i="20"/>
  <c r="M68" i="20" s="1"/>
  <c r="M11" i="20"/>
  <c r="L68" i="20" s="1"/>
  <c r="L11" i="20"/>
  <c r="K11" i="20"/>
  <c r="J11" i="20"/>
  <c r="I11" i="20"/>
  <c r="H11" i="20"/>
  <c r="G11" i="20"/>
  <c r="F11" i="20"/>
  <c r="E11" i="20"/>
  <c r="D11" i="20"/>
  <c r="O80" i="20" s="1"/>
  <c r="P80" i="20" s="1"/>
  <c r="Q80" i="20" s="1"/>
  <c r="R80" i="20" s="1"/>
  <c r="S80" i="20" s="1"/>
  <c r="T80" i="20" s="1"/>
  <c r="U80" i="20" s="1"/>
  <c r="V80" i="20" s="1"/>
  <c r="W80" i="20" s="1"/>
  <c r="X80" i="20" s="1"/>
  <c r="Y80" i="20" s="1"/>
  <c r="C11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N9" i="20"/>
  <c r="M9" i="20"/>
  <c r="L9" i="20"/>
  <c r="K9" i="20"/>
  <c r="J68" i="20" s="1"/>
  <c r="J9" i="20"/>
  <c r="I68" i="20" s="1"/>
  <c r="I9" i="20"/>
  <c r="H9" i="20"/>
  <c r="G9" i="20"/>
  <c r="F9" i="20"/>
  <c r="P9" i="20" s="1"/>
  <c r="Q9" i="20" s="1"/>
  <c r="E9" i="20"/>
  <c r="D9" i="20"/>
  <c r="C9" i="20"/>
  <c r="N8" i="20"/>
  <c r="M8" i="20"/>
  <c r="L8" i="20"/>
  <c r="K8" i="20"/>
  <c r="J8" i="20"/>
  <c r="I8" i="20"/>
  <c r="H8" i="20"/>
  <c r="G8" i="20"/>
  <c r="F8" i="20"/>
  <c r="E8" i="20"/>
  <c r="D8" i="20"/>
  <c r="C8" i="20"/>
  <c r="N77" i="20" s="1"/>
  <c r="O77" i="20" s="1"/>
  <c r="P77" i="20" s="1"/>
  <c r="Q77" i="20" s="1"/>
  <c r="R77" i="20" s="1"/>
  <c r="S77" i="20" s="1"/>
  <c r="T77" i="20" s="1"/>
  <c r="U77" i="20" s="1"/>
  <c r="V77" i="20" s="1"/>
  <c r="W77" i="20" s="1"/>
  <c r="X77" i="20" s="1"/>
  <c r="Y77" i="20" s="1"/>
  <c r="N7" i="20"/>
  <c r="D85" i="20" s="1"/>
  <c r="M7" i="20"/>
  <c r="D84" i="20" s="1"/>
  <c r="L7" i="20"/>
  <c r="K67" i="20" s="1"/>
  <c r="K7" i="20"/>
  <c r="J7" i="20"/>
  <c r="I7" i="20"/>
  <c r="H7" i="20"/>
  <c r="G68" i="20" s="1"/>
  <c r="G7" i="20"/>
  <c r="F7" i="20"/>
  <c r="D77" i="20" s="1"/>
  <c r="E7" i="20"/>
  <c r="D68" i="20" s="1"/>
  <c r="D7" i="20"/>
  <c r="C68" i="20" s="1"/>
  <c r="C7" i="20"/>
  <c r="P7" i="20" s="1"/>
  <c r="C5" i="20"/>
  <c r="C115" i="12"/>
  <c r="C127" i="12" s="1"/>
  <c r="B107" i="12"/>
  <c r="B119" i="12" s="1"/>
  <c r="C103" i="12"/>
  <c r="F103" i="12" s="1"/>
  <c r="B103" i="12"/>
  <c r="B115" i="12" s="1"/>
  <c r="C102" i="12"/>
  <c r="F102" i="12" s="1"/>
  <c r="G102" i="12" s="1"/>
  <c r="H102" i="12" s="1"/>
  <c r="B102" i="12"/>
  <c r="E102" i="12" s="1"/>
  <c r="C98" i="12"/>
  <c r="C110" i="12" s="1"/>
  <c r="B98" i="12"/>
  <c r="B110" i="12" s="1"/>
  <c r="C97" i="12"/>
  <c r="F97" i="12" s="1"/>
  <c r="G97" i="12" s="1"/>
  <c r="H97" i="12" s="1"/>
  <c r="B97" i="12"/>
  <c r="E97" i="12" s="1"/>
  <c r="F96" i="12"/>
  <c r="G96" i="12" s="1"/>
  <c r="H96" i="12" s="1"/>
  <c r="C96" i="12"/>
  <c r="C108" i="12" s="1"/>
  <c r="B96" i="12"/>
  <c r="E96" i="12" s="1"/>
  <c r="F95" i="12"/>
  <c r="C95" i="12"/>
  <c r="C107" i="12" s="1"/>
  <c r="B95" i="12"/>
  <c r="E95" i="12" s="1"/>
  <c r="C94" i="12"/>
  <c r="F94" i="12" s="1"/>
  <c r="B94" i="12"/>
  <c r="D94" i="12" s="1"/>
  <c r="C93" i="12"/>
  <c r="F93" i="12" s="1"/>
  <c r="G93" i="12" s="1"/>
  <c r="H93" i="12" s="1"/>
  <c r="B93" i="12"/>
  <c r="E93" i="12" s="1"/>
  <c r="F92" i="12"/>
  <c r="G92" i="12" s="1"/>
  <c r="H92" i="12" s="1"/>
  <c r="C92" i="12"/>
  <c r="C104" i="12" s="1"/>
  <c r="B92" i="12"/>
  <c r="E92" i="12" s="1"/>
  <c r="E91" i="12"/>
  <c r="C91" i="12"/>
  <c r="F91" i="12" s="1"/>
  <c r="G91" i="12" s="1"/>
  <c r="H91" i="12" s="1"/>
  <c r="B91" i="12"/>
  <c r="E90" i="12"/>
  <c r="C90" i="12"/>
  <c r="F90" i="12" s="1"/>
  <c r="G90" i="12" s="1"/>
  <c r="H90" i="12" s="1"/>
  <c r="B90" i="12"/>
  <c r="D90" i="12" s="1"/>
  <c r="C89" i="12"/>
  <c r="F89" i="12" s="1"/>
  <c r="B89" i="12"/>
  <c r="E89" i="12" s="1"/>
  <c r="F88" i="12"/>
  <c r="C88" i="12"/>
  <c r="C100" i="12" s="1"/>
  <c r="B88" i="12"/>
  <c r="E88" i="12" s="1"/>
  <c r="C87" i="12"/>
  <c r="C99" i="12" s="1"/>
  <c r="B87" i="12"/>
  <c r="B99" i="12" s="1"/>
  <c r="I86" i="12"/>
  <c r="F86" i="12"/>
  <c r="G86" i="12" s="1"/>
  <c r="H86" i="12" s="1"/>
  <c r="E86" i="12"/>
  <c r="D86" i="12"/>
  <c r="C86" i="12"/>
  <c r="B86" i="12"/>
  <c r="F85" i="12"/>
  <c r="G85" i="12" s="1"/>
  <c r="H85" i="12" s="1"/>
  <c r="E85" i="12"/>
  <c r="D85" i="12"/>
  <c r="O87" i="12"/>
  <c r="P87" i="12" s="1"/>
  <c r="Q87" i="12" s="1"/>
  <c r="R87" i="12" s="1"/>
  <c r="S87" i="12" s="1"/>
  <c r="T87" i="12" s="1"/>
  <c r="U87" i="12" s="1"/>
  <c r="V87" i="12" s="1"/>
  <c r="W87" i="12" s="1"/>
  <c r="X87" i="12" s="1"/>
  <c r="Y87" i="12" s="1"/>
  <c r="N87" i="12"/>
  <c r="N86" i="12"/>
  <c r="O86" i="12" s="1"/>
  <c r="P86" i="12" s="1"/>
  <c r="Q86" i="12" s="1"/>
  <c r="R86" i="12" s="1"/>
  <c r="N85" i="12"/>
  <c r="O85" i="12" s="1"/>
  <c r="P85" i="12" s="1"/>
  <c r="Q85" i="12" s="1"/>
  <c r="R85" i="12" s="1"/>
  <c r="S85" i="12" s="1"/>
  <c r="T85" i="12" s="1"/>
  <c r="U85" i="12" s="1"/>
  <c r="V85" i="12" s="1"/>
  <c r="W85" i="12" s="1"/>
  <c r="X85" i="12" s="1"/>
  <c r="Y85" i="12" s="1"/>
  <c r="Q84" i="12"/>
  <c r="R84" i="12" s="1"/>
  <c r="S84" i="12" s="1"/>
  <c r="T84" i="12" s="1"/>
  <c r="U84" i="12" s="1"/>
  <c r="V84" i="12" s="1"/>
  <c r="W84" i="12" s="1"/>
  <c r="X84" i="12" s="1"/>
  <c r="Y84" i="12" s="1"/>
  <c r="P84" i="12"/>
  <c r="N84" i="12"/>
  <c r="O84" i="12" s="1"/>
  <c r="O83" i="12"/>
  <c r="P83" i="12" s="1"/>
  <c r="Q83" i="12" s="1"/>
  <c r="R83" i="12" s="1"/>
  <c r="S83" i="12" s="1"/>
  <c r="T83" i="12" s="1"/>
  <c r="U83" i="12" s="1"/>
  <c r="V83" i="12" s="1"/>
  <c r="W83" i="12" s="1"/>
  <c r="X83" i="12" s="1"/>
  <c r="Y83" i="12" s="1"/>
  <c r="N83" i="12"/>
  <c r="N82" i="12"/>
  <c r="O82" i="12" s="1"/>
  <c r="P82" i="12" s="1"/>
  <c r="Q82" i="12" s="1"/>
  <c r="R82" i="12" s="1"/>
  <c r="S82" i="12" s="1"/>
  <c r="T82" i="12" s="1"/>
  <c r="U82" i="12" s="1"/>
  <c r="V82" i="12" s="1"/>
  <c r="W82" i="12" s="1"/>
  <c r="X82" i="12" s="1"/>
  <c r="Y82" i="12" s="1"/>
  <c r="U81" i="12"/>
  <c r="V81" i="12" s="1"/>
  <c r="W81" i="12" s="1"/>
  <c r="X81" i="12" s="1"/>
  <c r="Y81" i="12" s="1"/>
  <c r="T81" i="12"/>
  <c r="P81" i="12"/>
  <c r="Q81" i="12" s="1"/>
  <c r="R81" i="12" s="1"/>
  <c r="S81" i="12" s="1"/>
  <c r="O81" i="12"/>
  <c r="N81" i="12"/>
  <c r="O80" i="12"/>
  <c r="P80" i="12" s="1"/>
  <c r="Q80" i="12" s="1"/>
  <c r="R80" i="12" s="1"/>
  <c r="S80" i="12" s="1"/>
  <c r="T80" i="12" s="1"/>
  <c r="U80" i="12" s="1"/>
  <c r="V80" i="12" s="1"/>
  <c r="W80" i="12" s="1"/>
  <c r="X80" i="12" s="1"/>
  <c r="Y80" i="12" s="1"/>
  <c r="N80" i="12"/>
  <c r="O79" i="12"/>
  <c r="P79" i="12" s="1"/>
  <c r="Q79" i="12" s="1"/>
  <c r="R79" i="12" s="1"/>
  <c r="S79" i="12" s="1"/>
  <c r="T79" i="12" s="1"/>
  <c r="U79" i="12" s="1"/>
  <c r="V79" i="12" s="1"/>
  <c r="W79" i="12" s="1"/>
  <c r="X79" i="12" s="1"/>
  <c r="Y79" i="12" s="1"/>
  <c r="N79" i="12"/>
  <c r="X78" i="12"/>
  <c r="Y78" i="12" s="1"/>
  <c r="N78" i="12"/>
  <c r="O78" i="12" s="1"/>
  <c r="P78" i="12" s="1"/>
  <c r="Q78" i="12" s="1"/>
  <c r="R78" i="12" s="1"/>
  <c r="S78" i="12" s="1"/>
  <c r="T78" i="12" s="1"/>
  <c r="U78" i="12" s="1"/>
  <c r="V78" i="12" s="1"/>
  <c r="W78" i="12" s="1"/>
  <c r="N77" i="12"/>
  <c r="O77" i="12" s="1"/>
  <c r="P77" i="12" s="1"/>
  <c r="Q77" i="12" s="1"/>
  <c r="R77" i="12" s="1"/>
  <c r="S77" i="12" s="1"/>
  <c r="T77" i="12" s="1"/>
  <c r="U77" i="12" s="1"/>
  <c r="V77" i="12" s="1"/>
  <c r="W77" i="12" s="1"/>
  <c r="X77" i="12" s="1"/>
  <c r="Y77" i="12" s="1"/>
  <c r="Q76" i="12"/>
  <c r="R76" i="12" s="1"/>
  <c r="S76" i="12" s="1"/>
  <c r="T76" i="12" s="1"/>
  <c r="U76" i="12" s="1"/>
  <c r="V76" i="12" s="1"/>
  <c r="W76" i="12" s="1"/>
  <c r="X76" i="12" s="1"/>
  <c r="Y76" i="12" s="1"/>
  <c r="P76" i="12"/>
  <c r="N76" i="12"/>
  <c r="O76" i="12" s="1"/>
  <c r="F84" i="12"/>
  <c r="G84" i="12" s="1"/>
  <c r="E84" i="12"/>
  <c r="D84" i="12"/>
  <c r="F83" i="12"/>
  <c r="G83" i="12" s="1"/>
  <c r="E83" i="12"/>
  <c r="D83" i="12"/>
  <c r="F82" i="12"/>
  <c r="G82" i="12" s="1"/>
  <c r="E82" i="12"/>
  <c r="D82" i="12"/>
  <c r="F81" i="12"/>
  <c r="G81" i="12" s="1"/>
  <c r="E81" i="12"/>
  <c r="D81" i="12"/>
  <c r="F80" i="12"/>
  <c r="E80" i="12"/>
  <c r="D80" i="12"/>
  <c r="F79" i="12"/>
  <c r="G79" i="12" s="1"/>
  <c r="E79" i="12"/>
  <c r="D79" i="12"/>
  <c r="F78" i="12"/>
  <c r="G78" i="12" s="1"/>
  <c r="E78" i="12"/>
  <c r="D78" i="12"/>
  <c r="F77" i="12"/>
  <c r="G77" i="12" s="1"/>
  <c r="E77" i="12"/>
  <c r="D77" i="12"/>
  <c r="F76" i="12"/>
  <c r="G76" i="12" s="1"/>
  <c r="E76" i="12"/>
  <c r="D76" i="12"/>
  <c r="F75" i="12"/>
  <c r="G75" i="12" s="1"/>
  <c r="E75" i="12"/>
  <c r="D75" i="12"/>
  <c r="F74" i="12"/>
  <c r="G74" i="12" s="1"/>
  <c r="E74" i="12"/>
  <c r="D74" i="12"/>
  <c r="I85" i="12" s="1"/>
  <c r="M69" i="12"/>
  <c r="L69" i="12"/>
  <c r="K69" i="12"/>
  <c r="J69" i="12"/>
  <c r="I69" i="12"/>
  <c r="H69" i="12"/>
  <c r="G69" i="12"/>
  <c r="F69" i="12"/>
  <c r="E69" i="12"/>
  <c r="D69" i="12"/>
  <c r="C69" i="12"/>
  <c r="B69" i="12"/>
  <c r="M68" i="12"/>
  <c r="L68" i="12"/>
  <c r="K68" i="12"/>
  <c r="J68" i="12"/>
  <c r="I68" i="12"/>
  <c r="H68" i="12"/>
  <c r="F68" i="12"/>
  <c r="E68" i="12"/>
  <c r="D68" i="12"/>
  <c r="C68" i="12"/>
  <c r="B68" i="12"/>
  <c r="M67" i="12"/>
  <c r="L67" i="12"/>
  <c r="K67" i="12"/>
  <c r="J67" i="12"/>
  <c r="I67" i="12"/>
  <c r="H67" i="12"/>
  <c r="F67" i="12"/>
  <c r="E67" i="12"/>
  <c r="D67" i="12"/>
  <c r="C67" i="12"/>
  <c r="B67" i="12"/>
  <c r="M66" i="12"/>
  <c r="L66" i="12"/>
  <c r="K66" i="12"/>
  <c r="J66" i="12"/>
  <c r="I66" i="12"/>
  <c r="H66" i="12"/>
  <c r="G66" i="12"/>
  <c r="F66" i="12"/>
  <c r="E66" i="12"/>
  <c r="D66" i="12"/>
  <c r="C66" i="12"/>
  <c r="B66" i="12"/>
  <c r="A66" i="12"/>
  <c r="E56" i="12"/>
  <c r="Q27" i="12"/>
  <c r="P18" i="12"/>
  <c r="P16" i="12"/>
  <c r="P15" i="12"/>
  <c r="P14" i="12"/>
  <c r="P13" i="12"/>
  <c r="Q13" i="12" s="1"/>
  <c r="P12" i="12"/>
  <c r="P11" i="12"/>
  <c r="Q11" i="12" s="1"/>
  <c r="P10" i="12"/>
  <c r="Q10" i="12" s="1"/>
  <c r="P9" i="12"/>
  <c r="P8" i="12"/>
  <c r="Q8" i="12" s="1"/>
  <c r="P7" i="12"/>
  <c r="N20" i="12"/>
  <c r="K20" i="12"/>
  <c r="J20" i="12"/>
  <c r="G20" i="12"/>
  <c r="F20" i="12"/>
  <c r="E20" i="12"/>
  <c r="D20" i="12"/>
  <c r="C20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N18" i="12"/>
  <c r="M18" i="12"/>
  <c r="M20" i="12" s="1"/>
  <c r="L18" i="12"/>
  <c r="L20" i="12" s="1"/>
  <c r="K18" i="12"/>
  <c r="J18" i="12"/>
  <c r="I18" i="12"/>
  <c r="C56" i="12" s="1"/>
  <c r="H18" i="12"/>
  <c r="H17" i="12"/>
  <c r="S6" i="12"/>
  <c r="K27" i="12" s="1"/>
  <c r="C5" i="12"/>
  <c r="C130" i="11"/>
  <c r="C142" i="11" s="1"/>
  <c r="B130" i="11"/>
  <c r="D130" i="11" s="1"/>
  <c r="C118" i="11"/>
  <c r="F118" i="11" s="1"/>
  <c r="B118" i="11"/>
  <c r="D118" i="11" s="1"/>
  <c r="C106" i="11"/>
  <c r="F106" i="11" s="1"/>
  <c r="B106" i="11"/>
  <c r="D106" i="11" s="1"/>
  <c r="C103" i="11"/>
  <c r="C115" i="11" s="1"/>
  <c r="B103" i="11"/>
  <c r="C98" i="11"/>
  <c r="F98" i="11" s="1"/>
  <c r="B98" i="11"/>
  <c r="E98" i="11" s="1"/>
  <c r="E97" i="11"/>
  <c r="C97" i="11"/>
  <c r="F97" i="11" s="1"/>
  <c r="G97" i="11" s="1"/>
  <c r="H97" i="11" s="1"/>
  <c r="B97" i="11"/>
  <c r="B109" i="11" s="1"/>
  <c r="F96" i="11"/>
  <c r="G96" i="11" s="1"/>
  <c r="H96" i="11" s="1"/>
  <c r="E96" i="11"/>
  <c r="D96" i="11"/>
  <c r="C96" i="11"/>
  <c r="C108" i="11" s="1"/>
  <c r="B96" i="11"/>
  <c r="B108" i="11" s="1"/>
  <c r="C95" i="11"/>
  <c r="F95" i="11" s="1"/>
  <c r="B95" i="11"/>
  <c r="B107" i="11" s="1"/>
  <c r="F94" i="11"/>
  <c r="G94" i="11" s="1"/>
  <c r="H94" i="11" s="1"/>
  <c r="E94" i="11"/>
  <c r="D94" i="11"/>
  <c r="C94" i="11"/>
  <c r="B94" i="11"/>
  <c r="E93" i="11"/>
  <c r="C93" i="11"/>
  <c r="F93" i="11" s="1"/>
  <c r="G93" i="11" s="1"/>
  <c r="H93" i="11" s="1"/>
  <c r="B93" i="11"/>
  <c r="B105" i="11" s="1"/>
  <c r="F92" i="11"/>
  <c r="E92" i="11"/>
  <c r="G92" i="11" s="1"/>
  <c r="H92" i="11" s="1"/>
  <c r="D92" i="11"/>
  <c r="C92" i="11"/>
  <c r="C104" i="11" s="1"/>
  <c r="B92" i="11"/>
  <c r="B104" i="11" s="1"/>
  <c r="C91" i="11"/>
  <c r="F91" i="11" s="1"/>
  <c r="B91" i="11"/>
  <c r="F90" i="11"/>
  <c r="C90" i="11"/>
  <c r="C102" i="11" s="1"/>
  <c r="B90" i="11"/>
  <c r="B102" i="11" s="1"/>
  <c r="E89" i="11"/>
  <c r="C89" i="11"/>
  <c r="F89" i="11" s="1"/>
  <c r="G89" i="11" s="1"/>
  <c r="H89" i="11" s="1"/>
  <c r="B89" i="11"/>
  <c r="B101" i="11" s="1"/>
  <c r="F88" i="11"/>
  <c r="E88" i="11"/>
  <c r="G88" i="11" s="1"/>
  <c r="H88" i="11" s="1"/>
  <c r="D88" i="11"/>
  <c r="C88" i="11"/>
  <c r="C100" i="11" s="1"/>
  <c r="B88" i="11"/>
  <c r="B100" i="11" s="1"/>
  <c r="C87" i="11"/>
  <c r="C99" i="11" s="1"/>
  <c r="B87" i="11"/>
  <c r="D86" i="11"/>
  <c r="C86" i="11"/>
  <c r="F86" i="11" s="1"/>
  <c r="B86" i="11"/>
  <c r="E86" i="11" s="1"/>
  <c r="F85" i="11"/>
  <c r="G85" i="11" s="1"/>
  <c r="H85" i="11" s="1"/>
  <c r="E85" i="11"/>
  <c r="D85" i="11"/>
  <c r="O87" i="11"/>
  <c r="P87" i="11" s="1"/>
  <c r="Q87" i="11" s="1"/>
  <c r="R87" i="11" s="1"/>
  <c r="S87" i="11" s="1"/>
  <c r="T87" i="11" s="1"/>
  <c r="U87" i="11" s="1"/>
  <c r="V87" i="11" s="1"/>
  <c r="W87" i="11" s="1"/>
  <c r="X87" i="11" s="1"/>
  <c r="Y87" i="11" s="1"/>
  <c r="N87" i="11"/>
  <c r="X86" i="11"/>
  <c r="Y86" i="11" s="1"/>
  <c r="N86" i="11"/>
  <c r="O86" i="11" s="1"/>
  <c r="P86" i="11" s="1"/>
  <c r="Q86" i="11" s="1"/>
  <c r="R86" i="11" s="1"/>
  <c r="S86" i="11" s="1"/>
  <c r="T86" i="11" s="1"/>
  <c r="U86" i="11" s="1"/>
  <c r="V86" i="11" s="1"/>
  <c r="W86" i="11" s="1"/>
  <c r="P85" i="11"/>
  <c r="Q85" i="11" s="1"/>
  <c r="R85" i="11" s="1"/>
  <c r="S85" i="11" s="1"/>
  <c r="T85" i="11" s="1"/>
  <c r="U85" i="11" s="1"/>
  <c r="V85" i="11" s="1"/>
  <c r="W85" i="11" s="1"/>
  <c r="X85" i="11" s="1"/>
  <c r="Y85" i="11" s="1"/>
  <c r="N85" i="11"/>
  <c r="O85" i="11" s="1"/>
  <c r="P84" i="11"/>
  <c r="Q84" i="11" s="1"/>
  <c r="R84" i="11" s="1"/>
  <c r="S84" i="11" s="1"/>
  <c r="T84" i="11" s="1"/>
  <c r="U84" i="11" s="1"/>
  <c r="V84" i="11" s="1"/>
  <c r="W84" i="11" s="1"/>
  <c r="X84" i="11" s="1"/>
  <c r="Y84" i="11" s="1"/>
  <c r="O84" i="11"/>
  <c r="N84" i="11"/>
  <c r="O83" i="11"/>
  <c r="P83" i="11" s="1"/>
  <c r="Q83" i="11" s="1"/>
  <c r="R83" i="11" s="1"/>
  <c r="S83" i="11" s="1"/>
  <c r="T83" i="11" s="1"/>
  <c r="U83" i="11" s="1"/>
  <c r="V83" i="11" s="1"/>
  <c r="W83" i="11" s="1"/>
  <c r="X83" i="11" s="1"/>
  <c r="Y83" i="11" s="1"/>
  <c r="N83" i="11"/>
  <c r="N82" i="11"/>
  <c r="O82" i="11" s="1"/>
  <c r="P82" i="11" s="1"/>
  <c r="Q82" i="11" s="1"/>
  <c r="R82" i="11" s="1"/>
  <c r="S82" i="11" s="1"/>
  <c r="T82" i="11" s="1"/>
  <c r="U82" i="11" s="1"/>
  <c r="V82" i="11" s="1"/>
  <c r="W82" i="11" s="1"/>
  <c r="X82" i="11" s="1"/>
  <c r="Y82" i="11" s="1"/>
  <c r="O81" i="11"/>
  <c r="P81" i="11" s="1"/>
  <c r="Q81" i="11" s="1"/>
  <c r="R81" i="11" s="1"/>
  <c r="S81" i="11" s="1"/>
  <c r="T81" i="11" s="1"/>
  <c r="U81" i="11" s="1"/>
  <c r="V81" i="11" s="1"/>
  <c r="W81" i="11" s="1"/>
  <c r="X81" i="11" s="1"/>
  <c r="Y81" i="11" s="1"/>
  <c r="N81" i="11"/>
  <c r="N80" i="11"/>
  <c r="O80" i="11" s="1"/>
  <c r="P80" i="11" s="1"/>
  <c r="Q80" i="11" s="1"/>
  <c r="R80" i="11" s="1"/>
  <c r="S80" i="11" s="1"/>
  <c r="T80" i="11" s="1"/>
  <c r="U80" i="11" s="1"/>
  <c r="V80" i="11" s="1"/>
  <c r="W80" i="11" s="1"/>
  <c r="X80" i="11" s="1"/>
  <c r="Y80" i="11" s="1"/>
  <c r="N79" i="11"/>
  <c r="O79" i="11" s="1"/>
  <c r="P79" i="11" s="1"/>
  <c r="Q79" i="11" s="1"/>
  <c r="R79" i="11" s="1"/>
  <c r="S79" i="11" s="1"/>
  <c r="T79" i="11" s="1"/>
  <c r="U79" i="11" s="1"/>
  <c r="V79" i="11" s="1"/>
  <c r="W79" i="11" s="1"/>
  <c r="X79" i="11" s="1"/>
  <c r="Y79" i="11" s="1"/>
  <c r="N78" i="11"/>
  <c r="O78" i="11" s="1"/>
  <c r="P78" i="11" s="1"/>
  <c r="Q78" i="11" s="1"/>
  <c r="R78" i="11" s="1"/>
  <c r="S78" i="11" s="1"/>
  <c r="T78" i="11" s="1"/>
  <c r="U78" i="11" s="1"/>
  <c r="V78" i="11" s="1"/>
  <c r="W78" i="11" s="1"/>
  <c r="X78" i="11" s="1"/>
  <c r="Y78" i="11" s="1"/>
  <c r="N77" i="11"/>
  <c r="O77" i="11" s="1"/>
  <c r="P77" i="11" s="1"/>
  <c r="Q77" i="11" s="1"/>
  <c r="R77" i="11" s="1"/>
  <c r="S77" i="11" s="1"/>
  <c r="T77" i="11" s="1"/>
  <c r="U77" i="11" s="1"/>
  <c r="V77" i="11" s="1"/>
  <c r="W77" i="11" s="1"/>
  <c r="X77" i="11" s="1"/>
  <c r="Y77" i="11" s="1"/>
  <c r="S76" i="11"/>
  <c r="T76" i="11" s="1"/>
  <c r="U76" i="11" s="1"/>
  <c r="V76" i="11" s="1"/>
  <c r="W76" i="11" s="1"/>
  <c r="X76" i="11" s="1"/>
  <c r="Y76" i="11" s="1"/>
  <c r="R76" i="11"/>
  <c r="Q76" i="11"/>
  <c r="P76" i="11"/>
  <c r="O76" i="11"/>
  <c r="N76" i="11"/>
  <c r="F84" i="11"/>
  <c r="G84" i="11" s="1"/>
  <c r="E84" i="11"/>
  <c r="D84" i="11"/>
  <c r="G83" i="11"/>
  <c r="F83" i="11"/>
  <c r="E83" i="11"/>
  <c r="D83" i="11"/>
  <c r="F82" i="11"/>
  <c r="G82" i="11" s="1"/>
  <c r="E82" i="11"/>
  <c r="D82" i="11"/>
  <c r="G81" i="11"/>
  <c r="F81" i="11"/>
  <c r="E81" i="11"/>
  <c r="D81" i="11"/>
  <c r="F80" i="11"/>
  <c r="G80" i="11" s="1"/>
  <c r="E80" i="11"/>
  <c r="D80" i="11"/>
  <c r="F79" i="11"/>
  <c r="G79" i="11" s="1"/>
  <c r="E79" i="11"/>
  <c r="D79" i="11"/>
  <c r="G78" i="11"/>
  <c r="F78" i="11"/>
  <c r="E78" i="11"/>
  <c r="D78" i="11"/>
  <c r="G77" i="11"/>
  <c r="F77" i="11"/>
  <c r="E77" i="11"/>
  <c r="D77" i="11"/>
  <c r="F76" i="11"/>
  <c r="G76" i="11" s="1"/>
  <c r="E76" i="11"/>
  <c r="D76" i="11"/>
  <c r="G75" i="11"/>
  <c r="F75" i="11"/>
  <c r="E75" i="11"/>
  <c r="D75" i="11"/>
  <c r="I86" i="11" s="1"/>
  <c r="F74" i="11"/>
  <c r="G74" i="11" s="1"/>
  <c r="E74" i="11"/>
  <c r="D74" i="11"/>
  <c r="I85" i="11" s="1"/>
  <c r="M69" i="11"/>
  <c r="L69" i="11"/>
  <c r="K69" i="11"/>
  <c r="J69" i="11"/>
  <c r="I69" i="11"/>
  <c r="H69" i="11"/>
  <c r="G69" i="11"/>
  <c r="F69" i="11"/>
  <c r="E69" i="11"/>
  <c r="D69" i="11"/>
  <c r="C69" i="11"/>
  <c r="B69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E56" i="11"/>
  <c r="Q27" i="11"/>
  <c r="P18" i="11"/>
  <c r="P17" i="11"/>
  <c r="P16" i="11"/>
  <c r="P15" i="11"/>
  <c r="P14" i="11"/>
  <c r="Q14" i="11" s="1"/>
  <c r="P13" i="11"/>
  <c r="P12" i="11"/>
  <c r="Q13" i="11" s="1"/>
  <c r="P11" i="11"/>
  <c r="P10" i="11"/>
  <c r="P9" i="11"/>
  <c r="Q9" i="11" s="1"/>
  <c r="P8" i="11"/>
  <c r="P7" i="11"/>
  <c r="N20" i="11"/>
  <c r="L20" i="11"/>
  <c r="K20" i="11"/>
  <c r="J20" i="11"/>
  <c r="I20" i="11"/>
  <c r="H20" i="11"/>
  <c r="G20" i="11"/>
  <c r="F20" i="11"/>
  <c r="E20" i="11"/>
  <c r="D20" i="11"/>
  <c r="C20" i="11"/>
  <c r="N19" i="11"/>
  <c r="M19" i="11"/>
  <c r="L19" i="11"/>
  <c r="K19" i="11"/>
  <c r="J19" i="11"/>
  <c r="I19" i="11"/>
  <c r="H19" i="11"/>
  <c r="G19" i="11"/>
  <c r="F19" i="11"/>
  <c r="P19" i="11" s="1"/>
  <c r="E19" i="11"/>
  <c r="D19" i="11"/>
  <c r="C19" i="11"/>
  <c r="N88" i="11" s="1"/>
  <c r="O88" i="11" s="1"/>
  <c r="P88" i="11" s="1"/>
  <c r="N18" i="11"/>
  <c r="M18" i="11"/>
  <c r="M20" i="11" s="1"/>
  <c r="C5" i="11"/>
  <c r="F224" i="10"/>
  <c r="E224" i="10"/>
  <c r="D224" i="10"/>
  <c r="F212" i="10"/>
  <c r="G212" i="10" s="1"/>
  <c r="H212" i="10" s="1"/>
  <c r="E212" i="10"/>
  <c r="F200" i="10"/>
  <c r="D200" i="10"/>
  <c r="F188" i="10"/>
  <c r="G188" i="10" s="1"/>
  <c r="H188" i="10" s="1"/>
  <c r="E188" i="10"/>
  <c r="F176" i="10"/>
  <c r="G176" i="10" s="1"/>
  <c r="H176" i="10" s="1"/>
  <c r="E176" i="10"/>
  <c r="D176" i="10"/>
  <c r="F168" i="10"/>
  <c r="D168" i="10"/>
  <c r="F164" i="10"/>
  <c r="D164" i="10"/>
  <c r="F156" i="10"/>
  <c r="E152" i="10"/>
  <c r="D152" i="10"/>
  <c r="F140" i="10"/>
  <c r="G140" i="10" s="1"/>
  <c r="H140" i="10" s="1"/>
  <c r="E140" i="10"/>
  <c r="D140" i="10"/>
  <c r="F132" i="10"/>
  <c r="G132" i="10" s="1"/>
  <c r="H132" i="10" s="1"/>
  <c r="E132" i="10"/>
  <c r="D132" i="10"/>
  <c r="C118" i="10"/>
  <c r="C130" i="10" s="1"/>
  <c r="B118" i="10"/>
  <c r="B130" i="10" s="1"/>
  <c r="F116" i="10"/>
  <c r="G116" i="10" s="1"/>
  <c r="H116" i="10" s="1"/>
  <c r="E116" i="10"/>
  <c r="D116" i="10"/>
  <c r="F108" i="10"/>
  <c r="G108" i="10" s="1"/>
  <c r="H108" i="10" s="1"/>
  <c r="E108" i="10"/>
  <c r="D108" i="10"/>
  <c r="F106" i="10"/>
  <c r="E106" i="10"/>
  <c r="G106" i="10" s="1"/>
  <c r="H106" i="10" s="1"/>
  <c r="D106" i="10"/>
  <c r="C106" i="10"/>
  <c r="B106" i="10"/>
  <c r="E104" i="10"/>
  <c r="D104" i="10"/>
  <c r="E102" i="10"/>
  <c r="B102" i="10"/>
  <c r="B114" i="10" s="1"/>
  <c r="F100" i="10"/>
  <c r="C99" i="10"/>
  <c r="F99" i="10" s="1"/>
  <c r="C97" i="10"/>
  <c r="F97" i="10" s="1"/>
  <c r="B97" i="10"/>
  <c r="I96" i="10"/>
  <c r="G96" i="10"/>
  <c r="H96" i="10" s="1"/>
  <c r="F96" i="10"/>
  <c r="E96" i="10"/>
  <c r="D96" i="10"/>
  <c r="C96" i="10"/>
  <c r="C108" i="10" s="1"/>
  <c r="C120" i="10" s="1"/>
  <c r="C132" i="10" s="1"/>
  <c r="C144" i="10" s="1"/>
  <c r="C156" i="10" s="1"/>
  <c r="C168" i="10" s="1"/>
  <c r="C180" i="10" s="1"/>
  <c r="C192" i="10" s="1"/>
  <c r="C204" i="10" s="1"/>
  <c r="C216" i="10" s="1"/>
  <c r="C228" i="10" s="1"/>
  <c r="F228" i="10" s="1"/>
  <c r="G228" i="10" s="1"/>
  <c r="H228" i="10" s="1"/>
  <c r="B96" i="10"/>
  <c r="B108" i="10" s="1"/>
  <c r="B120" i="10" s="1"/>
  <c r="B132" i="10" s="1"/>
  <c r="B144" i="10" s="1"/>
  <c r="B156" i="10" s="1"/>
  <c r="B168" i="10" s="1"/>
  <c r="B180" i="10" s="1"/>
  <c r="B192" i="10" s="1"/>
  <c r="B204" i="10" s="1"/>
  <c r="B216" i="10" s="1"/>
  <c r="B228" i="10" s="1"/>
  <c r="E228" i="10" s="1"/>
  <c r="F95" i="10"/>
  <c r="G95" i="10" s="1"/>
  <c r="H95" i="10" s="1"/>
  <c r="E95" i="10"/>
  <c r="D95" i="10"/>
  <c r="C95" i="10"/>
  <c r="C107" i="10" s="1"/>
  <c r="B95" i="10"/>
  <c r="B107" i="10" s="1"/>
  <c r="F94" i="10"/>
  <c r="G94" i="10" s="1"/>
  <c r="H94" i="10" s="1"/>
  <c r="E94" i="10"/>
  <c r="D94" i="10"/>
  <c r="C94" i="10"/>
  <c r="B94" i="10"/>
  <c r="C93" i="10"/>
  <c r="F93" i="10" s="1"/>
  <c r="B93" i="10"/>
  <c r="I92" i="10"/>
  <c r="F92" i="10"/>
  <c r="E92" i="10"/>
  <c r="G92" i="10" s="1"/>
  <c r="H92" i="10" s="1"/>
  <c r="D92" i="10"/>
  <c r="C92" i="10"/>
  <c r="C104" i="10" s="1"/>
  <c r="C116" i="10" s="1"/>
  <c r="C128" i="10" s="1"/>
  <c r="C140" i="10" s="1"/>
  <c r="C152" i="10" s="1"/>
  <c r="C164" i="10" s="1"/>
  <c r="C176" i="10" s="1"/>
  <c r="C188" i="10" s="1"/>
  <c r="C200" i="10" s="1"/>
  <c r="C212" i="10" s="1"/>
  <c r="C224" i="10" s="1"/>
  <c r="B92" i="10"/>
  <c r="B104" i="10" s="1"/>
  <c r="B116" i="10" s="1"/>
  <c r="B128" i="10" s="1"/>
  <c r="B140" i="10" s="1"/>
  <c r="B152" i="10" s="1"/>
  <c r="B164" i="10" s="1"/>
  <c r="B176" i="10" s="1"/>
  <c r="B188" i="10" s="1"/>
  <c r="B200" i="10" s="1"/>
  <c r="B212" i="10" s="1"/>
  <c r="B224" i="10" s="1"/>
  <c r="C91" i="10"/>
  <c r="F91" i="10" s="1"/>
  <c r="B91" i="10"/>
  <c r="D91" i="10" s="1"/>
  <c r="C90" i="10"/>
  <c r="F90" i="10" s="1"/>
  <c r="G90" i="10" s="1"/>
  <c r="H90" i="10" s="1"/>
  <c r="B90" i="10"/>
  <c r="E90" i="10" s="1"/>
  <c r="C89" i="10"/>
  <c r="F89" i="10" s="1"/>
  <c r="B89" i="10"/>
  <c r="F88" i="10"/>
  <c r="G88" i="10" s="1"/>
  <c r="H88" i="10" s="1"/>
  <c r="E88" i="10"/>
  <c r="D88" i="10"/>
  <c r="C88" i="10"/>
  <c r="C100" i="10" s="1"/>
  <c r="C112" i="10" s="1"/>
  <c r="C124" i="10" s="1"/>
  <c r="C136" i="10" s="1"/>
  <c r="C148" i="10" s="1"/>
  <c r="C160" i="10" s="1"/>
  <c r="C172" i="10" s="1"/>
  <c r="C184" i="10" s="1"/>
  <c r="C196" i="10" s="1"/>
  <c r="C208" i="10" s="1"/>
  <c r="C220" i="10" s="1"/>
  <c r="F220" i="10" s="1"/>
  <c r="B88" i="10"/>
  <c r="B100" i="10" s="1"/>
  <c r="B112" i="10" s="1"/>
  <c r="B124" i="10" s="1"/>
  <c r="B136" i="10" s="1"/>
  <c r="B148" i="10" s="1"/>
  <c r="B160" i="10" s="1"/>
  <c r="B172" i="10" s="1"/>
  <c r="B184" i="10" s="1"/>
  <c r="B196" i="10" s="1"/>
  <c r="B208" i="10" s="1"/>
  <c r="B220" i="10" s="1"/>
  <c r="D220" i="10" s="1"/>
  <c r="F87" i="10"/>
  <c r="C87" i="10"/>
  <c r="B87" i="10"/>
  <c r="E87" i="10" s="1"/>
  <c r="F86" i="10"/>
  <c r="G86" i="10" s="1"/>
  <c r="H86" i="10" s="1"/>
  <c r="E86" i="10"/>
  <c r="D86" i="10"/>
  <c r="C86" i="10"/>
  <c r="C98" i="10" s="1"/>
  <c r="B86" i="10"/>
  <c r="B98" i="10" s="1"/>
  <c r="F85" i="10"/>
  <c r="G85" i="10" s="1"/>
  <c r="H85" i="10" s="1"/>
  <c r="E85" i="10"/>
  <c r="N87" i="10"/>
  <c r="O87" i="10" s="1"/>
  <c r="P87" i="10" s="1"/>
  <c r="Q87" i="10" s="1"/>
  <c r="R87" i="10" s="1"/>
  <c r="S87" i="10" s="1"/>
  <c r="T87" i="10" s="1"/>
  <c r="U87" i="10" s="1"/>
  <c r="V87" i="10" s="1"/>
  <c r="W87" i="10" s="1"/>
  <c r="X87" i="10" s="1"/>
  <c r="Y87" i="10" s="1"/>
  <c r="O86" i="10"/>
  <c r="P86" i="10" s="1"/>
  <c r="Q86" i="10" s="1"/>
  <c r="R86" i="10" s="1"/>
  <c r="S86" i="10" s="1"/>
  <c r="T86" i="10" s="1"/>
  <c r="U86" i="10" s="1"/>
  <c r="V86" i="10" s="1"/>
  <c r="W86" i="10" s="1"/>
  <c r="X86" i="10" s="1"/>
  <c r="Y86" i="10" s="1"/>
  <c r="N86" i="10"/>
  <c r="P85" i="10"/>
  <c r="Q85" i="10" s="1"/>
  <c r="R85" i="10" s="1"/>
  <c r="S85" i="10" s="1"/>
  <c r="T85" i="10" s="1"/>
  <c r="U85" i="10" s="1"/>
  <c r="V85" i="10" s="1"/>
  <c r="W85" i="10" s="1"/>
  <c r="X85" i="10" s="1"/>
  <c r="Y85" i="10" s="1"/>
  <c r="O85" i="10"/>
  <c r="N85" i="10"/>
  <c r="N84" i="10"/>
  <c r="O84" i="10" s="1"/>
  <c r="P84" i="10" s="1"/>
  <c r="Q84" i="10" s="1"/>
  <c r="R84" i="10" s="1"/>
  <c r="S84" i="10" s="1"/>
  <c r="T84" i="10" s="1"/>
  <c r="U84" i="10" s="1"/>
  <c r="V84" i="10" s="1"/>
  <c r="W84" i="10" s="1"/>
  <c r="X84" i="10" s="1"/>
  <c r="Y84" i="10" s="1"/>
  <c r="N83" i="10"/>
  <c r="O83" i="10" s="1"/>
  <c r="P83" i="10" s="1"/>
  <c r="Q83" i="10" s="1"/>
  <c r="R83" i="10" s="1"/>
  <c r="S83" i="10" s="1"/>
  <c r="T83" i="10" s="1"/>
  <c r="U83" i="10" s="1"/>
  <c r="V83" i="10" s="1"/>
  <c r="W83" i="10" s="1"/>
  <c r="X83" i="10" s="1"/>
  <c r="Y83" i="10" s="1"/>
  <c r="P82" i="10"/>
  <c r="Q82" i="10" s="1"/>
  <c r="R82" i="10" s="1"/>
  <c r="S82" i="10" s="1"/>
  <c r="T82" i="10" s="1"/>
  <c r="U82" i="10" s="1"/>
  <c r="V82" i="10" s="1"/>
  <c r="W82" i="10" s="1"/>
  <c r="X82" i="10" s="1"/>
  <c r="Y82" i="10" s="1"/>
  <c r="N82" i="10"/>
  <c r="O82" i="10" s="1"/>
  <c r="T81" i="10"/>
  <c r="U81" i="10" s="1"/>
  <c r="V81" i="10" s="1"/>
  <c r="W81" i="10" s="1"/>
  <c r="X81" i="10" s="1"/>
  <c r="Y81" i="10" s="1"/>
  <c r="N81" i="10"/>
  <c r="O81" i="10" s="1"/>
  <c r="P81" i="10" s="1"/>
  <c r="Q81" i="10" s="1"/>
  <c r="R81" i="10" s="1"/>
  <c r="S81" i="10" s="1"/>
  <c r="S80" i="10"/>
  <c r="T80" i="10" s="1"/>
  <c r="U80" i="10" s="1"/>
  <c r="V80" i="10" s="1"/>
  <c r="W80" i="10" s="1"/>
  <c r="X80" i="10" s="1"/>
  <c r="Y80" i="10" s="1"/>
  <c r="R80" i="10"/>
  <c r="N80" i="10"/>
  <c r="O80" i="10" s="1"/>
  <c r="P80" i="10" s="1"/>
  <c r="Q80" i="10" s="1"/>
  <c r="N79" i="10"/>
  <c r="O79" i="10" s="1"/>
  <c r="P79" i="10" s="1"/>
  <c r="Q79" i="10" s="1"/>
  <c r="R79" i="10" s="1"/>
  <c r="S79" i="10" s="1"/>
  <c r="T79" i="10" s="1"/>
  <c r="U79" i="10" s="1"/>
  <c r="V79" i="10" s="1"/>
  <c r="W79" i="10" s="1"/>
  <c r="X79" i="10" s="1"/>
  <c r="Y79" i="10" s="1"/>
  <c r="N78" i="10"/>
  <c r="O78" i="10" s="1"/>
  <c r="P78" i="10" s="1"/>
  <c r="Q78" i="10" s="1"/>
  <c r="R78" i="10" s="1"/>
  <c r="S78" i="10" s="1"/>
  <c r="T78" i="10" s="1"/>
  <c r="U78" i="10" s="1"/>
  <c r="V78" i="10" s="1"/>
  <c r="W78" i="10" s="1"/>
  <c r="X78" i="10" s="1"/>
  <c r="Y78" i="10" s="1"/>
  <c r="O77" i="10"/>
  <c r="P77" i="10" s="1"/>
  <c r="Q77" i="10" s="1"/>
  <c r="R77" i="10" s="1"/>
  <c r="S77" i="10" s="1"/>
  <c r="T77" i="10" s="1"/>
  <c r="U77" i="10" s="1"/>
  <c r="V77" i="10" s="1"/>
  <c r="W77" i="10" s="1"/>
  <c r="X77" i="10" s="1"/>
  <c r="Y77" i="10" s="1"/>
  <c r="N77" i="10"/>
  <c r="F84" i="10"/>
  <c r="G84" i="10" s="1"/>
  <c r="E84" i="10"/>
  <c r="F83" i="10"/>
  <c r="G83" i="10" s="1"/>
  <c r="E83" i="10"/>
  <c r="D83" i="10"/>
  <c r="I94" i="10" s="1"/>
  <c r="F82" i="10"/>
  <c r="G82" i="10" s="1"/>
  <c r="E82" i="10"/>
  <c r="D82" i="10"/>
  <c r="I93" i="10" s="1"/>
  <c r="F81" i="10"/>
  <c r="G81" i="10" s="1"/>
  <c r="E81" i="10"/>
  <c r="D81" i="10"/>
  <c r="G80" i="10"/>
  <c r="F80" i="10"/>
  <c r="E80" i="10"/>
  <c r="G79" i="10"/>
  <c r="F79" i="10"/>
  <c r="E79" i="10"/>
  <c r="F78" i="10"/>
  <c r="G78" i="10" s="1"/>
  <c r="E78" i="10"/>
  <c r="G77" i="10"/>
  <c r="F77" i="10"/>
  <c r="E77" i="10"/>
  <c r="F76" i="10"/>
  <c r="G76" i="10" s="1"/>
  <c r="E76" i="10"/>
  <c r="F75" i="10"/>
  <c r="G75" i="10" s="1"/>
  <c r="E75" i="10"/>
  <c r="D75" i="10"/>
  <c r="I86" i="10" s="1"/>
  <c r="F74" i="10"/>
  <c r="G74" i="10" s="1"/>
  <c r="E74" i="10"/>
  <c r="D74" i="10"/>
  <c r="I85" i="10" s="1"/>
  <c r="M69" i="10"/>
  <c r="L69" i="10"/>
  <c r="K69" i="10"/>
  <c r="J69" i="10"/>
  <c r="I69" i="10"/>
  <c r="H69" i="10"/>
  <c r="G69" i="10"/>
  <c r="F69" i="10"/>
  <c r="E69" i="10"/>
  <c r="D69" i="10"/>
  <c r="C69" i="10"/>
  <c r="B69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M66" i="10"/>
  <c r="L66" i="10"/>
  <c r="K66" i="10"/>
  <c r="J66" i="10"/>
  <c r="I66" i="10"/>
  <c r="D66" i="10"/>
  <c r="C66" i="10"/>
  <c r="B66" i="10"/>
  <c r="A66" i="10"/>
  <c r="E56" i="10"/>
  <c r="Q27" i="10"/>
  <c r="P17" i="10"/>
  <c r="P16" i="10"/>
  <c r="Q16" i="10" s="1"/>
  <c r="P15" i="10"/>
  <c r="Q15" i="10" s="1"/>
  <c r="P14" i="10"/>
  <c r="Q14" i="10" s="1"/>
  <c r="P13" i="10"/>
  <c r="P12" i="10"/>
  <c r="Q12" i="10" s="1"/>
  <c r="P11" i="10"/>
  <c r="P10" i="10"/>
  <c r="Q10" i="10" s="1"/>
  <c r="P9" i="10"/>
  <c r="Q9" i="10" s="1"/>
  <c r="P8" i="10"/>
  <c r="Q8" i="10" s="1"/>
  <c r="P7" i="10"/>
  <c r="N20" i="10"/>
  <c r="L20" i="10"/>
  <c r="J20" i="10"/>
  <c r="E20" i="10"/>
  <c r="D20" i="10"/>
  <c r="C20" i="10"/>
  <c r="N19" i="10"/>
  <c r="M19" i="10"/>
  <c r="L19" i="10"/>
  <c r="K19" i="10"/>
  <c r="J19" i="10"/>
  <c r="I19" i="10"/>
  <c r="H19" i="10"/>
  <c r="G19" i="10"/>
  <c r="F19" i="10"/>
  <c r="E19" i="10"/>
  <c r="E19" i="16" s="1"/>
  <c r="D19" i="10"/>
  <c r="P19" i="10" s="1"/>
  <c r="C19" i="10"/>
  <c r="N88" i="10" s="1"/>
  <c r="N18" i="10"/>
  <c r="M18" i="10"/>
  <c r="M20" i="10" s="1"/>
  <c r="L18" i="10"/>
  <c r="K18" i="10"/>
  <c r="K20" i="10" s="1"/>
  <c r="J18" i="10"/>
  <c r="I18" i="10"/>
  <c r="I20" i="10" s="1"/>
  <c r="H18" i="10"/>
  <c r="G18" i="10"/>
  <c r="F18" i="10"/>
  <c r="N7" i="10"/>
  <c r="D85" i="10" s="1"/>
  <c r="M7" i="10"/>
  <c r="D84" i="10" s="1"/>
  <c r="I95" i="10" s="1"/>
  <c r="L7" i="10"/>
  <c r="K7" i="10"/>
  <c r="J7" i="10"/>
  <c r="I7" i="10"/>
  <c r="I7" i="16" s="1"/>
  <c r="H7" i="10"/>
  <c r="H7" i="16" s="1"/>
  <c r="G7" i="10"/>
  <c r="G7" i="16" s="1"/>
  <c r="F68" i="16" s="1"/>
  <c r="F7" i="10"/>
  <c r="E7" i="10"/>
  <c r="D7" i="10"/>
  <c r="D7" i="16" s="1"/>
  <c r="D75" i="16" s="1"/>
  <c r="I86" i="16" s="1"/>
  <c r="C7" i="10"/>
  <c r="C5" i="10"/>
  <c r="F223" i="8"/>
  <c r="F215" i="8"/>
  <c r="F203" i="8"/>
  <c r="F199" i="8"/>
  <c r="F191" i="8"/>
  <c r="F187" i="8"/>
  <c r="F175" i="8"/>
  <c r="F171" i="8"/>
  <c r="F163" i="8"/>
  <c r="F143" i="8"/>
  <c r="F131" i="8"/>
  <c r="F119" i="8"/>
  <c r="B119" i="8"/>
  <c r="B131" i="8" s="1"/>
  <c r="B118" i="8"/>
  <c r="B130" i="8" s="1"/>
  <c r="F115" i="8"/>
  <c r="B107" i="8"/>
  <c r="E106" i="8"/>
  <c r="B106" i="8"/>
  <c r="F103" i="8"/>
  <c r="B103" i="8"/>
  <c r="C98" i="8"/>
  <c r="F98" i="8" s="1"/>
  <c r="B98" i="8"/>
  <c r="E98" i="8" s="1"/>
  <c r="F97" i="8"/>
  <c r="E97" i="8"/>
  <c r="G97" i="8" s="1"/>
  <c r="H97" i="8" s="1"/>
  <c r="C97" i="8"/>
  <c r="C109" i="8" s="1"/>
  <c r="B97" i="8"/>
  <c r="D97" i="8" s="1"/>
  <c r="F96" i="8"/>
  <c r="C96" i="8"/>
  <c r="D96" i="8" s="1"/>
  <c r="B96" i="8"/>
  <c r="E96" i="8" s="1"/>
  <c r="G96" i="8" s="1"/>
  <c r="H96" i="8" s="1"/>
  <c r="F95" i="8"/>
  <c r="C95" i="8"/>
  <c r="C107" i="8" s="1"/>
  <c r="C119" i="8" s="1"/>
  <c r="C131" i="8" s="1"/>
  <c r="C143" i="8" s="1"/>
  <c r="C155" i="8" s="1"/>
  <c r="C167" i="8" s="1"/>
  <c r="C179" i="8" s="1"/>
  <c r="C191" i="8" s="1"/>
  <c r="C203" i="8" s="1"/>
  <c r="C215" i="8" s="1"/>
  <c r="C227" i="8" s="1"/>
  <c r="F227" i="8" s="1"/>
  <c r="B95" i="8"/>
  <c r="F94" i="8"/>
  <c r="G94" i="8" s="1"/>
  <c r="H94" i="8" s="1"/>
  <c r="E94" i="8"/>
  <c r="D94" i="8"/>
  <c r="C94" i="8"/>
  <c r="C106" i="8" s="1"/>
  <c r="B94" i="8"/>
  <c r="F93" i="8"/>
  <c r="E93" i="8"/>
  <c r="G93" i="8" s="1"/>
  <c r="H93" i="8" s="1"/>
  <c r="C93" i="8"/>
  <c r="C105" i="8" s="1"/>
  <c r="B93" i="8"/>
  <c r="D93" i="8" s="1"/>
  <c r="F92" i="8"/>
  <c r="G92" i="8" s="1"/>
  <c r="H92" i="8" s="1"/>
  <c r="C92" i="8"/>
  <c r="C104" i="8" s="1"/>
  <c r="B92" i="8"/>
  <c r="E92" i="8" s="1"/>
  <c r="F91" i="8"/>
  <c r="C91" i="8"/>
  <c r="C103" i="8" s="1"/>
  <c r="C115" i="8" s="1"/>
  <c r="C127" i="8" s="1"/>
  <c r="C139" i="8" s="1"/>
  <c r="C151" i="8" s="1"/>
  <c r="C163" i="8" s="1"/>
  <c r="C175" i="8" s="1"/>
  <c r="C187" i="8" s="1"/>
  <c r="C199" i="8" s="1"/>
  <c r="C211" i="8" s="1"/>
  <c r="C223" i="8" s="1"/>
  <c r="B91" i="8"/>
  <c r="F90" i="8"/>
  <c r="C90" i="8"/>
  <c r="C102" i="8" s="1"/>
  <c r="B90" i="8"/>
  <c r="B102" i="8" s="1"/>
  <c r="F89" i="8"/>
  <c r="E89" i="8"/>
  <c r="G89" i="8" s="1"/>
  <c r="H89" i="8" s="1"/>
  <c r="C89" i="8"/>
  <c r="C101" i="8" s="1"/>
  <c r="B89" i="8"/>
  <c r="D89" i="8" s="1"/>
  <c r="G88" i="8"/>
  <c r="H88" i="8" s="1"/>
  <c r="F88" i="8"/>
  <c r="C88" i="8"/>
  <c r="D88" i="8" s="1"/>
  <c r="B88" i="8"/>
  <c r="E88" i="8" s="1"/>
  <c r="F87" i="8"/>
  <c r="C87" i="8"/>
  <c r="C99" i="8" s="1"/>
  <c r="C111" i="8" s="1"/>
  <c r="C123" i="8" s="1"/>
  <c r="C135" i="8" s="1"/>
  <c r="C147" i="8" s="1"/>
  <c r="C159" i="8" s="1"/>
  <c r="C171" i="8" s="1"/>
  <c r="C183" i="8" s="1"/>
  <c r="C195" i="8" s="1"/>
  <c r="C207" i="8" s="1"/>
  <c r="C219" i="8" s="1"/>
  <c r="F219" i="8" s="1"/>
  <c r="B87" i="8"/>
  <c r="G86" i="8"/>
  <c r="H86" i="8" s="1"/>
  <c r="F86" i="8"/>
  <c r="E86" i="8"/>
  <c r="D86" i="8"/>
  <c r="C86" i="8"/>
  <c r="B86" i="8"/>
  <c r="F85" i="8"/>
  <c r="E85" i="8"/>
  <c r="G85" i="8" s="1"/>
  <c r="H85" i="8" s="1"/>
  <c r="D85" i="8"/>
  <c r="N87" i="8"/>
  <c r="O87" i="8" s="1"/>
  <c r="P87" i="8" s="1"/>
  <c r="Q87" i="8" s="1"/>
  <c r="N86" i="8"/>
  <c r="O86" i="8" s="1"/>
  <c r="P86" i="8" s="1"/>
  <c r="Q86" i="8" s="1"/>
  <c r="R86" i="8" s="1"/>
  <c r="P85" i="8"/>
  <c r="Q85" i="8" s="1"/>
  <c r="R85" i="8" s="1"/>
  <c r="S85" i="8" s="1"/>
  <c r="T85" i="8" s="1"/>
  <c r="U85" i="8" s="1"/>
  <c r="V85" i="8" s="1"/>
  <c r="W85" i="8" s="1"/>
  <c r="X85" i="8" s="1"/>
  <c r="Y85" i="8" s="1"/>
  <c r="N85" i="8"/>
  <c r="O85" i="8" s="1"/>
  <c r="R84" i="8"/>
  <c r="S84" i="8" s="1"/>
  <c r="T84" i="8" s="1"/>
  <c r="U84" i="8" s="1"/>
  <c r="V84" i="8" s="1"/>
  <c r="W84" i="8" s="1"/>
  <c r="X84" i="8" s="1"/>
  <c r="Y84" i="8" s="1"/>
  <c r="Q84" i="8"/>
  <c r="P84" i="8"/>
  <c r="O84" i="8"/>
  <c r="N84" i="8"/>
  <c r="Q83" i="8"/>
  <c r="R83" i="8" s="1"/>
  <c r="S83" i="8" s="1"/>
  <c r="T83" i="8" s="1"/>
  <c r="U83" i="8" s="1"/>
  <c r="V83" i="8" s="1"/>
  <c r="W83" i="8" s="1"/>
  <c r="X83" i="8" s="1"/>
  <c r="Y83" i="8" s="1"/>
  <c r="P83" i="8"/>
  <c r="N83" i="8"/>
  <c r="O83" i="8" s="1"/>
  <c r="N82" i="8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O81" i="8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N81" i="8"/>
  <c r="N80" i="8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N79" i="8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X78" i="8"/>
  <c r="Y78" i="8" s="1"/>
  <c r="N78" i="8"/>
  <c r="O78" i="8" s="1"/>
  <c r="P78" i="8" s="1"/>
  <c r="Q78" i="8" s="1"/>
  <c r="R78" i="8" s="1"/>
  <c r="S78" i="8" s="1"/>
  <c r="T78" i="8" s="1"/>
  <c r="U78" i="8" s="1"/>
  <c r="V78" i="8" s="1"/>
  <c r="W78" i="8" s="1"/>
  <c r="Q77" i="8"/>
  <c r="R77" i="8" s="1"/>
  <c r="S77" i="8" s="1"/>
  <c r="T77" i="8" s="1"/>
  <c r="U77" i="8" s="1"/>
  <c r="V77" i="8" s="1"/>
  <c r="W77" i="8" s="1"/>
  <c r="X77" i="8" s="1"/>
  <c r="Y77" i="8" s="1"/>
  <c r="P77" i="8"/>
  <c r="N77" i="8"/>
  <c r="O77" i="8" s="1"/>
  <c r="R76" i="8"/>
  <c r="S76" i="8" s="1"/>
  <c r="T76" i="8" s="1"/>
  <c r="U76" i="8" s="1"/>
  <c r="V76" i="8" s="1"/>
  <c r="W76" i="8" s="1"/>
  <c r="X76" i="8" s="1"/>
  <c r="Y76" i="8" s="1"/>
  <c r="Q76" i="8"/>
  <c r="P76" i="8"/>
  <c r="O76" i="8"/>
  <c r="N76" i="8"/>
  <c r="F84" i="8"/>
  <c r="E84" i="8"/>
  <c r="G84" i="8" s="1"/>
  <c r="D84" i="8"/>
  <c r="F83" i="8"/>
  <c r="G83" i="8" s="1"/>
  <c r="E83" i="8"/>
  <c r="D83" i="8"/>
  <c r="F82" i="8"/>
  <c r="G82" i="8" s="1"/>
  <c r="E82" i="8"/>
  <c r="D82" i="8"/>
  <c r="G81" i="8"/>
  <c r="F81" i="8"/>
  <c r="E81" i="8"/>
  <c r="D81" i="8"/>
  <c r="F80" i="8"/>
  <c r="G80" i="8" s="1"/>
  <c r="E80" i="8"/>
  <c r="D80" i="8"/>
  <c r="F79" i="8"/>
  <c r="G79" i="8" s="1"/>
  <c r="E79" i="8"/>
  <c r="D79" i="8"/>
  <c r="F78" i="8"/>
  <c r="G78" i="8" s="1"/>
  <c r="E78" i="8"/>
  <c r="D78" i="8"/>
  <c r="F77" i="8"/>
  <c r="G77" i="8" s="1"/>
  <c r="E77" i="8"/>
  <c r="D77" i="8"/>
  <c r="F76" i="8"/>
  <c r="E76" i="8"/>
  <c r="G76" i="8" s="1"/>
  <c r="D76" i="8"/>
  <c r="F75" i="8"/>
  <c r="G75" i="8" s="1"/>
  <c r="E75" i="8"/>
  <c r="D75" i="8"/>
  <c r="F74" i="8"/>
  <c r="G74" i="8" s="1"/>
  <c r="E74" i="8"/>
  <c r="D74" i="8"/>
  <c r="J69" i="8"/>
  <c r="I69" i="8"/>
  <c r="H69" i="8"/>
  <c r="F69" i="8"/>
  <c r="D69" i="8"/>
  <c r="C69" i="8"/>
  <c r="B69" i="8"/>
  <c r="D68" i="8"/>
  <c r="C68" i="8"/>
  <c r="B68" i="8"/>
  <c r="J67" i="8"/>
  <c r="I67" i="8"/>
  <c r="H67" i="8"/>
  <c r="E67" i="8"/>
  <c r="D67" i="8"/>
  <c r="C67" i="8"/>
  <c r="B67" i="8"/>
  <c r="L66" i="8"/>
  <c r="E66" i="8"/>
  <c r="D66" i="8"/>
  <c r="C66" i="8"/>
  <c r="B66" i="8"/>
  <c r="A66" i="8"/>
  <c r="E56" i="8"/>
  <c r="Q27" i="8"/>
  <c r="P19" i="8"/>
  <c r="P16" i="8"/>
  <c r="P15" i="8"/>
  <c r="Q16" i="8" s="1"/>
  <c r="P14" i="8"/>
  <c r="Q14" i="8" s="1"/>
  <c r="P13" i="8"/>
  <c r="P12" i="8"/>
  <c r="P11" i="8"/>
  <c r="P10" i="8"/>
  <c r="P9" i="8"/>
  <c r="P8" i="8"/>
  <c r="P7" i="8"/>
  <c r="D20" i="8"/>
  <c r="C20" i="8"/>
  <c r="N19" i="8"/>
  <c r="N19" i="15" s="1"/>
  <c r="M19" i="8"/>
  <c r="M19" i="15" s="1"/>
  <c r="L19" i="8"/>
  <c r="K19" i="8"/>
  <c r="K19" i="15" s="1"/>
  <c r="J19" i="8"/>
  <c r="I19" i="8"/>
  <c r="I19" i="15" s="1"/>
  <c r="H19" i="8"/>
  <c r="H19" i="15" s="1"/>
  <c r="G19" i="8"/>
  <c r="F19" i="8"/>
  <c r="F19" i="15" s="1"/>
  <c r="E19" i="8"/>
  <c r="D19" i="8"/>
  <c r="C19" i="8"/>
  <c r="M20" i="8"/>
  <c r="J18" i="8"/>
  <c r="J18" i="20" s="1"/>
  <c r="I18" i="8"/>
  <c r="I18" i="20" s="1"/>
  <c r="H18" i="8"/>
  <c r="H18" i="20" s="1"/>
  <c r="G18" i="8"/>
  <c r="G20" i="8" s="1"/>
  <c r="F18" i="8"/>
  <c r="E18" i="8"/>
  <c r="E20" i="8" s="1"/>
  <c r="D18" i="8"/>
  <c r="C18" i="8"/>
  <c r="M67" i="8"/>
  <c r="L67" i="8"/>
  <c r="K67" i="8"/>
  <c r="K17" i="8"/>
  <c r="K17" i="16" s="1"/>
  <c r="J17" i="8"/>
  <c r="I68" i="8" s="1"/>
  <c r="I17" i="8"/>
  <c r="H68" i="8" s="1"/>
  <c r="H17" i="8"/>
  <c r="G17" i="8"/>
  <c r="F68" i="8" s="1"/>
  <c r="F17" i="8"/>
  <c r="E68" i="8" s="1"/>
  <c r="Q15" i="8"/>
  <c r="Q13" i="8"/>
  <c r="Q12" i="8"/>
  <c r="Q11" i="8"/>
  <c r="Q10" i="8"/>
  <c r="Q9" i="8"/>
  <c r="Q8" i="8"/>
  <c r="C5" i="8"/>
  <c r="N77" i="17"/>
  <c r="M77" i="17"/>
  <c r="L77" i="17"/>
  <c r="K77" i="17"/>
  <c r="J77" i="17"/>
  <c r="I77" i="17"/>
  <c r="H77" i="17"/>
  <c r="G77" i="17"/>
  <c r="F77" i="17"/>
  <c r="E77" i="17"/>
  <c r="D77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O75" i="17"/>
  <c r="N75" i="17"/>
  <c r="M75" i="17"/>
  <c r="L75" i="17"/>
  <c r="K75" i="17"/>
  <c r="J75" i="17"/>
  <c r="G75" i="17"/>
  <c r="F75" i="17"/>
  <c r="E75" i="17"/>
  <c r="D75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BM60" i="17"/>
  <c r="BN60" i="17" s="1"/>
  <c r="CL50" i="17"/>
  <c r="CI50" i="17"/>
  <c r="CC50" i="17"/>
  <c r="CL49" i="17"/>
  <c r="CK49" i="17"/>
  <c r="CJ49" i="17"/>
  <c r="CI49" i="17"/>
  <c r="CG49" i="17"/>
  <c r="CC49" i="17"/>
  <c r="CL48" i="17"/>
  <c r="CB48" i="17"/>
  <c r="CA48" i="17"/>
  <c r="BB50" i="17"/>
  <c r="AZ50" i="17"/>
  <c r="AY50" i="17"/>
  <c r="AX50" i="17"/>
  <c r="AW50" i="17"/>
  <c r="AV50" i="17"/>
  <c r="BG49" i="17"/>
  <c r="BF49" i="17"/>
  <c r="BB49" i="17"/>
  <c r="AY49" i="17"/>
  <c r="AX49" i="17"/>
  <c r="BA48" i="17"/>
  <c r="AZ48" i="17"/>
  <c r="AY48" i="17"/>
  <c r="AX48" i="17"/>
  <c r="AW48" i="17"/>
  <c r="AV48" i="17"/>
  <c r="AC50" i="17"/>
  <c r="AB50" i="17"/>
  <c r="Z50" i="17"/>
  <c r="Y50" i="17"/>
  <c r="X50" i="17"/>
  <c r="W50" i="17"/>
  <c r="V50" i="17"/>
  <c r="U50" i="17"/>
  <c r="T50" i="17"/>
  <c r="Y49" i="17"/>
  <c r="X49" i="17"/>
  <c r="AC48" i="17"/>
  <c r="Z48" i="17"/>
  <c r="Y48" i="17"/>
  <c r="X48" i="17"/>
  <c r="W48" i="17"/>
  <c r="V48" i="17"/>
  <c r="U48" i="17"/>
  <c r="T48" i="17"/>
  <c r="DF47" i="17"/>
  <c r="CQ58" i="17"/>
  <c r="CR58" i="17" s="1"/>
  <c r="CS58" i="17" s="1"/>
  <c r="CT58" i="17" s="1"/>
  <c r="CQ57" i="17"/>
  <c r="CR57" i="17" s="1"/>
  <c r="CS57" i="17" s="1"/>
  <c r="CT57" i="17" s="1"/>
  <c r="CU57" i="17" s="1"/>
  <c r="CV57" i="17" s="1"/>
  <c r="CW57" i="17" s="1"/>
  <c r="CX57" i="17" s="1"/>
  <c r="CY57" i="17" s="1"/>
  <c r="CZ57" i="17" s="1"/>
  <c r="DA57" i="17" s="1"/>
  <c r="DB57" i="17" s="1"/>
  <c r="CQ54" i="17"/>
  <c r="CR54" i="17" s="1"/>
  <c r="CS54" i="17" s="1"/>
  <c r="CT54" i="17" s="1"/>
  <c r="CU54" i="17" s="1"/>
  <c r="CV54" i="17" s="1"/>
  <c r="CW54" i="17" s="1"/>
  <c r="CX54" i="17" s="1"/>
  <c r="CY54" i="17" s="1"/>
  <c r="CZ54" i="17" s="1"/>
  <c r="DA54" i="17" s="1"/>
  <c r="DB54" i="17" s="1"/>
  <c r="CQ52" i="17"/>
  <c r="CR52" i="17" s="1"/>
  <c r="CS52" i="17" s="1"/>
  <c r="CT52" i="17" s="1"/>
  <c r="CU52" i="17" s="1"/>
  <c r="CV52" i="17" s="1"/>
  <c r="CW52" i="17" s="1"/>
  <c r="CX52" i="17" s="1"/>
  <c r="CY52" i="17" s="1"/>
  <c r="CZ52" i="17" s="1"/>
  <c r="DA52" i="17" s="1"/>
  <c r="DB52" i="17" s="1"/>
  <c r="CQ50" i="17"/>
  <c r="CR50" i="17" s="1"/>
  <c r="CS50" i="17" s="1"/>
  <c r="CT50" i="17" s="1"/>
  <c r="CU50" i="17" s="1"/>
  <c r="CV50" i="17" s="1"/>
  <c r="CQ49" i="17"/>
  <c r="CR49" i="17" s="1"/>
  <c r="CS49" i="17" s="1"/>
  <c r="CT49" i="17" s="1"/>
  <c r="CU49" i="17" s="1"/>
  <c r="CV49" i="17" s="1"/>
  <c r="CW49" i="17" s="1"/>
  <c r="CX49" i="17" s="1"/>
  <c r="CY49" i="17" s="1"/>
  <c r="CZ49" i="17" s="1"/>
  <c r="DA49" i="17" s="1"/>
  <c r="DB49" i="17" s="1"/>
  <c r="CB47" i="17"/>
  <c r="CA47" i="17"/>
  <c r="BM58" i="17"/>
  <c r="BN58" i="17" s="1"/>
  <c r="BO58" i="17" s="1"/>
  <c r="BP58" i="17" s="1"/>
  <c r="BQ58" i="17" s="1"/>
  <c r="BR58" i="17" s="1"/>
  <c r="BS58" i="17" s="1"/>
  <c r="BT58" i="17" s="1"/>
  <c r="BU58" i="17" s="1"/>
  <c r="BV58" i="17" s="1"/>
  <c r="BW58" i="17" s="1"/>
  <c r="BX58" i="17" s="1"/>
  <c r="BP57" i="17"/>
  <c r="BQ57" i="17" s="1"/>
  <c r="BR57" i="17" s="1"/>
  <c r="BS57" i="17" s="1"/>
  <c r="BT57" i="17" s="1"/>
  <c r="BU57" i="17" s="1"/>
  <c r="BV57" i="17" s="1"/>
  <c r="BW57" i="17" s="1"/>
  <c r="BX57" i="17" s="1"/>
  <c r="BM57" i="17"/>
  <c r="BN57" i="17" s="1"/>
  <c r="BO57" i="17" s="1"/>
  <c r="BM56" i="17"/>
  <c r="BN56" i="17" s="1"/>
  <c r="BO56" i="17" s="1"/>
  <c r="BP56" i="17" s="1"/>
  <c r="BQ56" i="17" s="1"/>
  <c r="BR56" i="17" s="1"/>
  <c r="BS56" i="17" s="1"/>
  <c r="BT56" i="17" s="1"/>
  <c r="BU56" i="17" s="1"/>
  <c r="BV56" i="17" s="1"/>
  <c r="BW56" i="17" s="1"/>
  <c r="BX56" i="17" s="1"/>
  <c r="BM55" i="17"/>
  <c r="BN55" i="17" s="1"/>
  <c r="BO55" i="17" s="1"/>
  <c r="BP55" i="17" s="1"/>
  <c r="BQ55" i="17" s="1"/>
  <c r="BR55" i="17" s="1"/>
  <c r="BS55" i="17" s="1"/>
  <c r="BT55" i="17" s="1"/>
  <c r="BU55" i="17" s="1"/>
  <c r="BV55" i="17" s="1"/>
  <c r="BW55" i="17" s="1"/>
  <c r="BX55" i="17" s="1"/>
  <c r="BM54" i="17"/>
  <c r="BN54" i="17" s="1"/>
  <c r="BO54" i="17" s="1"/>
  <c r="BP54" i="17" s="1"/>
  <c r="BQ54" i="17" s="1"/>
  <c r="BR54" i="17" s="1"/>
  <c r="BS54" i="17" s="1"/>
  <c r="BT54" i="17" s="1"/>
  <c r="BU54" i="17" s="1"/>
  <c r="BV54" i="17" s="1"/>
  <c r="BW54" i="17" s="1"/>
  <c r="BX54" i="17" s="1"/>
  <c r="BN53" i="17"/>
  <c r="BO53" i="17" s="1"/>
  <c r="BP53" i="17" s="1"/>
  <c r="BQ53" i="17" s="1"/>
  <c r="BR53" i="17" s="1"/>
  <c r="BS53" i="17" s="1"/>
  <c r="BT53" i="17" s="1"/>
  <c r="BU53" i="17" s="1"/>
  <c r="BV53" i="17" s="1"/>
  <c r="BW53" i="17" s="1"/>
  <c r="BX53" i="17" s="1"/>
  <c r="BM53" i="17"/>
  <c r="BM52" i="17"/>
  <c r="BN52" i="17" s="1"/>
  <c r="BO52" i="17" s="1"/>
  <c r="BP52" i="17" s="1"/>
  <c r="BQ52" i="17" s="1"/>
  <c r="BR52" i="17" s="1"/>
  <c r="BS52" i="17" s="1"/>
  <c r="BT52" i="17" s="1"/>
  <c r="BU52" i="17" s="1"/>
  <c r="BV52" i="17" s="1"/>
  <c r="BW52" i="17" s="1"/>
  <c r="BX52" i="17" s="1"/>
  <c r="BM51" i="17"/>
  <c r="BN51" i="17" s="1"/>
  <c r="BO51" i="17" s="1"/>
  <c r="BP51" i="17" s="1"/>
  <c r="BQ51" i="17" s="1"/>
  <c r="BR51" i="17" s="1"/>
  <c r="BS51" i="17" s="1"/>
  <c r="BT51" i="17" s="1"/>
  <c r="BU51" i="17" s="1"/>
  <c r="BV51" i="17" s="1"/>
  <c r="BW51" i="17" s="1"/>
  <c r="BX51" i="17" s="1"/>
  <c r="BM50" i="17"/>
  <c r="BN50" i="17" s="1"/>
  <c r="BO50" i="17" s="1"/>
  <c r="BP50" i="17" s="1"/>
  <c r="BQ50" i="17" s="1"/>
  <c r="BR50" i="17" s="1"/>
  <c r="BS50" i="17" s="1"/>
  <c r="BT50" i="17" s="1"/>
  <c r="BU50" i="17" s="1"/>
  <c r="BV50" i="17" s="1"/>
  <c r="BW50" i="17" s="1"/>
  <c r="BX50" i="17" s="1"/>
  <c r="BM49" i="17"/>
  <c r="BN49" i="17" s="1"/>
  <c r="BO49" i="17" s="1"/>
  <c r="BP49" i="17" s="1"/>
  <c r="BQ49" i="17" s="1"/>
  <c r="BR49" i="17" s="1"/>
  <c r="BS49" i="17" s="1"/>
  <c r="BT49" i="17" s="1"/>
  <c r="BU49" i="17" s="1"/>
  <c r="BV49" i="17" s="1"/>
  <c r="BW49" i="17" s="1"/>
  <c r="BX49" i="17" s="1"/>
  <c r="BM48" i="17"/>
  <c r="BN48" i="17" s="1"/>
  <c r="BO48" i="17" s="1"/>
  <c r="BP48" i="17" s="1"/>
  <c r="BQ48" i="17" s="1"/>
  <c r="BR48" i="17" s="1"/>
  <c r="BS48" i="17" s="1"/>
  <c r="BT48" i="17" s="1"/>
  <c r="BU48" i="17" s="1"/>
  <c r="BV48" i="17" s="1"/>
  <c r="BW48" i="17" s="1"/>
  <c r="BX48" i="17" s="1"/>
  <c r="BM47" i="17"/>
  <c r="BN47" i="17" s="1"/>
  <c r="BO47" i="17" s="1"/>
  <c r="BP47" i="17" s="1"/>
  <c r="BQ47" i="17" s="1"/>
  <c r="BR47" i="17" s="1"/>
  <c r="BS47" i="17" s="1"/>
  <c r="BT47" i="17" s="1"/>
  <c r="BU47" i="17" s="1"/>
  <c r="BV47" i="17" s="1"/>
  <c r="BW47" i="17" s="1"/>
  <c r="BX47" i="17" s="1"/>
  <c r="AW47" i="17"/>
  <c r="AV47" i="17"/>
  <c r="AH58" i="17"/>
  <c r="AI58" i="17" s="1"/>
  <c r="AJ58" i="17" s="1"/>
  <c r="AK58" i="17" s="1"/>
  <c r="AL58" i="17" s="1"/>
  <c r="AM58" i="17" s="1"/>
  <c r="AN58" i="17" s="1"/>
  <c r="AO58" i="17" s="1"/>
  <c r="AP58" i="17" s="1"/>
  <c r="AQ58" i="17" s="1"/>
  <c r="AR58" i="17" s="1"/>
  <c r="AS58" i="17" s="1"/>
  <c r="AJ57" i="17"/>
  <c r="AK57" i="17" s="1"/>
  <c r="AL57" i="17" s="1"/>
  <c r="AM57" i="17" s="1"/>
  <c r="AN57" i="17" s="1"/>
  <c r="AO57" i="17" s="1"/>
  <c r="AP57" i="17" s="1"/>
  <c r="AQ57" i="17" s="1"/>
  <c r="AR57" i="17" s="1"/>
  <c r="AS57" i="17" s="1"/>
  <c r="AI57" i="17"/>
  <c r="AH57" i="17"/>
  <c r="AI56" i="17"/>
  <c r="AJ56" i="17" s="1"/>
  <c r="AK56" i="17" s="1"/>
  <c r="AL56" i="17" s="1"/>
  <c r="AM56" i="17" s="1"/>
  <c r="AN56" i="17" s="1"/>
  <c r="AO56" i="17" s="1"/>
  <c r="AP56" i="17" s="1"/>
  <c r="AQ56" i="17" s="1"/>
  <c r="AR56" i="17" s="1"/>
  <c r="AS56" i="17" s="1"/>
  <c r="AH56" i="17"/>
  <c r="AH55" i="17"/>
  <c r="AI55" i="17" s="1"/>
  <c r="AJ55" i="17" s="1"/>
  <c r="AK55" i="17" s="1"/>
  <c r="AL55" i="17" s="1"/>
  <c r="AM55" i="17" s="1"/>
  <c r="AN55" i="17" s="1"/>
  <c r="AO55" i="17" s="1"/>
  <c r="AP55" i="17" s="1"/>
  <c r="AQ55" i="17" s="1"/>
  <c r="AR55" i="17" s="1"/>
  <c r="AS55" i="17" s="1"/>
  <c r="AN54" i="17"/>
  <c r="AO54" i="17" s="1"/>
  <c r="AP54" i="17" s="1"/>
  <c r="AQ54" i="17" s="1"/>
  <c r="AR54" i="17" s="1"/>
  <c r="AS54" i="17" s="1"/>
  <c r="AH54" i="17"/>
  <c r="AI54" i="17" s="1"/>
  <c r="AJ54" i="17" s="1"/>
  <c r="AK54" i="17" s="1"/>
  <c r="AL54" i="17" s="1"/>
  <c r="AM54" i="17" s="1"/>
  <c r="AH53" i="17"/>
  <c r="AI53" i="17" s="1"/>
  <c r="AJ53" i="17" s="1"/>
  <c r="AK53" i="17" s="1"/>
  <c r="AL53" i="17" s="1"/>
  <c r="AM53" i="17" s="1"/>
  <c r="AN53" i="17" s="1"/>
  <c r="AO53" i="17" s="1"/>
  <c r="AP53" i="17" s="1"/>
  <c r="AQ53" i="17" s="1"/>
  <c r="AR53" i="17" s="1"/>
  <c r="AS53" i="17" s="1"/>
  <c r="AH52" i="17"/>
  <c r="AI52" i="17" s="1"/>
  <c r="AJ52" i="17" s="1"/>
  <c r="AK52" i="17" s="1"/>
  <c r="AL52" i="17" s="1"/>
  <c r="AM52" i="17" s="1"/>
  <c r="AN52" i="17" s="1"/>
  <c r="AO52" i="17" s="1"/>
  <c r="AP52" i="17" s="1"/>
  <c r="AQ52" i="17" s="1"/>
  <c r="AR52" i="17" s="1"/>
  <c r="AS52" i="17" s="1"/>
  <c r="AH51" i="17"/>
  <c r="AI51" i="17" s="1"/>
  <c r="AJ51" i="17" s="1"/>
  <c r="AK51" i="17" s="1"/>
  <c r="AL51" i="17" s="1"/>
  <c r="AM51" i="17" s="1"/>
  <c r="AN51" i="17" s="1"/>
  <c r="AO51" i="17" s="1"/>
  <c r="AP51" i="17" s="1"/>
  <c r="AQ51" i="17" s="1"/>
  <c r="AR51" i="17" s="1"/>
  <c r="AS51" i="17" s="1"/>
  <c r="AH50" i="17"/>
  <c r="AI50" i="17" s="1"/>
  <c r="AJ50" i="17" s="1"/>
  <c r="AK50" i="17" s="1"/>
  <c r="AL50" i="17" s="1"/>
  <c r="AM50" i="17" s="1"/>
  <c r="AN50" i="17" s="1"/>
  <c r="AO50" i="17" s="1"/>
  <c r="AP50" i="17" s="1"/>
  <c r="AQ50" i="17" s="1"/>
  <c r="AR50" i="17" s="1"/>
  <c r="AS50" i="17" s="1"/>
  <c r="AJ49" i="17"/>
  <c r="AK49" i="17" s="1"/>
  <c r="AL49" i="17" s="1"/>
  <c r="AM49" i="17" s="1"/>
  <c r="AN49" i="17" s="1"/>
  <c r="AO49" i="17" s="1"/>
  <c r="AP49" i="17" s="1"/>
  <c r="AQ49" i="17" s="1"/>
  <c r="AR49" i="17" s="1"/>
  <c r="AS49" i="17" s="1"/>
  <c r="AI49" i="17"/>
  <c r="AH49" i="17"/>
  <c r="AI48" i="17"/>
  <c r="AJ48" i="17" s="1"/>
  <c r="AK48" i="17" s="1"/>
  <c r="AL48" i="17" s="1"/>
  <c r="AM48" i="17" s="1"/>
  <c r="AN48" i="17" s="1"/>
  <c r="AO48" i="17" s="1"/>
  <c r="AP48" i="17" s="1"/>
  <c r="AQ48" i="17" s="1"/>
  <c r="AR48" i="17" s="1"/>
  <c r="AS48" i="17" s="1"/>
  <c r="AH48" i="17"/>
  <c r="AH47" i="17"/>
  <c r="AI47" i="17" s="1"/>
  <c r="AJ47" i="17" s="1"/>
  <c r="AK47" i="17" s="1"/>
  <c r="AL47" i="17" s="1"/>
  <c r="AM47" i="17" s="1"/>
  <c r="AN47" i="17" s="1"/>
  <c r="AO47" i="17" s="1"/>
  <c r="AP47" i="17" s="1"/>
  <c r="AQ47" i="17" s="1"/>
  <c r="AR47" i="17" s="1"/>
  <c r="AS47" i="17" s="1"/>
  <c r="S47" i="17"/>
  <c r="R47" i="17"/>
  <c r="D58" i="17"/>
  <c r="E58" i="17" s="1"/>
  <c r="F58" i="17" s="1"/>
  <c r="G58" i="17" s="1"/>
  <c r="H58" i="17" s="1"/>
  <c r="I58" i="17" s="1"/>
  <c r="J58" i="17" s="1"/>
  <c r="K58" i="17" s="1"/>
  <c r="L58" i="17" s="1"/>
  <c r="M58" i="17" s="1"/>
  <c r="N58" i="17" s="1"/>
  <c r="O58" i="17" s="1"/>
  <c r="E57" i="17"/>
  <c r="F57" i="17" s="1"/>
  <c r="G57" i="17" s="1"/>
  <c r="H57" i="17" s="1"/>
  <c r="I57" i="17" s="1"/>
  <c r="J57" i="17" s="1"/>
  <c r="K57" i="17" s="1"/>
  <c r="L57" i="17" s="1"/>
  <c r="M57" i="17" s="1"/>
  <c r="N57" i="17" s="1"/>
  <c r="O57" i="17" s="1"/>
  <c r="D57" i="17"/>
  <c r="D56" i="17"/>
  <c r="E56" i="17" s="1"/>
  <c r="F56" i="17" s="1"/>
  <c r="G56" i="17" s="1"/>
  <c r="H56" i="17" s="1"/>
  <c r="I56" i="17" s="1"/>
  <c r="J56" i="17" s="1"/>
  <c r="K56" i="17" s="1"/>
  <c r="L56" i="17" s="1"/>
  <c r="M56" i="17" s="1"/>
  <c r="N56" i="17" s="1"/>
  <c r="O56" i="17" s="1"/>
  <c r="E55" i="17"/>
  <c r="F55" i="17" s="1"/>
  <c r="G55" i="17" s="1"/>
  <c r="H55" i="17" s="1"/>
  <c r="I55" i="17" s="1"/>
  <c r="J55" i="17" s="1"/>
  <c r="K55" i="17" s="1"/>
  <c r="L55" i="17" s="1"/>
  <c r="M55" i="17" s="1"/>
  <c r="N55" i="17" s="1"/>
  <c r="O55" i="17" s="1"/>
  <c r="D55" i="17"/>
  <c r="I54" i="17"/>
  <c r="J54" i="17" s="1"/>
  <c r="K54" i="17" s="1"/>
  <c r="L54" i="17" s="1"/>
  <c r="M54" i="17" s="1"/>
  <c r="N54" i="17" s="1"/>
  <c r="O54" i="17" s="1"/>
  <c r="E54" i="17"/>
  <c r="F54" i="17" s="1"/>
  <c r="G54" i="17" s="1"/>
  <c r="H54" i="17" s="1"/>
  <c r="D54" i="17"/>
  <c r="D53" i="17"/>
  <c r="E53" i="17" s="1"/>
  <c r="F53" i="17" s="1"/>
  <c r="G53" i="17" s="1"/>
  <c r="H53" i="17" s="1"/>
  <c r="I53" i="17" s="1"/>
  <c r="J53" i="17" s="1"/>
  <c r="K53" i="17" s="1"/>
  <c r="L53" i="17" s="1"/>
  <c r="M53" i="17" s="1"/>
  <c r="N53" i="17" s="1"/>
  <c r="O53" i="17" s="1"/>
  <c r="I52" i="17"/>
  <c r="J52" i="17" s="1"/>
  <c r="K52" i="17" s="1"/>
  <c r="L52" i="17" s="1"/>
  <c r="M52" i="17" s="1"/>
  <c r="N52" i="17" s="1"/>
  <c r="O52" i="17" s="1"/>
  <c r="D52" i="17"/>
  <c r="E52" i="17" s="1"/>
  <c r="F52" i="17" s="1"/>
  <c r="G52" i="17" s="1"/>
  <c r="H52" i="17" s="1"/>
  <c r="E51" i="17"/>
  <c r="F51" i="17" s="1"/>
  <c r="G51" i="17" s="1"/>
  <c r="H51" i="17" s="1"/>
  <c r="I51" i="17" s="1"/>
  <c r="J51" i="17" s="1"/>
  <c r="K51" i="17" s="1"/>
  <c r="L51" i="17" s="1"/>
  <c r="M51" i="17" s="1"/>
  <c r="N51" i="17" s="1"/>
  <c r="O51" i="17" s="1"/>
  <c r="D51" i="17"/>
  <c r="D50" i="17"/>
  <c r="E50" i="17" s="1"/>
  <c r="F50" i="17" s="1"/>
  <c r="G50" i="17" s="1"/>
  <c r="H50" i="17" s="1"/>
  <c r="I50" i="17" s="1"/>
  <c r="J50" i="17" s="1"/>
  <c r="K50" i="17" s="1"/>
  <c r="L50" i="17" s="1"/>
  <c r="M50" i="17" s="1"/>
  <c r="N50" i="17" s="1"/>
  <c r="O50" i="17" s="1"/>
  <c r="E49" i="17"/>
  <c r="F49" i="17" s="1"/>
  <c r="G49" i="17" s="1"/>
  <c r="H49" i="17" s="1"/>
  <c r="I49" i="17" s="1"/>
  <c r="J49" i="17" s="1"/>
  <c r="K49" i="17" s="1"/>
  <c r="L49" i="17" s="1"/>
  <c r="M49" i="17" s="1"/>
  <c r="N49" i="17" s="1"/>
  <c r="O49" i="17" s="1"/>
  <c r="D49" i="17"/>
  <c r="D48" i="17"/>
  <c r="E48" i="17" s="1"/>
  <c r="F48" i="17" s="1"/>
  <c r="G48" i="17" s="1"/>
  <c r="H48" i="17" s="1"/>
  <c r="I48" i="17" s="1"/>
  <c r="J48" i="17" s="1"/>
  <c r="K48" i="17" s="1"/>
  <c r="L48" i="17" s="1"/>
  <c r="M48" i="17" s="1"/>
  <c r="N48" i="17" s="1"/>
  <c r="O48" i="17" s="1"/>
  <c r="E47" i="17"/>
  <c r="F47" i="17" s="1"/>
  <c r="G47" i="17" s="1"/>
  <c r="H47" i="17" s="1"/>
  <c r="I47" i="17" s="1"/>
  <c r="J47" i="17" s="1"/>
  <c r="K47" i="17" s="1"/>
  <c r="L47" i="17" s="1"/>
  <c r="M47" i="17" s="1"/>
  <c r="N47" i="17" s="1"/>
  <c r="O47" i="17" s="1"/>
  <c r="D47" i="17"/>
  <c r="AJ43" i="17"/>
  <c r="AI43" i="17"/>
  <c r="AH43" i="17"/>
  <c r="BN43" i="17"/>
  <c r="BM43" i="17"/>
  <c r="BS42" i="17"/>
  <c r="BR42" i="17"/>
  <c r="CV42" i="17" s="1"/>
  <c r="BQ42" i="17"/>
  <c r="CU42" i="17" s="1"/>
  <c r="BP42" i="17"/>
  <c r="CT42" i="17" s="1"/>
  <c r="BO42" i="17"/>
  <c r="BN42" i="17"/>
  <c r="CR42" i="17" s="1"/>
  <c r="CR43" i="17" s="1"/>
  <c r="BM42" i="17"/>
  <c r="AN42" i="17"/>
  <c r="AN43" i="17" s="1"/>
  <c r="AM42" i="17"/>
  <c r="AM43" i="17" s="1"/>
  <c r="AL42" i="17"/>
  <c r="AL43" i="17" s="1"/>
  <c r="AK42" i="17"/>
  <c r="AK43" i="17" s="1"/>
  <c r="AJ42" i="17"/>
  <c r="AX47" i="17" s="1"/>
  <c r="AH42" i="17"/>
  <c r="AH60" i="17" s="1"/>
  <c r="AI60" i="17" s="1"/>
  <c r="AJ60" i="17" s="1"/>
  <c r="AH41" i="17"/>
  <c r="AV49" i="17" s="1"/>
  <c r="H43" i="17"/>
  <c r="J42" i="17"/>
  <c r="J43" i="17" s="1"/>
  <c r="I42" i="17"/>
  <c r="I43" i="17" s="1"/>
  <c r="H42" i="17"/>
  <c r="G42" i="17"/>
  <c r="G43" i="17" s="1"/>
  <c r="F42" i="17"/>
  <c r="F43" i="17" s="1"/>
  <c r="E42" i="17"/>
  <c r="D42" i="17"/>
  <c r="D60" i="17" s="1"/>
  <c r="E60" i="17" s="1"/>
  <c r="F60" i="17" s="1"/>
  <c r="BX41" i="17"/>
  <c r="BW41" i="17"/>
  <c r="CK48" i="17" s="1"/>
  <c r="BV41" i="17"/>
  <c r="CJ48" i="17" s="1"/>
  <c r="BU41" i="17"/>
  <c r="CI48" i="17" s="1"/>
  <c r="BS41" i="17"/>
  <c r="BS43" i="17" s="1"/>
  <c r="BR41" i="17"/>
  <c r="CF49" i="17" s="1"/>
  <c r="BQ41" i="17"/>
  <c r="H78" i="17" s="1"/>
  <c r="H79" i="17" s="1"/>
  <c r="BP41" i="17"/>
  <c r="BO41" i="17"/>
  <c r="CC48" i="17" s="1"/>
  <c r="BN41" i="17"/>
  <c r="CB49" i="17" s="1"/>
  <c r="BM41" i="17"/>
  <c r="CA41" i="17" s="1"/>
  <c r="CB41" i="17" s="1"/>
  <c r="AS41" i="17"/>
  <c r="DB41" i="17" s="1"/>
  <c r="AR41" i="17"/>
  <c r="BF48" i="17" s="1"/>
  <c r="AP41" i="17"/>
  <c r="AO41" i="17"/>
  <c r="AN41" i="17"/>
  <c r="BB48" i="17" s="1"/>
  <c r="AM41" i="17"/>
  <c r="AL41" i="17"/>
  <c r="AZ49" i="17" s="1"/>
  <c r="AK41" i="17"/>
  <c r="AJ41" i="17"/>
  <c r="AI41" i="17"/>
  <c r="AW49" i="17" s="1"/>
  <c r="O41" i="17"/>
  <c r="N41" i="17"/>
  <c r="AB49" i="17" s="1"/>
  <c r="L41" i="17"/>
  <c r="Z49" i="17" s="1"/>
  <c r="K41" i="17"/>
  <c r="J41" i="17"/>
  <c r="I41" i="17"/>
  <c r="I78" i="17" s="1"/>
  <c r="H41" i="17"/>
  <c r="V49" i="17" s="1"/>
  <c r="G41" i="17"/>
  <c r="F41" i="17"/>
  <c r="F78" i="17" s="1"/>
  <c r="F79" i="17" s="1"/>
  <c r="E41" i="17"/>
  <c r="S50" i="17" s="1"/>
  <c r="D41" i="17"/>
  <c r="R50" i="17" s="1"/>
  <c r="DD40" i="17"/>
  <c r="DD39" i="17"/>
  <c r="DD38" i="17"/>
  <c r="DD37" i="17"/>
  <c r="DD36" i="17"/>
  <c r="DD35" i="17"/>
  <c r="DD34" i="17"/>
  <c r="DD33" i="17"/>
  <c r="DD32" i="17"/>
  <c r="DD31" i="17"/>
  <c r="DD30" i="17"/>
  <c r="DD29" i="17"/>
  <c r="BZ40" i="17"/>
  <c r="BZ39" i="17"/>
  <c r="BZ38" i="17"/>
  <c r="BZ37" i="17"/>
  <c r="BZ36" i="17"/>
  <c r="BZ35" i="17"/>
  <c r="BZ34" i="17"/>
  <c r="BZ33" i="17"/>
  <c r="BZ32" i="17"/>
  <c r="BZ31" i="17"/>
  <c r="BZ30" i="17"/>
  <c r="BZ29" i="17"/>
  <c r="BX40" i="17"/>
  <c r="AU40" i="17"/>
  <c r="AU39" i="17"/>
  <c r="AU38" i="17"/>
  <c r="AU37" i="17"/>
  <c r="AU36" i="17"/>
  <c r="AU35" i="17"/>
  <c r="AU34" i="17"/>
  <c r="AU33" i="17"/>
  <c r="AU32" i="17"/>
  <c r="AU31" i="17"/>
  <c r="AU30" i="17"/>
  <c r="AU29" i="17"/>
  <c r="AU28" i="17"/>
  <c r="BZ28" i="17" s="1"/>
  <c r="AS40" i="17"/>
  <c r="BG48" i="17" s="1"/>
  <c r="Q40" i="17"/>
  <c r="Q39" i="17"/>
  <c r="Q38" i="17"/>
  <c r="Q37" i="17"/>
  <c r="Q36" i="17"/>
  <c r="Q35" i="17"/>
  <c r="Q34" i="17"/>
  <c r="Q33" i="17"/>
  <c r="Q32" i="17"/>
  <c r="Q31" i="17"/>
  <c r="Q30" i="17"/>
  <c r="Q29" i="17"/>
  <c r="O40" i="17"/>
  <c r="AC49" i="17" s="1"/>
  <c r="BQ38" i="17"/>
  <c r="CE49" i="17" s="1"/>
  <c r="AM38" i="17"/>
  <c r="BA49" i="17" s="1"/>
  <c r="DE39" i="17"/>
  <c r="DE36" i="17"/>
  <c r="DE32" i="17"/>
  <c r="DF32" i="17" s="1"/>
  <c r="CA40" i="17"/>
  <c r="CB40" i="17" s="1"/>
  <c r="CB39" i="17"/>
  <c r="CA39" i="17"/>
  <c r="CA38" i="17"/>
  <c r="CB38" i="17" s="1"/>
  <c r="CA37" i="17"/>
  <c r="CB37" i="17" s="1"/>
  <c r="CA36" i="17"/>
  <c r="CB36" i="17" s="1"/>
  <c r="CA35" i="17"/>
  <c r="CB35" i="17" s="1"/>
  <c r="CB34" i="17"/>
  <c r="CA34" i="17"/>
  <c r="CA33" i="17"/>
  <c r="CB33" i="17" s="1"/>
  <c r="CA32" i="17"/>
  <c r="CB32" i="17" s="1"/>
  <c r="CB31" i="17"/>
  <c r="CA31" i="17"/>
  <c r="CA30" i="17"/>
  <c r="CB30" i="17" s="1"/>
  <c r="AV41" i="17"/>
  <c r="AV40" i="17"/>
  <c r="AW40" i="17" s="1"/>
  <c r="AW39" i="17"/>
  <c r="AV39" i="17"/>
  <c r="AV38" i="17"/>
  <c r="AW38" i="17" s="1"/>
  <c r="AV37" i="17"/>
  <c r="AV36" i="17"/>
  <c r="AW37" i="17" s="1"/>
  <c r="AW35" i="17"/>
  <c r="AV35" i="17"/>
  <c r="AV34" i="17"/>
  <c r="AW34" i="17" s="1"/>
  <c r="AV33" i="17"/>
  <c r="AW33" i="17" s="1"/>
  <c r="AV32" i="17"/>
  <c r="AW32" i="17" s="1"/>
  <c r="AV31" i="17"/>
  <c r="AW31" i="17" s="1"/>
  <c r="AW30" i="17"/>
  <c r="AV30" i="17"/>
  <c r="R40" i="17"/>
  <c r="S40" i="17" s="1"/>
  <c r="S39" i="17"/>
  <c r="R39" i="17"/>
  <c r="R38" i="17"/>
  <c r="S38" i="17" s="1"/>
  <c r="R37" i="17"/>
  <c r="S37" i="17" s="1"/>
  <c r="S36" i="17"/>
  <c r="R36" i="17"/>
  <c r="S35" i="17"/>
  <c r="R35" i="17"/>
  <c r="R34" i="17"/>
  <c r="S34" i="17" s="1"/>
  <c r="R33" i="17"/>
  <c r="R32" i="17"/>
  <c r="S33" i="17" s="1"/>
  <c r="S31" i="17"/>
  <c r="R31" i="17"/>
  <c r="R30" i="17"/>
  <c r="S30" i="17" s="1"/>
  <c r="CW41" i="17"/>
  <c r="CS41" i="17"/>
  <c r="CR41" i="17"/>
  <c r="CQ41" i="17"/>
  <c r="DA40" i="17"/>
  <c r="CZ40" i="17"/>
  <c r="CY40" i="17"/>
  <c r="CX40" i="17"/>
  <c r="CW40" i="17"/>
  <c r="CV40" i="17"/>
  <c r="CU40" i="17"/>
  <c r="DE40" i="17" s="1"/>
  <c r="DF40" i="17" s="1"/>
  <c r="CT40" i="17"/>
  <c r="CS40" i="17"/>
  <c r="CR40" i="17"/>
  <c r="CQ40" i="17"/>
  <c r="DB39" i="17"/>
  <c r="DA39" i="17"/>
  <c r="CZ39" i="17"/>
  <c r="CY39" i="17"/>
  <c r="CX39" i="17"/>
  <c r="CW39" i="17"/>
  <c r="CV39" i="17"/>
  <c r="CU39" i="17"/>
  <c r="CT39" i="17"/>
  <c r="CS39" i="17"/>
  <c r="CR39" i="17"/>
  <c r="CQ39" i="17"/>
  <c r="DB38" i="17"/>
  <c r="DA38" i="17"/>
  <c r="CZ38" i="17"/>
  <c r="CY38" i="17"/>
  <c r="CX38" i="17"/>
  <c r="CW38" i="17"/>
  <c r="CV38" i="17"/>
  <c r="CU38" i="17"/>
  <c r="DE38" i="17" s="1"/>
  <c r="DF38" i="17" s="1"/>
  <c r="CT38" i="17"/>
  <c r="CS38" i="17"/>
  <c r="CR38" i="17"/>
  <c r="CQ38" i="17"/>
  <c r="CQ56" i="17" s="1"/>
  <c r="CR56" i="17" s="1"/>
  <c r="CS56" i="17" s="1"/>
  <c r="CT56" i="17" s="1"/>
  <c r="DB37" i="17"/>
  <c r="DA37" i="17"/>
  <c r="CZ37" i="17"/>
  <c r="CY37" i="17"/>
  <c r="CX37" i="17"/>
  <c r="CW37" i="17"/>
  <c r="CV37" i="17"/>
  <c r="CU37" i="17"/>
  <c r="CT37" i="17"/>
  <c r="CS37" i="17"/>
  <c r="CR37" i="17"/>
  <c r="CQ37" i="17"/>
  <c r="DE37" i="17" s="1"/>
  <c r="DF37" i="17" s="1"/>
  <c r="DB36" i="17"/>
  <c r="DA36" i="17"/>
  <c r="CZ36" i="17"/>
  <c r="CY36" i="17"/>
  <c r="CX36" i="17"/>
  <c r="CW36" i="17"/>
  <c r="CV36" i="17"/>
  <c r="CU36" i="17"/>
  <c r="CT36" i="17"/>
  <c r="CS36" i="17"/>
  <c r="CR36" i="17"/>
  <c r="CQ36" i="17"/>
  <c r="DB35" i="17"/>
  <c r="DA35" i="17"/>
  <c r="CZ35" i="17"/>
  <c r="CY35" i="17"/>
  <c r="CX35" i="17"/>
  <c r="CW35" i="17"/>
  <c r="CV35" i="17"/>
  <c r="CU35" i="17"/>
  <c r="CT35" i="17"/>
  <c r="CS35" i="17"/>
  <c r="DG49" i="17" s="1"/>
  <c r="CR35" i="17"/>
  <c r="CQ35" i="17"/>
  <c r="DB34" i="17"/>
  <c r="DA34" i="17"/>
  <c r="CZ34" i="17"/>
  <c r="CY34" i="17"/>
  <c r="CX34" i="17"/>
  <c r="CW34" i="17"/>
  <c r="CV34" i="17"/>
  <c r="CU34" i="17"/>
  <c r="DE34" i="17" s="1"/>
  <c r="CT34" i="17"/>
  <c r="CS34" i="17"/>
  <c r="CR34" i="17"/>
  <c r="CQ34" i="17"/>
  <c r="DB33" i="17"/>
  <c r="DA33" i="17"/>
  <c r="CZ33" i="17"/>
  <c r="CY33" i="17"/>
  <c r="CX33" i="17"/>
  <c r="CW33" i="17"/>
  <c r="CV33" i="17"/>
  <c r="CU33" i="17"/>
  <c r="CT33" i="17"/>
  <c r="CS33" i="17"/>
  <c r="CR33" i="17"/>
  <c r="CQ33" i="17"/>
  <c r="DB32" i="17"/>
  <c r="DA32" i="17"/>
  <c r="CZ32" i="17"/>
  <c r="CY32" i="17"/>
  <c r="CX32" i="17"/>
  <c r="CW32" i="17"/>
  <c r="CV32" i="17"/>
  <c r="CU32" i="17"/>
  <c r="CT32" i="17"/>
  <c r="CS32" i="17"/>
  <c r="CR32" i="17"/>
  <c r="CQ32" i="17"/>
  <c r="DB31" i="17"/>
  <c r="DA31" i="17"/>
  <c r="CZ31" i="17"/>
  <c r="CY31" i="17"/>
  <c r="CX31" i="17"/>
  <c r="CW31" i="17"/>
  <c r="CV31" i="17"/>
  <c r="CU31" i="17"/>
  <c r="CT31" i="17"/>
  <c r="CS31" i="17"/>
  <c r="CR31" i="17"/>
  <c r="DF48" i="17" s="1"/>
  <c r="CQ31" i="17"/>
  <c r="DE31" i="17" s="1"/>
  <c r="DB30" i="17"/>
  <c r="DA30" i="17"/>
  <c r="CZ30" i="17"/>
  <c r="CY30" i="17"/>
  <c r="CX30" i="17"/>
  <c r="CW30" i="17"/>
  <c r="DK48" i="17" s="1"/>
  <c r="CV30" i="17"/>
  <c r="CU30" i="17"/>
  <c r="CT30" i="17"/>
  <c r="CS30" i="17"/>
  <c r="DG50" i="17" s="1"/>
  <c r="CR30" i="17"/>
  <c r="CQ30" i="17"/>
  <c r="DB29" i="17"/>
  <c r="DA29" i="17"/>
  <c r="CZ29" i="17"/>
  <c r="CY29" i="17"/>
  <c r="CX29" i="17"/>
  <c r="CW29" i="17"/>
  <c r="CV29" i="17"/>
  <c r="CU29" i="17"/>
  <c r="CT29" i="17"/>
  <c r="CS29" i="17"/>
  <c r="CR29" i="17"/>
  <c r="DF49" i="17" s="1"/>
  <c r="CQ29" i="17"/>
  <c r="CA29" i="17"/>
  <c r="AV29" i="17"/>
  <c r="R29" i="17"/>
  <c r="C106" i="9"/>
  <c r="F106" i="9" s="1"/>
  <c r="B106" i="9"/>
  <c r="E106" i="9" s="1"/>
  <c r="D97" i="9"/>
  <c r="C97" i="9"/>
  <c r="F97" i="9" s="1"/>
  <c r="B97" i="9"/>
  <c r="E97" i="9" s="1"/>
  <c r="F96" i="9"/>
  <c r="E96" i="9"/>
  <c r="G96" i="9" s="1"/>
  <c r="H96" i="9" s="1"/>
  <c r="C96" i="9"/>
  <c r="C108" i="9" s="1"/>
  <c r="B96" i="9"/>
  <c r="D96" i="9" s="1"/>
  <c r="F95" i="9"/>
  <c r="C95" i="9"/>
  <c r="C107" i="9" s="1"/>
  <c r="B95" i="9"/>
  <c r="E95" i="9" s="1"/>
  <c r="C94" i="9"/>
  <c r="F94" i="9" s="1"/>
  <c r="G94" i="9" s="1"/>
  <c r="H94" i="9" s="1"/>
  <c r="B94" i="9"/>
  <c r="E94" i="9" s="1"/>
  <c r="D93" i="9"/>
  <c r="C93" i="9"/>
  <c r="F93" i="9" s="1"/>
  <c r="B93" i="9"/>
  <c r="E93" i="9" s="1"/>
  <c r="F92" i="9"/>
  <c r="G92" i="9" s="1"/>
  <c r="H92" i="9" s="1"/>
  <c r="E92" i="9"/>
  <c r="C92" i="9"/>
  <c r="C104" i="9" s="1"/>
  <c r="B92" i="9"/>
  <c r="D92" i="9" s="1"/>
  <c r="F91" i="9"/>
  <c r="G91" i="9" s="1"/>
  <c r="H91" i="9" s="1"/>
  <c r="C91" i="9"/>
  <c r="C103" i="9" s="1"/>
  <c r="B91" i="9"/>
  <c r="E91" i="9" s="1"/>
  <c r="C90" i="9"/>
  <c r="C102" i="9" s="1"/>
  <c r="B90" i="9"/>
  <c r="B102" i="9" s="1"/>
  <c r="D89" i="9"/>
  <c r="C89" i="9"/>
  <c r="F89" i="9" s="1"/>
  <c r="B89" i="9"/>
  <c r="E89" i="9" s="1"/>
  <c r="F88" i="9"/>
  <c r="G88" i="9" s="1"/>
  <c r="H88" i="9" s="1"/>
  <c r="E88" i="9"/>
  <c r="C88" i="9"/>
  <c r="C100" i="9" s="1"/>
  <c r="B88" i="9"/>
  <c r="D88" i="9" s="1"/>
  <c r="F87" i="9"/>
  <c r="G87" i="9" s="1"/>
  <c r="H87" i="9" s="1"/>
  <c r="C87" i="9"/>
  <c r="C99" i="9" s="1"/>
  <c r="B87" i="9"/>
  <c r="E87" i="9" s="1"/>
  <c r="C86" i="9"/>
  <c r="F86" i="9" s="1"/>
  <c r="B86" i="9"/>
  <c r="D86" i="9" s="1"/>
  <c r="F85" i="9"/>
  <c r="E85" i="9"/>
  <c r="G85" i="9" s="1"/>
  <c r="H85" i="9" s="1"/>
  <c r="D85" i="9"/>
  <c r="N88" i="9"/>
  <c r="O88" i="9" s="1"/>
  <c r="P88" i="9" s="1"/>
  <c r="Q88" i="9" s="1"/>
  <c r="R88" i="9" s="1"/>
  <c r="S88" i="9" s="1"/>
  <c r="T88" i="9" s="1"/>
  <c r="U88" i="9" s="1"/>
  <c r="V88" i="9" s="1"/>
  <c r="W88" i="9" s="1"/>
  <c r="X88" i="9" s="1"/>
  <c r="Y88" i="9" s="1"/>
  <c r="X87" i="9"/>
  <c r="Y87" i="9" s="1"/>
  <c r="O87" i="9"/>
  <c r="P87" i="9" s="1"/>
  <c r="Q87" i="9" s="1"/>
  <c r="R87" i="9" s="1"/>
  <c r="S87" i="9" s="1"/>
  <c r="T87" i="9" s="1"/>
  <c r="U87" i="9" s="1"/>
  <c r="V87" i="9" s="1"/>
  <c r="W87" i="9" s="1"/>
  <c r="N87" i="9"/>
  <c r="N86" i="9"/>
  <c r="O86" i="9" s="1"/>
  <c r="P86" i="9" s="1"/>
  <c r="N85" i="9"/>
  <c r="O85" i="9" s="1"/>
  <c r="P85" i="9" s="1"/>
  <c r="Q85" i="9" s="1"/>
  <c r="R85" i="9" s="1"/>
  <c r="S85" i="9" s="1"/>
  <c r="T85" i="9" s="1"/>
  <c r="U85" i="9" s="1"/>
  <c r="V85" i="9" s="1"/>
  <c r="W85" i="9" s="1"/>
  <c r="X85" i="9" s="1"/>
  <c r="Y85" i="9" s="1"/>
  <c r="O84" i="9"/>
  <c r="P84" i="9" s="1"/>
  <c r="Q84" i="9" s="1"/>
  <c r="R84" i="9" s="1"/>
  <c r="S84" i="9" s="1"/>
  <c r="T84" i="9" s="1"/>
  <c r="U84" i="9" s="1"/>
  <c r="V84" i="9" s="1"/>
  <c r="W84" i="9" s="1"/>
  <c r="X84" i="9" s="1"/>
  <c r="Y84" i="9" s="1"/>
  <c r="N84" i="9"/>
  <c r="N83" i="9"/>
  <c r="O83" i="9" s="1"/>
  <c r="P83" i="9" s="1"/>
  <c r="Q83" i="9" s="1"/>
  <c r="R83" i="9" s="1"/>
  <c r="S83" i="9" s="1"/>
  <c r="T83" i="9" s="1"/>
  <c r="U83" i="9" s="1"/>
  <c r="V83" i="9" s="1"/>
  <c r="W83" i="9" s="1"/>
  <c r="X83" i="9" s="1"/>
  <c r="Y83" i="9" s="1"/>
  <c r="N82" i="9"/>
  <c r="O82" i="9" s="1"/>
  <c r="P82" i="9" s="1"/>
  <c r="Q82" i="9" s="1"/>
  <c r="R82" i="9" s="1"/>
  <c r="S82" i="9" s="1"/>
  <c r="T82" i="9" s="1"/>
  <c r="U82" i="9" s="1"/>
  <c r="V82" i="9" s="1"/>
  <c r="W82" i="9" s="1"/>
  <c r="X82" i="9" s="1"/>
  <c r="Y82" i="9" s="1"/>
  <c r="N81" i="9"/>
  <c r="O81" i="9" s="1"/>
  <c r="P81" i="9" s="1"/>
  <c r="Q81" i="9" s="1"/>
  <c r="R81" i="9" s="1"/>
  <c r="S81" i="9" s="1"/>
  <c r="T81" i="9" s="1"/>
  <c r="U81" i="9" s="1"/>
  <c r="V81" i="9" s="1"/>
  <c r="W81" i="9" s="1"/>
  <c r="X81" i="9" s="1"/>
  <c r="Y81" i="9" s="1"/>
  <c r="O80" i="9"/>
  <c r="P80" i="9" s="1"/>
  <c r="Q80" i="9" s="1"/>
  <c r="R80" i="9" s="1"/>
  <c r="S80" i="9" s="1"/>
  <c r="T80" i="9" s="1"/>
  <c r="U80" i="9" s="1"/>
  <c r="V80" i="9" s="1"/>
  <c r="W80" i="9" s="1"/>
  <c r="X80" i="9" s="1"/>
  <c r="Y80" i="9" s="1"/>
  <c r="N80" i="9"/>
  <c r="O79" i="9"/>
  <c r="P79" i="9" s="1"/>
  <c r="Q79" i="9" s="1"/>
  <c r="R79" i="9" s="1"/>
  <c r="S79" i="9" s="1"/>
  <c r="T79" i="9" s="1"/>
  <c r="U79" i="9" s="1"/>
  <c r="V79" i="9" s="1"/>
  <c r="W79" i="9" s="1"/>
  <c r="X79" i="9" s="1"/>
  <c r="Y79" i="9" s="1"/>
  <c r="N79" i="9"/>
  <c r="N78" i="9"/>
  <c r="O78" i="9" s="1"/>
  <c r="P78" i="9" s="1"/>
  <c r="Q78" i="9" s="1"/>
  <c r="R78" i="9" s="1"/>
  <c r="S78" i="9" s="1"/>
  <c r="T78" i="9" s="1"/>
  <c r="U78" i="9" s="1"/>
  <c r="V78" i="9" s="1"/>
  <c r="W78" i="9" s="1"/>
  <c r="X78" i="9" s="1"/>
  <c r="Y78" i="9" s="1"/>
  <c r="N77" i="9"/>
  <c r="O77" i="9" s="1"/>
  <c r="P77" i="9" s="1"/>
  <c r="Q77" i="9" s="1"/>
  <c r="R77" i="9" s="1"/>
  <c r="S77" i="9" s="1"/>
  <c r="T77" i="9" s="1"/>
  <c r="U77" i="9" s="1"/>
  <c r="V77" i="9" s="1"/>
  <c r="W77" i="9" s="1"/>
  <c r="X77" i="9" s="1"/>
  <c r="Y77" i="9" s="1"/>
  <c r="O76" i="9"/>
  <c r="P76" i="9" s="1"/>
  <c r="Q76" i="9" s="1"/>
  <c r="R76" i="9" s="1"/>
  <c r="S76" i="9" s="1"/>
  <c r="T76" i="9" s="1"/>
  <c r="U76" i="9" s="1"/>
  <c r="V76" i="9" s="1"/>
  <c r="W76" i="9" s="1"/>
  <c r="X76" i="9" s="1"/>
  <c r="Y76" i="9" s="1"/>
  <c r="N76" i="9"/>
  <c r="F84" i="9"/>
  <c r="G84" i="9" s="1"/>
  <c r="E84" i="9"/>
  <c r="D84" i="9"/>
  <c r="F83" i="9"/>
  <c r="G83" i="9" s="1"/>
  <c r="E83" i="9"/>
  <c r="D83" i="9"/>
  <c r="F82" i="9"/>
  <c r="G82" i="9" s="1"/>
  <c r="E82" i="9"/>
  <c r="D82" i="9"/>
  <c r="F81" i="9"/>
  <c r="G81" i="9" s="1"/>
  <c r="E81" i="9"/>
  <c r="D81" i="9"/>
  <c r="F80" i="9"/>
  <c r="G80" i="9" s="1"/>
  <c r="E80" i="9"/>
  <c r="D80" i="9"/>
  <c r="F79" i="9"/>
  <c r="E79" i="9"/>
  <c r="G79" i="9" s="1"/>
  <c r="D79" i="9"/>
  <c r="F78" i="9"/>
  <c r="G78" i="9" s="1"/>
  <c r="E78" i="9"/>
  <c r="D78" i="9"/>
  <c r="F77" i="9"/>
  <c r="G77" i="9" s="1"/>
  <c r="E77" i="9"/>
  <c r="D77" i="9"/>
  <c r="F76" i="9"/>
  <c r="G76" i="9" s="1"/>
  <c r="E76" i="9"/>
  <c r="D76" i="9"/>
  <c r="F75" i="9"/>
  <c r="G75" i="9" s="1"/>
  <c r="E75" i="9"/>
  <c r="D75" i="9"/>
  <c r="F74" i="9"/>
  <c r="G74" i="9" s="1"/>
  <c r="E74" i="9"/>
  <c r="D74" i="9"/>
  <c r="I85" i="9" s="1"/>
  <c r="M69" i="9"/>
  <c r="L69" i="9"/>
  <c r="K69" i="9"/>
  <c r="J69" i="9"/>
  <c r="I69" i="9"/>
  <c r="H69" i="9"/>
  <c r="C69" i="9"/>
  <c r="B69" i="9"/>
  <c r="M68" i="9"/>
  <c r="L68" i="9"/>
  <c r="K68" i="9"/>
  <c r="J68" i="9"/>
  <c r="B68" i="9"/>
  <c r="M67" i="9"/>
  <c r="L67" i="9"/>
  <c r="D67" i="9"/>
  <c r="C67" i="9"/>
  <c r="B67" i="9"/>
  <c r="L66" i="9"/>
  <c r="I66" i="9"/>
  <c r="H66" i="9"/>
  <c r="G66" i="9"/>
  <c r="F66" i="9"/>
  <c r="E66" i="9"/>
  <c r="D66" i="9"/>
  <c r="C66" i="9"/>
  <c r="B66" i="9"/>
  <c r="A66" i="9"/>
  <c r="E56" i="9"/>
  <c r="AC36" i="9"/>
  <c r="AC42" i="9" s="1"/>
  <c r="Q27" i="9"/>
  <c r="K22" i="9"/>
  <c r="J22" i="9"/>
  <c r="I22" i="9"/>
  <c r="H22" i="9"/>
  <c r="G22" i="9"/>
  <c r="F22" i="9"/>
  <c r="E22" i="9"/>
  <c r="D22" i="9"/>
  <c r="C22" i="9"/>
  <c r="N89" i="9" s="1"/>
  <c r="AA20" i="9"/>
  <c r="AB20" i="9" s="1"/>
  <c r="AB19" i="9"/>
  <c r="P16" i="9"/>
  <c r="Q16" i="9" s="1"/>
  <c r="P15" i="9"/>
  <c r="P14" i="9"/>
  <c r="Q15" i="9" s="1"/>
  <c r="P13" i="9"/>
  <c r="P12" i="9"/>
  <c r="P11" i="9"/>
  <c r="Q12" i="9" s="1"/>
  <c r="P10" i="9"/>
  <c r="Q10" i="9" s="1"/>
  <c r="P9" i="9"/>
  <c r="Q9" i="9" s="1"/>
  <c r="P8" i="9"/>
  <c r="P7" i="9"/>
  <c r="N20" i="9"/>
  <c r="M20" i="9"/>
  <c r="L20" i="9"/>
  <c r="E20" i="9"/>
  <c r="D20" i="9"/>
  <c r="C20" i="9"/>
  <c r="N19" i="9"/>
  <c r="M19" i="9"/>
  <c r="L19" i="9"/>
  <c r="K66" i="9" s="1"/>
  <c r="K19" i="9"/>
  <c r="J66" i="9" s="1"/>
  <c r="J19" i="9"/>
  <c r="I19" i="9"/>
  <c r="H19" i="9"/>
  <c r="G19" i="9"/>
  <c r="F19" i="9"/>
  <c r="E19" i="9"/>
  <c r="D19" i="9"/>
  <c r="C19" i="9"/>
  <c r="Q14" i="9"/>
  <c r="Q13" i="9"/>
  <c r="M18" i="9"/>
  <c r="M18" i="16" s="1"/>
  <c r="L66" i="16" s="1"/>
  <c r="L18" i="9"/>
  <c r="K18" i="9"/>
  <c r="J18" i="9"/>
  <c r="I18" i="9"/>
  <c r="H18" i="9"/>
  <c r="G18" i="9"/>
  <c r="E18" i="9"/>
  <c r="D69" i="9" s="1"/>
  <c r="D18" i="9"/>
  <c r="P18" i="9" s="1"/>
  <c r="C18" i="9"/>
  <c r="C56" i="9" s="1"/>
  <c r="T14" i="9" s="1"/>
  <c r="N17" i="9"/>
  <c r="L17" i="9"/>
  <c r="K17" i="9"/>
  <c r="K20" i="9" s="1"/>
  <c r="J17" i="9"/>
  <c r="J20" i="9" s="1"/>
  <c r="I17" i="9"/>
  <c r="H17" i="9"/>
  <c r="G17" i="9"/>
  <c r="F67" i="9" s="1"/>
  <c r="F17" i="9"/>
  <c r="E67" i="9" s="1"/>
  <c r="C5" i="9"/>
  <c r="C132" i="16"/>
  <c r="C144" i="16" s="1"/>
  <c r="B132" i="16"/>
  <c r="B144" i="16" s="1"/>
  <c r="C126" i="16"/>
  <c r="B126" i="16"/>
  <c r="D126" i="16" s="1"/>
  <c r="F120" i="16"/>
  <c r="G120" i="16" s="1"/>
  <c r="H120" i="16" s="1"/>
  <c r="E120" i="16"/>
  <c r="C120" i="16"/>
  <c r="B120" i="16"/>
  <c r="D120" i="16" s="1"/>
  <c r="C119" i="16"/>
  <c r="B119" i="16"/>
  <c r="F114" i="16"/>
  <c r="G114" i="16" s="1"/>
  <c r="H114" i="16" s="1"/>
  <c r="E114" i="16"/>
  <c r="C114" i="16"/>
  <c r="B114" i="16"/>
  <c r="D114" i="16" s="1"/>
  <c r="C108" i="16"/>
  <c r="F108" i="16" s="1"/>
  <c r="B108" i="16"/>
  <c r="E108" i="16" s="1"/>
  <c r="C106" i="16"/>
  <c r="C104" i="16"/>
  <c r="B104" i="16"/>
  <c r="D104" i="16" s="1"/>
  <c r="H97" i="16"/>
  <c r="G97" i="16"/>
  <c r="E97" i="16"/>
  <c r="C97" i="16"/>
  <c r="F97" i="16" s="1"/>
  <c r="B97" i="16"/>
  <c r="D97" i="16" s="1"/>
  <c r="F96" i="16"/>
  <c r="E96" i="16"/>
  <c r="D96" i="16"/>
  <c r="C96" i="16"/>
  <c r="B96" i="16"/>
  <c r="C95" i="16"/>
  <c r="C107" i="16" s="1"/>
  <c r="F107" i="16" s="1"/>
  <c r="B95" i="16"/>
  <c r="B107" i="16" s="1"/>
  <c r="F94" i="16"/>
  <c r="C94" i="16"/>
  <c r="B94" i="16"/>
  <c r="B106" i="16" s="1"/>
  <c r="E93" i="16"/>
  <c r="C93" i="16"/>
  <c r="F93" i="16" s="1"/>
  <c r="G93" i="16" s="1"/>
  <c r="H93" i="16" s="1"/>
  <c r="B93" i="16"/>
  <c r="D93" i="16" s="1"/>
  <c r="F92" i="16"/>
  <c r="G92" i="16" s="1"/>
  <c r="H92" i="16" s="1"/>
  <c r="C92" i="16"/>
  <c r="B92" i="16"/>
  <c r="E92" i="16" s="1"/>
  <c r="C91" i="16"/>
  <c r="F91" i="16" s="1"/>
  <c r="B91" i="16"/>
  <c r="C90" i="16"/>
  <c r="C102" i="16" s="1"/>
  <c r="F102" i="16" s="1"/>
  <c r="B90" i="16"/>
  <c r="B102" i="16" s="1"/>
  <c r="E89" i="16"/>
  <c r="C89" i="16"/>
  <c r="F89" i="16" s="1"/>
  <c r="G89" i="16" s="1"/>
  <c r="H89" i="16" s="1"/>
  <c r="B89" i="16"/>
  <c r="D89" i="16" s="1"/>
  <c r="F88" i="16"/>
  <c r="C88" i="16"/>
  <c r="C100" i="16" s="1"/>
  <c r="B88" i="16"/>
  <c r="B100" i="16" s="1"/>
  <c r="C87" i="16"/>
  <c r="F87" i="16" s="1"/>
  <c r="B87" i="16"/>
  <c r="C86" i="16"/>
  <c r="C98" i="16" s="1"/>
  <c r="B86" i="16"/>
  <c r="D86" i="16" s="1"/>
  <c r="F85" i="16"/>
  <c r="E85" i="16"/>
  <c r="G85" i="16" s="1"/>
  <c r="H85" i="16" s="1"/>
  <c r="N83" i="16"/>
  <c r="O83" i="16" s="1"/>
  <c r="P83" i="16" s="1"/>
  <c r="Q83" i="16" s="1"/>
  <c r="N82" i="16"/>
  <c r="O82" i="16" s="1"/>
  <c r="P82" i="16" s="1"/>
  <c r="Q82" i="16" s="1"/>
  <c r="R82" i="16" s="1"/>
  <c r="S82" i="16" s="1"/>
  <c r="T82" i="16" s="1"/>
  <c r="U82" i="16" s="1"/>
  <c r="V82" i="16" s="1"/>
  <c r="W82" i="16" s="1"/>
  <c r="X82" i="16" s="1"/>
  <c r="Y82" i="16" s="1"/>
  <c r="N79" i="16"/>
  <c r="O79" i="16" s="1"/>
  <c r="P79" i="16" s="1"/>
  <c r="Q79" i="16" s="1"/>
  <c r="R79" i="16" s="1"/>
  <c r="S79" i="16" s="1"/>
  <c r="T79" i="16" s="1"/>
  <c r="U79" i="16" s="1"/>
  <c r="V79" i="16" s="1"/>
  <c r="W79" i="16" s="1"/>
  <c r="X79" i="16" s="1"/>
  <c r="Y79" i="16" s="1"/>
  <c r="N77" i="16"/>
  <c r="O77" i="16" s="1"/>
  <c r="P77" i="16" s="1"/>
  <c r="Q77" i="16" s="1"/>
  <c r="R77" i="16" s="1"/>
  <c r="S77" i="16" s="1"/>
  <c r="T77" i="16" s="1"/>
  <c r="U77" i="16" s="1"/>
  <c r="V77" i="16" s="1"/>
  <c r="W77" i="16" s="1"/>
  <c r="X77" i="16" s="1"/>
  <c r="Y77" i="16" s="1"/>
  <c r="F84" i="16"/>
  <c r="E84" i="16"/>
  <c r="G84" i="16" s="1"/>
  <c r="G83" i="16"/>
  <c r="F83" i="16"/>
  <c r="E83" i="16"/>
  <c r="F82" i="16"/>
  <c r="G82" i="16" s="1"/>
  <c r="E82" i="16"/>
  <c r="F81" i="16"/>
  <c r="G81" i="16" s="1"/>
  <c r="E81" i="16"/>
  <c r="F80" i="16"/>
  <c r="G80" i="16" s="1"/>
  <c r="E80" i="16"/>
  <c r="G79" i="16"/>
  <c r="F79" i="16"/>
  <c r="E79" i="16"/>
  <c r="F78" i="16"/>
  <c r="G78" i="16" s="1"/>
  <c r="E78" i="16"/>
  <c r="G77" i="16"/>
  <c r="F77" i="16"/>
  <c r="E77" i="16"/>
  <c r="G76" i="16"/>
  <c r="F76" i="16"/>
  <c r="E76" i="16"/>
  <c r="G75" i="16"/>
  <c r="F75" i="16"/>
  <c r="E75" i="16"/>
  <c r="F74" i="16"/>
  <c r="G74" i="16" s="1"/>
  <c r="E74" i="16"/>
  <c r="J68" i="16"/>
  <c r="I68" i="16"/>
  <c r="H68" i="16"/>
  <c r="G68" i="16"/>
  <c r="A66" i="16"/>
  <c r="E56" i="16"/>
  <c r="Q27" i="16"/>
  <c r="P16" i="16"/>
  <c r="Q16" i="16" s="1"/>
  <c r="P15" i="16"/>
  <c r="P14" i="16"/>
  <c r="P13" i="16"/>
  <c r="P12" i="16"/>
  <c r="P11" i="16"/>
  <c r="P10" i="16"/>
  <c r="Q10" i="16" s="1"/>
  <c r="P9" i="16"/>
  <c r="Q9" i="16" s="1"/>
  <c r="C18" i="16"/>
  <c r="C20" i="16" s="1"/>
  <c r="M17" i="16"/>
  <c r="L17" i="16"/>
  <c r="J17" i="16"/>
  <c r="G17" i="16"/>
  <c r="E17" i="16"/>
  <c r="D17" i="16"/>
  <c r="C17" i="16"/>
  <c r="N86" i="16" s="1"/>
  <c r="N16" i="16"/>
  <c r="M16" i="16"/>
  <c r="L16" i="16"/>
  <c r="K16" i="16"/>
  <c r="K16" i="19" s="1"/>
  <c r="J16" i="16"/>
  <c r="I16" i="16"/>
  <c r="H16" i="16"/>
  <c r="H16" i="19" s="1"/>
  <c r="H16" i="23" s="1"/>
  <c r="G16" i="16"/>
  <c r="G16" i="18" s="1"/>
  <c r="F16" i="16"/>
  <c r="E16" i="16"/>
  <c r="D16" i="16"/>
  <c r="C16" i="16"/>
  <c r="N85" i="16" s="1"/>
  <c r="O85" i="16" s="1"/>
  <c r="P85" i="16" s="1"/>
  <c r="Q85" i="16" s="1"/>
  <c r="R85" i="16" s="1"/>
  <c r="S85" i="16" s="1"/>
  <c r="T85" i="16" s="1"/>
  <c r="U85" i="16" s="1"/>
  <c r="V85" i="16" s="1"/>
  <c r="W85" i="16" s="1"/>
  <c r="X85" i="16" s="1"/>
  <c r="Y85" i="16" s="1"/>
  <c r="N15" i="16"/>
  <c r="M15" i="16"/>
  <c r="L15" i="16"/>
  <c r="L15" i="18" s="1"/>
  <c r="K15" i="16"/>
  <c r="K15" i="18" s="1"/>
  <c r="J15" i="16"/>
  <c r="I15" i="16"/>
  <c r="H15" i="16"/>
  <c r="G15" i="16"/>
  <c r="F15" i="16"/>
  <c r="E15" i="16"/>
  <c r="D15" i="16"/>
  <c r="C15" i="16"/>
  <c r="N84" i="16" s="1"/>
  <c r="O84" i="16" s="1"/>
  <c r="P84" i="16" s="1"/>
  <c r="Q84" i="16" s="1"/>
  <c r="R84" i="16" s="1"/>
  <c r="S84" i="16" s="1"/>
  <c r="T84" i="16" s="1"/>
  <c r="U84" i="16" s="1"/>
  <c r="V84" i="16" s="1"/>
  <c r="W84" i="16" s="1"/>
  <c r="X84" i="16" s="1"/>
  <c r="Y84" i="16" s="1"/>
  <c r="N14" i="16"/>
  <c r="M14" i="16"/>
  <c r="M14" i="18" s="1"/>
  <c r="L14" i="16"/>
  <c r="L14" i="18" s="1"/>
  <c r="K14" i="16"/>
  <c r="K14" i="18" s="1"/>
  <c r="J14" i="16"/>
  <c r="J14" i="19" s="1"/>
  <c r="J14" i="23" s="1"/>
  <c r="I14" i="16"/>
  <c r="I14" i="19" s="1"/>
  <c r="I14" i="23" s="1"/>
  <c r="H14" i="16"/>
  <c r="H14" i="19" s="1"/>
  <c r="H14" i="23" s="1"/>
  <c r="G14" i="16"/>
  <c r="G14" i="19" s="1"/>
  <c r="G14" i="23" s="1"/>
  <c r="F14" i="16"/>
  <c r="E14" i="16"/>
  <c r="D14" i="16"/>
  <c r="C14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N12" i="16"/>
  <c r="M12" i="16"/>
  <c r="L12" i="16"/>
  <c r="K12" i="16"/>
  <c r="J12" i="16"/>
  <c r="I12" i="16"/>
  <c r="H12" i="16"/>
  <c r="G12" i="16"/>
  <c r="F12" i="16"/>
  <c r="E12" i="16"/>
  <c r="D12" i="16"/>
  <c r="D12" i="18" s="1"/>
  <c r="C12" i="16"/>
  <c r="N11" i="16"/>
  <c r="M11" i="16"/>
  <c r="L11" i="16"/>
  <c r="L11" i="19" s="1"/>
  <c r="L11" i="23" s="1"/>
  <c r="K11" i="16"/>
  <c r="K11" i="18" s="1"/>
  <c r="J11" i="16"/>
  <c r="I11" i="16"/>
  <c r="I11" i="19" s="1"/>
  <c r="H11" i="16"/>
  <c r="G11" i="16"/>
  <c r="F11" i="16"/>
  <c r="E11" i="16"/>
  <c r="D11" i="16"/>
  <c r="C11" i="16"/>
  <c r="N80" i="16" s="1"/>
  <c r="O80" i="16" s="1"/>
  <c r="P80" i="16" s="1"/>
  <c r="Q80" i="16" s="1"/>
  <c r="R80" i="16" s="1"/>
  <c r="S80" i="16" s="1"/>
  <c r="T80" i="16" s="1"/>
  <c r="U80" i="16" s="1"/>
  <c r="V80" i="16" s="1"/>
  <c r="W80" i="16" s="1"/>
  <c r="X80" i="16" s="1"/>
  <c r="Y80" i="16" s="1"/>
  <c r="N10" i="16"/>
  <c r="M10" i="16"/>
  <c r="L10" i="16"/>
  <c r="K10" i="16"/>
  <c r="J10" i="16"/>
  <c r="I10" i="16"/>
  <c r="H10" i="16"/>
  <c r="G10" i="16"/>
  <c r="F10" i="16"/>
  <c r="E10" i="16"/>
  <c r="D10" i="16"/>
  <c r="C10" i="16"/>
  <c r="C10" i="19" s="1"/>
  <c r="N9" i="16"/>
  <c r="M9" i="16"/>
  <c r="L9" i="16"/>
  <c r="K9" i="16"/>
  <c r="J9" i="16"/>
  <c r="I9" i="16"/>
  <c r="H9" i="16"/>
  <c r="G9" i="16"/>
  <c r="F9" i="16"/>
  <c r="E9" i="16"/>
  <c r="D9" i="16"/>
  <c r="C9" i="16"/>
  <c r="N78" i="16" s="1"/>
  <c r="N8" i="16"/>
  <c r="M8" i="16"/>
  <c r="L8" i="16"/>
  <c r="K8" i="16"/>
  <c r="J8" i="16"/>
  <c r="I8" i="16"/>
  <c r="H8" i="16"/>
  <c r="G8" i="16"/>
  <c r="F8" i="16"/>
  <c r="E8" i="16"/>
  <c r="D8" i="16"/>
  <c r="C8" i="16"/>
  <c r="P8" i="16" s="1"/>
  <c r="N7" i="16"/>
  <c r="M7" i="16"/>
  <c r="L7" i="16"/>
  <c r="K68" i="16" s="1"/>
  <c r="K7" i="16"/>
  <c r="J67" i="16" s="1"/>
  <c r="J7" i="16"/>
  <c r="C5" i="16"/>
  <c r="F130" i="15"/>
  <c r="B130" i="15"/>
  <c r="C124" i="15"/>
  <c r="C118" i="15"/>
  <c r="C130" i="15" s="1"/>
  <c r="C142" i="15" s="1"/>
  <c r="B118" i="15"/>
  <c r="D118" i="15" s="1"/>
  <c r="B117" i="15"/>
  <c r="C112" i="15"/>
  <c r="F112" i="15" s="1"/>
  <c r="B109" i="15"/>
  <c r="C108" i="15"/>
  <c r="F108" i="15" s="1"/>
  <c r="C107" i="15"/>
  <c r="C106" i="15"/>
  <c r="F106" i="15" s="1"/>
  <c r="G106" i="15" s="1"/>
  <c r="H106" i="15" s="1"/>
  <c r="B106" i="15"/>
  <c r="E106" i="15" s="1"/>
  <c r="B105" i="15"/>
  <c r="C103" i="15"/>
  <c r="F103" i="15" s="1"/>
  <c r="B103" i="15"/>
  <c r="C100" i="15"/>
  <c r="F100" i="15" s="1"/>
  <c r="B99" i="15"/>
  <c r="E99" i="15" s="1"/>
  <c r="C97" i="15"/>
  <c r="F97" i="15" s="1"/>
  <c r="B97" i="15"/>
  <c r="E96" i="15"/>
  <c r="C96" i="15"/>
  <c r="B96" i="15"/>
  <c r="B108" i="15" s="1"/>
  <c r="E95" i="15"/>
  <c r="G95" i="15" s="1"/>
  <c r="H95" i="15" s="1"/>
  <c r="D95" i="15"/>
  <c r="C95" i="15"/>
  <c r="F95" i="15" s="1"/>
  <c r="B95" i="15"/>
  <c r="B107" i="15" s="1"/>
  <c r="F94" i="15"/>
  <c r="G94" i="15" s="1"/>
  <c r="H94" i="15" s="1"/>
  <c r="E94" i="15"/>
  <c r="C94" i="15"/>
  <c r="B94" i="15"/>
  <c r="D94" i="15" s="1"/>
  <c r="C93" i="15"/>
  <c r="F93" i="15" s="1"/>
  <c r="B93" i="15"/>
  <c r="E92" i="15"/>
  <c r="C92" i="15"/>
  <c r="F92" i="15" s="1"/>
  <c r="G92" i="15" s="1"/>
  <c r="H92" i="15" s="1"/>
  <c r="B92" i="15"/>
  <c r="B104" i="15" s="1"/>
  <c r="C91" i="15"/>
  <c r="F91" i="15" s="1"/>
  <c r="B91" i="15"/>
  <c r="E91" i="15" s="1"/>
  <c r="G91" i="15" s="1"/>
  <c r="H91" i="15" s="1"/>
  <c r="C90" i="15"/>
  <c r="B90" i="15"/>
  <c r="C89" i="15"/>
  <c r="F89" i="15" s="1"/>
  <c r="B89" i="15"/>
  <c r="G88" i="15"/>
  <c r="H88" i="15" s="1"/>
  <c r="E88" i="15"/>
  <c r="C88" i="15"/>
  <c r="F88" i="15" s="1"/>
  <c r="B88" i="15"/>
  <c r="B100" i="15" s="1"/>
  <c r="E87" i="15"/>
  <c r="C87" i="15"/>
  <c r="B87" i="15"/>
  <c r="C86" i="15"/>
  <c r="B86" i="15"/>
  <c r="E86" i="15" s="1"/>
  <c r="G85" i="15"/>
  <c r="H85" i="15" s="1"/>
  <c r="F85" i="15"/>
  <c r="E85" i="15"/>
  <c r="N85" i="15"/>
  <c r="O85" i="15" s="1"/>
  <c r="P85" i="15" s="1"/>
  <c r="Q85" i="15" s="1"/>
  <c r="R85" i="15" s="1"/>
  <c r="S85" i="15" s="1"/>
  <c r="T85" i="15" s="1"/>
  <c r="U85" i="15" s="1"/>
  <c r="V85" i="15" s="1"/>
  <c r="W85" i="15" s="1"/>
  <c r="X85" i="15" s="1"/>
  <c r="Y85" i="15" s="1"/>
  <c r="N83" i="15"/>
  <c r="O83" i="15" s="1"/>
  <c r="P83" i="15" s="1"/>
  <c r="Q83" i="15" s="1"/>
  <c r="R83" i="15" s="1"/>
  <c r="S83" i="15" s="1"/>
  <c r="T83" i="15" s="1"/>
  <c r="U83" i="15" s="1"/>
  <c r="V83" i="15" s="1"/>
  <c r="W83" i="15" s="1"/>
  <c r="X83" i="15" s="1"/>
  <c r="Y83" i="15" s="1"/>
  <c r="N79" i="15"/>
  <c r="O79" i="15" s="1"/>
  <c r="P79" i="15" s="1"/>
  <c r="Q79" i="15" s="1"/>
  <c r="R79" i="15" s="1"/>
  <c r="S79" i="15" s="1"/>
  <c r="T79" i="15" s="1"/>
  <c r="U79" i="15" s="1"/>
  <c r="V79" i="15" s="1"/>
  <c r="W79" i="15" s="1"/>
  <c r="X79" i="15" s="1"/>
  <c r="Y79" i="15" s="1"/>
  <c r="P78" i="15"/>
  <c r="Q78" i="15" s="1"/>
  <c r="R78" i="15" s="1"/>
  <c r="O78" i="15"/>
  <c r="N77" i="15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G84" i="15"/>
  <c r="F84" i="15"/>
  <c r="E84" i="15"/>
  <c r="F83" i="15"/>
  <c r="G83" i="15" s="1"/>
  <c r="E83" i="15"/>
  <c r="F82" i="15"/>
  <c r="E82" i="15"/>
  <c r="G82" i="15" s="1"/>
  <c r="D82" i="15"/>
  <c r="G81" i="15"/>
  <c r="F81" i="15"/>
  <c r="E81" i="15"/>
  <c r="D81" i="15"/>
  <c r="F80" i="15"/>
  <c r="E80" i="15"/>
  <c r="G80" i="15" s="1"/>
  <c r="G79" i="15"/>
  <c r="F79" i="15"/>
  <c r="E79" i="15"/>
  <c r="F78" i="15"/>
  <c r="G78" i="15" s="1"/>
  <c r="E78" i="15"/>
  <c r="D78" i="15"/>
  <c r="F77" i="15"/>
  <c r="G77" i="15" s="1"/>
  <c r="E77" i="15"/>
  <c r="G76" i="15"/>
  <c r="F76" i="15"/>
  <c r="E76" i="15"/>
  <c r="D76" i="15"/>
  <c r="F75" i="15"/>
  <c r="E75" i="15"/>
  <c r="G74" i="15"/>
  <c r="F74" i="15"/>
  <c r="E74" i="15"/>
  <c r="B67" i="15"/>
  <c r="C66" i="15"/>
  <c r="A66" i="15"/>
  <c r="E56" i="15"/>
  <c r="Q27" i="15"/>
  <c r="P11" i="15"/>
  <c r="L19" i="15"/>
  <c r="J19" i="15"/>
  <c r="E19" i="15"/>
  <c r="D19" i="15"/>
  <c r="C19" i="15"/>
  <c r="N88" i="15" s="1"/>
  <c r="F18" i="15"/>
  <c r="E66" i="15" s="1"/>
  <c r="E18" i="15"/>
  <c r="D18" i="15"/>
  <c r="D20" i="15" s="1"/>
  <c r="C18" i="15"/>
  <c r="N87" i="15" s="1"/>
  <c r="K17" i="15"/>
  <c r="J17" i="15"/>
  <c r="G17" i="15"/>
  <c r="F17" i="15"/>
  <c r="F20" i="15" s="1"/>
  <c r="E17" i="15"/>
  <c r="D17" i="15"/>
  <c r="C17" i="15"/>
  <c r="N86" i="15" s="1"/>
  <c r="O86" i="15" s="1"/>
  <c r="P86" i="15" s="1"/>
  <c r="N16" i="15"/>
  <c r="M16" i="15"/>
  <c r="L16" i="15"/>
  <c r="K16" i="15"/>
  <c r="J16" i="15"/>
  <c r="I16" i="15"/>
  <c r="H16" i="15"/>
  <c r="G16" i="15"/>
  <c r="F16" i="15"/>
  <c r="E16" i="15"/>
  <c r="D16" i="15"/>
  <c r="C16" i="15"/>
  <c r="P16" i="15" s="1"/>
  <c r="N15" i="15"/>
  <c r="M15" i="15"/>
  <c r="L15" i="15"/>
  <c r="K15" i="15"/>
  <c r="J15" i="15"/>
  <c r="I15" i="15"/>
  <c r="H15" i="15"/>
  <c r="G15" i="15"/>
  <c r="F15" i="15"/>
  <c r="E15" i="15"/>
  <c r="D15" i="15"/>
  <c r="C15" i="15"/>
  <c r="B69" i="15" s="1"/>
  <c r="N14" i="15"/>
  <c r="M14" i="15"/>
  <c r="L14" i="15"/>
  <c r="K14" i="15"/>
  <c r="J14" i="15"/>
  <c r="I14" i="15"/>
  <c r="H14" i="15"/>
  <c r="G14" i="15"/>
  <c r="F14" i="15"/>
  <c r="E14" i="15"/>
  <c r="D14" i="15"/>
  <c r="C14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N12" i="15"/>
  <c r="M12" i="15"/>
  <c r="L12" i="15"/>
  <c r="K12" i="15"/>
  <c r="J12" i="15"/>
  <c r="I12" i="15"/>
  <c r="H12" i="15"/>
  <c r="G12" i="15"/>
  <c r="F12" i="15"/>
  <c r="E12" i="15"/>
  <c r="D69" i="15" s="1"/>
  <c r="D12" i="15"/>
  <c r="C69" i="15" s="1"/>
  <c r="C12" i="15"/>
  <c r="N81" i="15" s="1"/>
  <c r="N11" i="15"/>
  <c r="M11" i="15"/>
  <c r="L11" i="15"/>
  <c r="K11" i="15"/>
  <c r="J11" i="15"/>
  <c r="I11" i="15"/>
  <c r="H11" i="15"/>
  <c r="G11" i="15"/>
  <c r="F11" i="15"/>
  <c r="E11" i="15"/>
  <c r="D11" i="15"/>
  <c r="C11" i="15"/>
  <c r="N80" i="15" s="1"/>
  <c r="O80" i="15" s="1"/>
  <c r="P80" i="15" s="1"/>
  <c r="Q80" i="15" s="1"/>
  <c r="R80" i="15" s="1"/>
  <c r="S80" i="15" s="1"/>
  <c r="T80" i="15" s="1"/>
  <c r="U80" i="15" s="1"/>
  <c r="V80" i="15" s="1"/>
  <c r="W80" i="15" s="1"/>
  <c r="X80" i="15" s="1"/>
  <c r="Y80" i="15" s="1"/>
  <c r="N10" i="15"/>
  <c r="M10" i="15"/>
  <c r="L10" i="15"/>
  <c r="K10" i="15"/>
  <c r="J10" i="15"/>
  <c r="I10" i="15"/>
  <c r="H10" i="15"/>
  <c r="G10" i="15"/>
  <c r="F10" i="15"/>
  <c r="E10" i="15"/>
  <c r="D10" i="15"/>
  <c r="P10" i="15" s="1"/>
  <c r="C10" i="15"/>
  <c r="N9" i="15"/>
  <c r="M9" i="15"/>
  <c r="L9" i="15"/>
  <c r="K9" i="15"/>
  <c r="J9" i="15"/>
  <c r="I9" i="15"/>
  <c r="H9" i="15"/>
  <c r="G9" i="15"/>
  <c r="F9" i="15"/>
  <c r="E9" i="15"/>
  <c r="D9" i="15"/>
  <c r="C9" i="15"/>
  <c r="N78" i="15" s="1"/>
  <c r="N8" i="15"/>
  <c r="M8" i="15"/>
  <c r="L8" i="15"/>
  <c r="K8" i="15"/>
  <c r="J8" i="15"/>
  <c r="I8" i="15"/>
  <c r="H8" i="15"/>
  <c r="G8" i="15"/>
  <c r="F8" i="15"/>
  <c r="E8" i="15"/>
  <c r="D8" i="15"/>
  <c r="C8" i="15"/>
  <c r="N7" i="15"/>
  <c r="D85" i="15" s="1"/>
  <c r="M7" i="15"/>
  <c r="D84" i="15" s="1"/>
  <c r="L7" i="15"/>
  <c r="D83" i="15" s="1"/>
  <c r="K7" i="15"/>
  <c r="J7" i="15"/>
  <c r="I7" i="15"/>
  <c r="H7" i="15"/>
  <c r="G7" i="15"/>
  <c r="F7" i="15"/>
  <c r="E7" i="15"/>
  <c r="D7" i="15"/>
  <c r="C7" i="15"/>
  <c r="P7" i="15" s="1"/>
  <c r="C5" i="15"/>
  <c r="E219" i="7"/>
  <c r="E207" i="7"/>
  <c r="E195" i="7"/>
  <c r="E183" i="7"/>
  <c r="E171" i="7"/>
  <c r="E159" i="7"/>
  <c r="E147" i="7"/>
  <c r="E135" i="7"/>
  <c r="E126" i="7"/>
  <c r="E123" i="7"/>
  <c r="E114" i="7"/>
  <c r="C113" i="7"/>
  <c r="F113" i="7" s="1"/>
  <c r="B113" i="7"/>
  <c r="E113" i="7" s="1"/>
  <c r="E111" i="7"/>
  <c r="C109" i="7"/>
  <c r="F109" i="7" s="1"/>
  <c r="C106" i="7"/>
  <c r="F106" i="7" s="1"/>
  <c r="G106" i="7" s="1"/>
  <c r="H106" i="7" s="1"/>
  <c r="B106" i="7"/>
  <c r="E106" i="7" s="1"/>
  <c r="C104" i="7"/>
  <c r="F104" i="7" s="1"/>
  <c r="B104" i="7"/>
  <c r="E102" i="7"/>
  <c r="C102" i="7"/>
  <c r="D102" i="7" s="1"/>
  <c r="B102" i="7"/>
  <c r="B114" i="7" s="1"/>
  <c r="B126" i="7" s="1"/>
  <c r="B138" i="7" s="1"/>
  <c r="C101" i="7"/>
  <c r="F101" i="7" s="1"/>
  <c r="B101" i="7"/>
  <c r="C100" i="7"/>
  <c r="E99" i="7"/>
  <c r="E97" i="7"/>
  <c r="C97" i="7"/>
  <c r="F97" i="7" s="1"/>
  <c r="B97" i="7"/>
  <c r="D97" i="7" s="1"/>
  <c r="C96" i="7"/>
  <c r="C108" i="7" s="1"/>
  <c r="B96" i="7"/>
  <c r="E96" i="7" s="1"/>
  <c r="F95" i="7"/>
  <c r="E95" i="7"/>
  <c r="D95" i="7"/>
  <c r="C95" i="7"/>
  <c r="C107" i="7" s="1"/>
  <c r="B95" i="7"/>
  <c r="B107" i="7" s="1"/>
  <c r="B119" i="7" s="1"/>
  <c r="B131" i="7" s="1"/>
  <c r="F94" i="7"/>
  <c r="E94" i="7"/>
  <c r="D94" i="7"/>
  <c r="C94" i="7"/>
  <c r="B94" i="7"/>
  <c r="C93" i="7"/>
  <c r="B93" i="7"/>
  <c r="G92" i="7"/>
  <c r="H92" i="7" s="1"/>
  <c r="F92" i="7"/>
  <c r="E92" i="7"/>
  <c r="C92" i="7"/>
  <c r="B92" i="7"/>
  <c r="D92" i="7" s="1"/>
  <c r="F91" i="7"/>
  <c r="E91" i="7"/>
  <c r="D91" i="7"/>
  <c r="C91" i="7"/>
  <c r="C103" i="7" s="1"/>
  <c r="B91" i="7"/>
  <c r="B103" i="7" s="1"/>
  <c r="G90" i="7"/>
  <c r="H90" i="7" s="1"/>
  <c r="C90" i="7"/>
  <c r="F90" i="7" s="1"/>
  <c r="B90" i="7"/>
  <c r="E90" i="7" s="1"/>
  <c r="E89" i="7"/>
  <c r="D89" i="7"/>
  <c r="C89" i="7"/>
  <c r="F89" i="7" s="1"/>
  <c r="B89" i="7"/>
  <c r="C88" i="7"/>
  <c r="F88" i="7" s="1"/>
  <c r="B88" i="7"/>
  <c r="F87" i="7"/>
  <c r="E87" i="7"/>
  <c r="D87" i="7"/>
  <c r="C87" i="7"/>
  <c r="C99" i="7" s="1"/>
  <c r="B87" i="7"/>
  <c r="B99" i="7" s="1"/>
  <c r="B111" i="7" s="1"/>
  <c r="B123" i="7" s="1"/>
  <c r="B135" i="7" s="1"/>
  <c r="B147" i="7" s="1"/>
  <c r="B159" i="7" s="1"/>
  <c r="B171" i="7" s="1"/>
  <c r="B183" i="7" s="1"/>
  <c r="B195" i="7" s="1"/>
  <c r="B207" i="7" s="1"/>
  <c r="B219" i="7" s="1"/>
  <c r="C86" i="7"/>
  <c r="F86" i="7" s="1"/>
  <c r="B86" i="7"/>
  <c r="B98" i="7" s="1"/>
  <c r="F85" i="7"/>
  <c r="E85" i="7"/>
  <c r="G85" i="7" s="1"/>
  <c r="H85" i="7" s="1"/>
  <c r="D85" i="7"/>
  <c r="O88" i="7"/>
  <c r="P88" i="7" s="1"/>
  <c r="Q88" i="7" s="1"/>
  <c r="R88" i="7" s="1"/>
  <c r="S88" i="7" s="1"/>
  <c r="T88" i="7" s="1"/>
  <c r="U88" i="7" s="1"/>
  <c r="V88" i="7" s="1"/>
  <c r="W88" i="7" s="1"/>
  <c r="X88" i="7" s="1"/>
  <c r="Y88" i="7" s="1"/>
  <c r="N88" i="7"/>
  <c r="N86" i="7"/>
  <c r="O86" i="7" s="1"/>
  <c r="P86" i="7" s="1"/>
  <c r="Q86" i="7" s="1"/>
  <c r="R86" i="7" s="1"/>
  <c r="S86" i="7" s="1"/>
  <c r="T86" i="7" s="1"/>
  <c r="U86" i="7" s="1"/>
  <c r="V86" i="7" s="1"/>
  <c r="W86" i="7" s="1"/>
  <c r="X86" i="7" s="1"/>
  <c r="Y86" i="7" s="1"/>
  <c r="N85" i="7"/>
  <c r="O85" i="7" s="1"/>
  <c r="P85" i="7" s="1"/>
  <c r="Q85" i="7" s="1"/>
  <c r="R85" i="7" s="1"/>
  <c r="S85" i="7" s="1"/>
  <c r="T85" i="7" s="1"/>
  <c r="U85" i="7" s="1"/>
  <c r="V85" i="7" s="1"/>
  <c r="W85" i="7" s="1"/>
  <c r="X85" i="7" s="1"/>
  <c r="Y85" i="7" s="1"/>
  <c r="N84" i="7"/>
  <c r="O84" i="7" s="1"/>
  <c r="P84" i="7" s="1"/>
  <c r="Q84" i="7" s="1"/>
  <c r="R84" i="7" s="1"/>
  <c r="S84" i="7" s="1"/>
  <c r="T84" i="7" s="1"/>
  <c r="U84" i="7" s="1"/>
  <c r="V84" i="7" s="1"/>
  <c r="W84" i="7" s="1"/>
  <c r="X84" i="7" s="1"/>
  <c r="Y84" i="7" s="1"/>
  <c r="O83" i="7"/>
  <c r="P83" i="7" s="1"/>
  <c r="Q83" i="7" s="1"/>
  <c r="R83" i="7" s="1"/>
  <c r="S83" i="7" s="1"/>
  <c r="T83" i="7" s="1"/>
  <c r="U83" i="7" s="1"/>
  <c r="V83" i="7" s="1"/>
  <c r="W83" i="7" s="1"/>
  <c r="X83" i="7" s="1"/>
  <c r="Y83" i="7" s="1"/>
  <c r="N83" i="7"/>
  <c r="R82" i="7"/>
  <c r="S82" i="7" s="1"/>
  <c r="T82" i="7" s="1"/>
  <c r="U82" i="7" s="1"/>
  <c r="V82" i="7" s="1"/>
  <c r="W82" i="7" s="1"/>
  <c r="X82" i="7" s="1"/>
  <c r="Y82" i="7" s="1"/>
  <c r="N82" i="7"/>
  <c r="O82" i="7" s="1"/>
  <c r="P82" i="7" s="1"/>
  <c r="Q82" i="7" s="1"/>
  <c r="N81" i="7"/>
  <c r="O81" i="7" s="1"/>
  <c r="P81" i="7" s="1"/>
  <c r="Q81" i="7" s="1"/>
  <c r="R81" i="7" s="1"/>
  <c r="S81" i="7" s="1"/>
  <c r="T81" i="7" s="1"/>
  <c r="U81" i="7" s="1"/>
  <c r="V81" i="7" s="1"/>
  <c r="W81" i="7" s="1"/>
  <c r="X81" i="7" s="1"/>
  <c r="Y81" i="7" s="1"/>
  <c r="U80" i="7"/>
  <c r="V80" i="7" s="1"/>
  <c r="W80" i="7" s="1"/>
  <c r="X80" i="7" s="1"/>
  <c r="Y80" i="7" s="1"/>
  <c r="Q80" i="7"/>
  <c r="R80" i="7" s="1"/>
  <c r="S80" i="7" s="1"/>
  <c r="T80" i="7" s="1"/>
  <c r="P80" i="7"/>
  <c r="O80" i="7"/>
  <c r="N80" i="7"/>
  <c r="N79" i="7"/>
  <c r="O79" i="7" s="1"/>
  <c r="P79" i="7" s="1"/>
  <c r="Q79" i="7" s="1"/>
  <c r="R79" i="7" s="1"/>
  <c r="S79" i="7" s="1"/>
  <c r="T79" i="7" s="1"/>
  <c r="U79" i="7" s="1"/>
  <c r="V79" i="7" s="1"/>
  <c r="W79" i="7" s="1"/>
  <c r="X79" i="7" s="1"/>
  <c r="Y79" i="7" s="1"/>
  <c r="N78" i="7"/>
  <c r="O78" i="7" s="1"/>
  <c r="P78" i="7" s="1"/>
  <c r="Q78" i="7" s="1"/>
  <c r="R78" i="7" s="1"/>
  <c r="S78" i="7" s="1"/>
  <c r="T78" i="7" s="1"/>
  <c r="U78" i="7" s="1"/>
  <c r="V78" i="7" s="1"/>
  <c r="W78" i="7" s="1"/>
  <c r="X78" i="7" s="1"/>
  <c r="Y78" i="7" s="1"/>
  <c r="N77" i="7"/>
  <c r="O77" i="7" s="1"/>
  <c r="P77" i="7" s="1"/>
  <c r="Q77" i="7" s="1"/>
  <c r="R77" i="7" s="1"/>
  <c r="S77" i="7" s="1"/>
  <c r="T77" i="7" s="1"/>
  <c r="U77" i="7" s="1"/>
  <c r="V77" i="7" s="1"/>
  <c r="W77" i="7" s="1"/>
  <c r="X77" i="7" s="1"/>
  <c r="Y77" i="7" s="1"/>
  <c r="T76" i="7"/>
  <c r="U76" i="7" s="1"/>
  <c r="V76" i="7" s="1"/>
  <c r="W76" i="7" s="1"/>
  <c r="X76" i="7" s="1"/>
  <c r="Y76" i="7" s="1"/>
  <c r="S76" i="7"/>
  <c r="P76" i="7"/>
  <c r="Q76" i="7" s="1"/>
  <c r="R76" i="7" s="1"/>
  <c r="N76" i="7"/>
  <c r="O76" i="7" s="1"/>
  <c r="F84" i="7"/>
  <c r="E84" i="7"/>
  <c r="G84" i="7" s="1"/>
  <c r="D84" i="7"/>
  <c r="F83" i="7"/>
  <c r="G83" i="7" s="1"/>
  <c r="E83" i="7"/>
  <c r="D83" i="7"/>
  <c r="F82" i="7"/>
  <c r="G82" i="7" s="1"/>
  <c r="E82" i="7"/>
  <c r="D82" i="7"/>
  <c r="F81" i="7"/>
  <c r="G81" i="7" s="1"/>
  <c r="E81" i="7"/>
  <c r="D81" i="7"/>
  <c r="F80" i="7"/>
  <c r="E80" i="7"/>
  <c r="D80" i="7"/>
  <c r="F79" i="7"/>
  <c r="G79" i="7" s="1"/>
  <c r="E79" i="7"/>
  <c r="D79" i="7"/>
  <c r="F78" i="7"/>
  <c r="E78" i="7"/>
  <c r="D78" i="7"/>
  <c r="G77" i="7"/>
  <c r="F77" i="7"/>
  <c r="E77" i="7"/>
  <c r="D77" i="7"/>
  <c r="F76" i="7"/>
  <c r="E76" i="7"/>
  <c r="G76" i="7" s="1"/>
  <c r="D76" i="7"/>
  <c r="F75" i="7"/>
  <c r="G75" i="7" s="1"/>
  <c r="E75" i="7"/>
  <c r="D75" i="7"/>
  <c r="F74" i="7"/>
  <c r="G74" i="7" s="1"/>
  <c r="E74" i="7"/>
  <c r="D74" i="7"/>
  <c r="M69" i="7"/>
  <c r="L69" i="7"/>
  <c r="K69" i="7"/>
  <c r="J69" i="7"/>
  <c r="I69" i="7"/>
  <c r="H69" i="7"/>
  <c r="G69" i="7"/>
  <c r="F69" i="7"/>
  <c r="E69" i="7"/>
  <c r="D69" i="7"/>
  <c r="C69" i="7"/>
  <c r="B69" i="7"/>
  <c r="M68" i="7"/>
  <c r="L68" i="7"/>
  <c r="K68" i="7"/>
  <c r="J68" i="7"/>
  <c r="I68" i="7"/>
  <c r="H68" i="7"/>
  <c r="G68" i="7"/>
  <c r="F68" i="7"/>
  <c r="E68" i="7"/>
  <c r="D68" i="7"/>
  <c r="C68" i="7"/>
  <c r="B68" i="7"/>
  <c r="M67" i="7"/>
  <c r="L67" i="7"/>
  <c r="K67" i="7"/>
  <c r="J67" i="7"/>
  <c r="I67" i="7"/>
  <c r="H67" i="7"/>
  <c r="G67" i="7"/>
  <c r="F67" i="7"/>
  <c r="E67" i="7"/>
  <c r="D67" i="7"/>
  <c r="C67" i="7"/>
  <c r="B67" i="7"/>
  <c r="L66" i="7"/>
  <c r="K66" i="7"/>
  <c r="D66" i="7"/>
  <c r="C66" i="7"/>
  <c r="B66" i="7"/>
  <c r="A66" i="7"/>
  <c r="E56" i="7"/>
  <c r="Q27" i="7"/>
  <c r="P17" i="7"/>
  <c r="P16" i="7"/>
  <c r="P15" i="7"/>
  <c r="P14" i="7"/>
  <c r="P13" i="7"/>
  <c r="P12" i="7"/>
  <c r="Q12" i="7" s="1"/>
  <c r="P11" i="7"/>
  <c r="P10" i="7"/>
  <c r="P9" i="7"/>
  <c r="P8" i="7"/>
  <c r="P7" i="7"/>
  <c r="N20" i="7"/>
  <c r="M20" i="7"/>
  <c r="L20" i="7"/>
  <c r="K20" i="7"/>
  <c r="J20" i="7"/>
  <c r="G20" i="7"/>
  <c r="N19" i="7"/>
  <c r="M19" i="7"/>
  <c r="L19" i="7"/>
  <c r="K19" i="7"/>
  <c r="J19" i="7"/>
  <c r="I19" i="7"/>
  <c r="H19" i="7"/>
  <c r="G19" i="7"/>
  <c r="F19" i="7"/>
  <c r="E19" i="7"/>
  <c r="D19" i="7"/>
  <c r="C19" i="7"/>
  <c r="N18" i="7"/>
  <c r="M66" i="7" s="1"/>
  <c r="M18" i="7"/>
  <c r="L18" i="7"/>
  <c r="K18" i="7"/>
  <c r="J66" i="7" s="1"/>
  <c r="J18" i="7"/>
  <c r="I18" i="7"/>
  <c r="H18" i="7"/>
  <c r="G18" i="7"/>
  <c r="F18" i="7"/>
  <c r="E18" i="7"/>
  <c r="E20" i="7" s="1"/>
  <c r="D18" i="7"/>
  <c r="D20" i="7" s="1"/>
  <c r="C18" i="7"/>
  <c r="Q16" i="7"/>
  <c r="Q15" i="7"/>
  <c r="Q14" i="7"/>
  <c r="Q13" i="7"/>
  <c r="Q10" i="7"/>
  <c r="Q9" i="7"/>
  <c r="C5" i="7"/>
  <c r="F223" i="6"/>
  <c r="F219" i="6"/>
  <c r="F211" i="6"/>
  <c r="F207" i="6"/>
  <c r="F203" i="6"/>
  <c r="F191" i="6"/>
  <c r="F187" i="6"/>
  <c r="F179" i="6"/>
  <c r="F175" i="6"/>
  <c r="F167" i="6"/>
  <c r="F163" i="6"/>
  <c r="F159" i="6"/>
  <c r="F155" i="6"/>
  <c r="F143" i="6"/>
  <c r="F139" i="6"/>
  <c r="F127" i="6"/>
  <c r="F123" i="6"/>
  <c r="F115" i="6"/>
  <c r="F103" i="6"/>
  <c r="C102" i="6"/>
  <c r="C114" i="6" s="1"/>
  <c r="B102" i="6"/>
  <c r="B114" i="6" s="1"/>
  <c r="C97" i="6"/>
  <c r="F97" i="6" s="1"/>
  <c r="B97" i="6"/>
  <c r="E97" i="6" s="1"/>
  <c r="C96" i="6"/>
  <c r="F96" i="6" s="1"/>
  <c r="G96" i="6" s="1"/>
  <c r="H96" i="6" s="1"/>
  <c r="B96" i="6"/>
  <c r="E96" i="6" s="1"/>
  <c r="F95" i="6"/>
  <c r="G95" i="6" s="1"/>
  <c r="H95" i="6" s="1"/>
  <c r="C95" i="6"/>
  <c r="C107" i="6" s="1"/>
  <c r="C119" i="6" s="1"/>
  <c r="C131" i="6" s="1"/>
  <c r="C143" i="6" s="1"/>
  <c r="C155" i="6" s="1"/>
  <c r="C167" i="6" s="1"/>
  <c r="C179" i="6" s="1"/>
  <c r="C191" i="6" s="1"/>
  <c r="C203" i="6" s="1"/>
  <c r="C215" i="6" s="1"/>
  <c r="C227" i="6" s="1"/>
  <c r="F227" i="6" s="1"/>
  <c r="B95" i="6"/>
  <c r="E95" i="6" s="1"/>
  <c r="C94" i="6"/>
  <c r="C106" i="6" s="1"/>
  <c r="B94" i="6"/>
  <c r="B106" i="6" s="1"/>
  <c r="C93" i="6"/>
  <c r="F93" i="6" s="1"/>
  <c r="B93" i="6"/>
  <c r="E93" i="6" s="1"/>
  <c r="C92" i="6"/>
  <c r="F92" i="6" s="1"/>
  <c r="B92" i="6"/>
  <c r="E92" i="6" s="1"/>
  <c r="G91" i="6"/>
  <c r="H91" i="6" s="1"/>
  <c r="F91" i="6"/>
  <c r="C91" i="6"/>
  <c r="C103" i="6" s="1"/>
  <c r="C115" i="6" s="1"/>
  <c r="C127" i="6" s="1"/>
  <c r="C139" i="6" s="1"/>
  <c r="C151" i="6" s="1"/>
  <c r="C163" i="6" s="1"/>
  <c r="C175" i="6" s="1"/>
  <c r="C187" i="6" s="1"/>
  <c r="C199" i="6" s="1"/>
  <c r="C211" i="6" s="1"/>
  <c r="C223" i="6" s="1"/>
  <c r="B91" i="6"/>
  <c r="E91" i="6" s="1"/>
  <c r="F90" i="6"/>
  <c r="G90" i="6" s="1"/>
  <c r="H90" i="6" s="1"/>
  <c r="E90" i="6"/>
  <c r="D90" i="6"/>
  <c r="C90" i="6"/>
  <c r="B90" i="6"/>
  <c r="C89" i="6"/>
  <c r="F89" i="6" s="1"/>
  <c r="B89" i="6"/>
  <c r="E89" i="6" s="1"/>
  <c r="C88" i="6"/>
  <c r="F88" i="6" s="1"/>
  <c r="G88" i="6" s="1"/>
  <c r="H88" i="6" s="1"/>
  <c r="B88" i="6"/>
  <c r="E88" i="6" s="1"/>
  <c r="F87" i="6"/>
  <c r="G87" i="6" s="1"/>
  <c r="H87" i="6" s="1"/>
  <c r="C87" i="6"/>
  <c r="C99" i="6" s="1"/>
  <c r="C111" i="6" s="1"/>
  <c r="C123" i="6" s="1"/>
  <c r="C135" i="6" s="1"/>
  <c r="C147" i="6" s="1"/>
  <c r="C159" i="6" s="1"/>
  <c r="C171" i="6" s="1"/>
  <c r="C183" i="6" s="1"/>
  <c r="C195" i="6" s="1"/>
  <c r="C207" i="6" s="1"/>
  <c r="C219" i="6" s="1"/>
  <c r="B87" i="6"/>
  <c r="E87" i="6" s="1"/>
  <c r="C86" i="6"/>
  <c r="C98" i="6" s="1"/>
  <c r="B86" i="6"/>
  <c r="B98" i="6" s="1"/>
  <c r="G85" i="6"/>
  <c r="H85" i="6" s="1"/>
  <c r="F85" i="6"/>
  <c r="E85" i="6"/>
  <c r="D85" i="6"/>
  <c r="N88" i="6"/>
  <c r="O88" i="6" s="1"/>
  <c r="P88" i="6" s="1"/>
  <c r="Q88" i="6" s="1"/>
  <c r="R88" i="6" s="1"/>
  <c r="S88" i="6" s="1"/>
  <c r="T88" i="6" s="1"/>
  <c r="U88" i="6" s="1"/>
  <c r="V88" i="6" s="1"/>
  <c r="W88" i="6" s="1"/>
  <c r="X88" i="6" s="1"/>
  <c r="Y88" i="6" s="1"/>
  <c r="N87" i="6"/>
  <c r="O87" i="6" s="1"/>
  <c r="P87" i="6" s="1"/>
  <c r="Q87" i="6" s="1"/>
  <c r="R87" i="6" s="1"/>
  <c r="S87" i="6" s="1"/>
  <c r="T87" i="6" s="1"/>
  <c r="U87" i="6" s="1"/>
  <c r="V87" i="6" s="1"/>
  <c r="W87" i="6" s="1"/>
  <c r="X87" i="6" s="1"/>
  <c r="Y87" i="6" s="1"/>
  <c r="O86" i="6"/>
  <c r="P86" i="6" s="1"/>
  <c r="Q86" i="6" s="1"/>
  <c r="R86" i="6" s="1"/>
  <c r="S86" i="6" s="1"/>
  <c r="N86" i="6"/>
  <c r="P85" i="6"/>
  <c r="Q85" i="6" s="1"/>
  <c r="R85" i="6" s="1"/>
  <c r="S85" i="6" s="1"/>
  <c r="T85" i="6" s="1"/>
  <c r="U85" i="6" s="1"/>
  <c r="V85" i="6" s="1"/>
  <c r="W85" i="6" s="1"/>
  <c r="X85" i="6" s="1"/>
  <c r="Y85" i="6" s="1"/>
  <c r="N85" i="6"/>
  <c r="O85" i="6" s="1"/>
  <c r="P84" i="6"/>
  <c r="Q84" i="6" s="1"/>
  <c r="R84" i="6" s="1"/>
  <c r="S84" i="6" s="1"/>
  <c r="T84" i="6" s="1"/>
  <c r="U84" i="6" s="1"/>
  <c r="V84" i="6" s="1"/>
  <c r="W84" i="6" s="1"/>
  <c r="X84" i="6" s="1"/>
  <c r="Y84" i="6" s="1"/>
  <c r="N84" i="6"/>
  <c r="O84" i="6" s="1"/>
  <c r="N83" i="6"/>
  <c r="O83" i="6" s="1"/>
  <c r="P83" i="6" s="1"/>
  <c r="Q83" i="6" s="1"/>
  <c r="R83" i="6" s="1"/>
  <c r="S83" i="6" s="1"/>
  <c r="T83" i="6" s="1"/>
  <c r="U83" i="6" s="1"/>
  <c r="V83" i="6" s="1"/>
  <c r="W83" i="6" s="1"/>
  <c r="X83" i="6" s="1"/>
  <c r="Y83" i="6" s="1"/>
  <c r="N82" i="6"/>
  <c r="O82" i="6" s="1"/>
  <c r="P82" i="6" s="1"/>
  <c r="Q82" i="6" s="1"/>
  <c r="R82" i="6" s="1"/>
  <c r="S82" i="6" s="1"/>
  <c r="T82" i="6" s="1"/>
  <c r="U82" i="6" s="1"/>
  <c r="V82" i="6" s="1"/>
  <c r="W82" i="6" s="1"/>
  <c r="X82" i="6" s="1"/>
  <c r="Y82" i="6" s="1"/>
  <c r="U81" i="6"/>
  <c r="V81" i="6" s="1"/>
  <c r="W81" i="6" s="1"/>
  <c r="X81" i="6" s="1"/>
  <c r="Y81" i="6" s="1"/>
  <c r="T81" i="6"/>
  <c r="O81" i="6"/>
  <c r="P81" i="6" s="1"/>
  <c r="Q81" i="6" s="1"/>
  <c r="R81" i="6" s="1"/>
  <c r="S81" i="6" s="1"/>
  <c r="N81" i="6"/>
  <c r="N80" i="6"/>
  <c r="O80" i="6" s="1"/>
  <c r="P80" i="6" s="1"/>
  <c r="Q80" i="6" s="1"/>
  <c r="R80" i="6" s="1"/>
  <c r="S80" i="6" s="1"/>
  <c r="T80" i="6" s="1"/>
  <c r="U80" i="6" s="1"/>
  <c r="V80" i="6" s="1"/>
  <c r="W80" i="6" s="1"/>
  <c r="X80" i="6" s="1"/>
  <c r="Y80" i="6" s="1"/>
  <c r="N79" i="6"/>
  <c r="O79" i="6" s="1"/>
  <c r="P79" i="6" s="1"/>
  <c r="Q79" i="6" s="1"/>
  <c r="R79" i="6" s="1"/>
  <c r="S79" i="6" s="1"/>
  <c r="T79" i="6" s="1"/>
  <c r="U79" i="6" s="1"/>
  <c r="V79" i="6" s="1"/>
  <c r="W79" i="6" s="1"/>
  <c r="X79" i="6" s="1"/>
  <c r="Y79" i="6" s="1"/>
  <c r="X78" i="6"/>
  <c r="Y78" i="6" s="1"/>
  <c r="O78" i="6"/>
  <c r="P78" i="6" s="1"/>
  <c r="Q78" i="6" s="1"/>
  <c r="R78" i="6" s="1"/>
  <c r="S78" i="6" s="1"/>
  <c r="T78" i="6" s="1"/>
  <c r="U78" i="6" s="1"/>
  <c r="V78" i="6" s="1"/>
  <c r="W78" i="6" s="1"/>
  <c r="N78" i="6"/>
  <c r="P77" i="6"/>
  <c r="Q77" i="6" s="1"/>
  <c r="R77" i="6" s="1"/>
  <c r="S77" i="6" s="1"/>
  <c r="T77" i="6" s="1"/>
  <c r="U77" i="6" s="1"/>
  <c r="V77" i="6" s="1"/>
  <c r="W77" i="6" s="1"/>
  <c r="X77" i="6" s="1"/>
  <c r="Y77" i="6" s="1"/>
  <c r="N77" i="6"/>
  <c r="O77" i="6" s="1"/>
  <c r="N76" i="6"/>
  <c r="O76" i="6" s="1"/>
  <c r="P76" i="6" s="1"/>
  <c r="Q76" i="6" s="1"/>
  <c r="R76" i="6" s="1"/>
  <c r="S76" i="6" s="1"/>
  <c r="T76" i="6" s="1"/>
  <c r="U76" i="6" s="1"/>
  <c r="V76" i="6" s="1"/>
  <c r="W76" i="6" s="1"/>
  <c r="X76" i="6" s="1"/>
  <c r="Y76" i="6" s="1"/>
  <c r="G84" i="6"/>
  <c r="F84" i="6"/>
  <c r="E84" i="6"/>
  <c r="D84" i="6"/>
  <c r="F83" i="6"/>
  <c r="G83" i="6" s="1"/>
  <c r="E83" i="6"/>
  <c r="D83" i="6"/>
  <c r="F82" i="6"/>
  <c r="G82" i="6" s="1"/>
  <c r="E82" i="6"/>
  <c r="D82" i="6"/>
  <c r="F81" i="6"/>
  <c r="G81" i="6" s="1"/>
  <c r="E81" i="6"/>
  <c r="D81" i="6"/>
  <c r="F80" i="6"/>
  <c r="G80" i="6" s="1"/>
  <c r="E80" i="6"/>
  <c r="D80" i="6"/>
  <c r="F79" i="6"/>
  <c r="G79" i="6" s="1"/>
  <c r="E79" i="6"/>
  <c r="D79" i="6"/>
  <c r="F78" i="6"/>
  <c r="G78" i="6" s="1"/>
  <c r="E78" i="6"/>
  <c r="D78" i="6"/>
  <c r="F77" i="6"/>
  <c r="G77" i="6" s="1"/>
  <c r="E77" i="6"/>
  <c r="D77" i="6"/>
  <c r="G76" i="6"/>
  <c r="F76" i="6"/>
  <c r="E76" i="6"/>
  <c r="D76" i="6"/>
  <c r="F75" i="6"/>
  <c r="G75" i="6" s="1"/>
  <c r="E75" i="6"/>
  <c r="D75" i="6"/>
  <c r="F74" i="6"/>
  <c r="G74" i="6" s="1"/>
  <c r="E74" i="6"/>
  <c r="D74" i="6"/>
  <c r="M69" i="6"/>
  <c r="L69" i="6"/>
  <c r="K69" i="6"/>
  <c r="J69" i="6"/>
  <c r="I69" i="6"/>
  <c r="H69" i="6"/>
  <c r="G69" i="6"/>
  <c r="F69" i="6"/>
  <c r="E69" i="6"/>
  <c r="D69" i="6"/>
  <c r="C69" i="6"/>
  <c r="B69" i="6"/>
  <c r="J68" i="6"/>
  <c r="I68" i="6"/>
  <c r="G68" i="6"/>
  <c r="F68" i="6"/>
  <c r="E68" i="6"/>
  <c r="D68" i="6"/>
  <c r="C68" i="6"/>
  <c r="B68" i="6"/>
  <c r="G67" i="6"/>
  <c r="F67" i="6"/>
  <c r="E67" i="6"/>
  <c r="D67" i="6"/>
  <c r="C67" i="6"/>
  <c r="B67" i="6"/>
  <c r="M66" i="6"/>
  <c r="L66" i="6"/>
  <c r="K66" i="6"/>
  <c r="J66" i="6"/>
  <c r="H66" i="6"/>
  <c r="G66" i="6"/>
  <c r="F66" i="6"/>
  <c r="E66" i="6"/>
  <c r="D66" i="6"/>
  <c r="C66" i="6"/>
  <c r="B66" i="6"/>
  <c r="A66" i="6"/>
  <c r="E56" i="6"/>
  <c r="Q27" i="6"/>
  <c r="P18" i="6"/>
  <c r="P16" i="6"/>
  <c r="P15" i="6"/>
  <c r="P14" i="6"/>
  <c r="P13" i="6"/>
  <c r="P12" i="6"/>
  <c r="P11" i="6"/>
  <c r="Q11" i="6" s="1"/>
  <c r="P10" i="6"/>
  <c r="P9" i="6"/>
  <c r="P8" i="6"/>
  <c r="P7" i="6"/>
  <c r="H20" i="6"/>
  <c r="G20" i="6"/>
  <c r="F20" i="6"/>
  <c r="E20" i="6"/>
  <c r="N19" i="6"/>
  <c r="M19" i="6"/>
  <c r="L19" i="6"/>
  <c r="K19" i="6"/>
  <c r="J19" i="6"/>
  <c r="I19" i="6"/>
  <c r="H19" i="6"/>
  <c r="G19" i="6"/>
  <c r="P19" i="6" s="1"/>
  <c r="F19" i="6"/>
  <c r="E19" i="6"/>
  <c r="D19" i="6"/>
  <c r="C19" i="6"/>
  <c r="N18" i="6"/>
  <c r="M18" i="6"/>
  <c r="L18" i="6"/>
  <c r="K18" i="6"/>
  <c r="K18" i="25" s="1"/>
  <c r="J66" i="25" s="1"/>
  <c r="J18" i="6"/>
  <c r="I18" i="6"/>
  <c r="H18" i="6"/>
  <c r="H18" i="25" s="1"/>
  <c r="G18" i="6"/>
  <c r="F18" i="6"/>
  <c r="E18" i="6"/>
  <c r="D18" i="6"/>
  <c r="C18" i="6"/>
  <c r="C56" i="6" s="1"/>
  <c r="Q16" i="6"/>
  <c r="Q15" i="6"/>
  <c r="Q14" i="6"/>
  <c r="Q13" i="6"/>
  <c r="Q12" i="6"/>
  <c r="N17" i="6"/>
  <c r="M17" i="6"/>
  <c r="L17" i="6"/>
  <c r="K68" i="6" s="1"/>
  <c r="K17" i="6"/>
  <c r="J17" i="6"/>
  <c r="I17" i="6"/>
  <c r="H68" i="6" s="1"/>
  <c r="C5" i="6"/>
  <c r="R136" i="5"/>
  <c r="R135" i="5"/>
  <c r="R134" i="5"/>
  <c r="R133" i="5"/>
  <c r="R139" i="5" s="1"/>
  <c r="B155" i="5"/>
  <c r="C147" i="5"/>
  <c r="F147" i="5" s="1"/>
  <c r="B143" i="5"/>
  <c r="E143" i="5" s="1"/>
  <c r="B135" i="5"/>
  <c r="D135" i="5" s="1"/>
  <c r="B131" i="5"/>
  <c r="E131" i="5" s="1"/>
  <c r="B124" i="5"/>
  <c r="F123" i="5"/>
  <c r="G123" i="5" s="1"/>
  <c r="H123" i="5" s="1"/>
  <c r="E123" i="5"/>
  <c r="E119" i="5"/>
  <c r="B119" i="5"/>
  <c r="B112" i="5"/>
  <c r="F111" i="5"/>
  <c r="E111" i="5"/>
  <c r="C111" i="5"/>
  <c r="C123" i="5" s="1"/>
  <c r="C135" i="5" s="1"/>
  <c r="F135" i="5" s="1"/>
  <c r="B108" i="5"/>
  <c r="B120" i="5" s="1"/>
  <c r="E107" i="5"/>
  <c r="B107" i="5"/>
  <c r="B106" i="5"/>
  <c r="C105" i="5"/>
  <c r="F105" i="5" s="1"/>
  <c r="B105" i="5"/>
  <c r="B102" i="5"/>
  <c r="B114" i="5" s="1"/>
  <c r="C101" i="5"/>
  <c r="F101" i="5" s="1"/>
  <c r="B100" i="5"/>
  <c r="E99" i="5"/>
  <c r="D99" i="5"/>
  <c r="I110" i="5" s="1"/>
  <c r="C99" i="5"/>
  <c r="F99" i="5" s="1"/>
  <c r="B99" i="5"/>
  <c r="B111" i="5" s="1"/>
  <c r="B123" i="5" s="1"/>
  <c r="D123" i="5" s="1"/>
  <c r="B98" i="5"/>
  <c r="B110" i="5" s="1"/>
  <c r="C97" i="5"/>
  <c r="C109" i="5" s="1"/>
  <c r="B97" i="5"/>
  <c r="E97" i="5" s="1"/>
  <c r="I96" i="5"/>
  <c r="C96" i="5"/>
  <c r="B96" i="5"/>
  <c r="C95" i="5"/>
  <c r="F95" i="5" s="1"/>
  <c r="G95" i="5" s="1"/>
  <c r="H95" i="5" s="1"/>
  <c r="B95" i="5"/>
  <c r="E95" i="5" s="1"/>
  <c r="I94" i="5"/>
  <c r="F94" i="5"/>
  <c r="C94" i="5"/>
  <c r="C106" i="5" s="1"/>
  <c r="B94" i="5"/>
  <c r="I93" i="5"/>
  <c r="C93" i="5"/>
  <c r="F93" i="5" s="1"/>
  <c r="G93" i="5" s="1"/>
  <c r="H93" i="5" s="1"/>
  <c r="B93" i="5"/>
  <c r="E93" i="5" s="1"/>
  <c r="C92" i="5"/>
  <c r="B92" i="5"/>
  <c r="I91" i="5"/>
  <c r="F91" i="5"/>
  <c r="G91" i="5" s="1"/>
  <c r="H91" i="5" s="1"/>
  <c r="E91" i="5"/>
  <c r="C91" i="5"/>
  <c r="C103" i="5" s="1"/>
  <c r="B91" i="5"/>
  <c r="B103" i="5" s="1"/>
  <c r="I90" i="5"/>
  <c r="F90" i="5"/>
  <c r="C90" i="5"/>
  <c r="C102" i="5" s="1"/>
  <c r="B90" i="5"/>
  <c r="I89" i="5"/>
  <c r="C89" i="5"/>
  <c r="F89" i="5" s="1"/>
  <c r="G89" i="5" s="1"/>
  <c r="H89" i="5" s="1"/>
  <c r="B89" i="5"/>
  <c r="E89" i="5" s="1"/>
  <c r="I88" i="5"/>
  <c r="C88" i="5"/>
  <c r="B88" i="5"/>
  <c r="I87" i="5"/>
  <c r="F87" i="5"/>
  <c r="C87" i="5"/>
  <c r="B87" i="5"/>
  <c r="D87" i="5" s="1"/>
  <c r="I98" i="5" s="1"/>
  <c r="I86" i="5"/>
  <c r="F86" i="5"/>
  <c r="C86" i="5"/>
  <c r="C98" i="5" s="1"/>
  <c r="B86" i="5"/>
  <c r="I85" i="5"/>
  <c r="H85" i="5"/>
  <c r="F85" i="5"/>
  <c r="G85" i="5" s="1"/>
  <c r="E85" i="5"/>
  <c r="D85" i="5"/>
  <c r="N87" i="5"/>
  <c r="O87" i="5" s="1"/>
  <c r="P87" i="5" s="1"/>
  <c r="Q87" i="5" s="1"/>
  <c r="R87" i="5" s="1"/>
  <c r="S87" i="5" s="1"/>
  <c r="T87" i="5" s="1"/>
  <c r="U87" i="5" s="1"/>
  <c r="V87" i="5" s="1"/>
  <c r="W87" i="5" s="1"/>
  <c r="X87" i="5" s="1"/>
  <c r="Y87" i="5" s="1"/>
  <c r="O86" i="5"/>
  <c r="P86" i="5" s="1"/>
  <c r="Q86" i="5" s="1"/>
  <c r="R86" i="5" s="1"/>
  <c r="S86" i="5" s="1"/>
  <c r="T86" i="5" s="1"/>
  <c r="U86" i="5" s="1"/>
  <c r="V86" i="5" s="1"/>
  <c r="W86" i="5" s="1"/>
  <c r="X86" i="5" s="1"/>
  <c r="Y86" i="5" s="1"/>
  <c r="N86" i="5"/>
  <c r="R85" i="5"/>
  <c r="S85" i="5" s="1"/>
  <c r="T85" i="5" s="1"/>
  <c r="U85" i="5" s="1"/>
  <c r="V85" i="5" s="1"/>
  <c r="W85" i="5" s="1"/>
  <c r="X85" i="5" s="1"/>
  <c r="Y85" i="5" s="1"/>
  <c r="P85" i="5"/>
  <c r="Q85" i="5" s="1"/>
  <c r="O85" i="5"/>
  <c r="N85" i="5"/>
  <c r="N84" i="5"/>
  <c r="O84" i="5" s="1"/>
  <c r="P84" i="5" s="1"/>
  <c r="Q84" i="5" s="1"/>
  <c r="R84" i="5" s="1"/>
  <c r="S84" i="5" s="1"/>
  <c r="T84" i="5" s="1"/>
  <c r="U84" i="5" s="1"/>
  <c r="V84" i="5" s="1"/>
  <c r="W84" i="5" s="1"/>
  <c r="X84" i="5" s="1"/>
  <c r="Y84" i="5" s="1"/>
  <c r="N83" i="5"/>
  <c r="O83" i="5" s="1"/>
  <c r="P83" i="5" s="1"/>
  <c r="Q83" i="5" s="1"/>
  <c r="R83" i="5" s="1"/>
  <c r="S83" i="5" s="1"/>
  <c r="T83" i="5" s="1"/>
  <c r="U83" i="5" s="1"/>
  <c r="V83" i="5" s="1"/>
  <c r="W83" i="5" s="1"/>
  <c r="X83" i="5" s="1"/>
  <c r="Y83" i="5" s="1"/>
  <c r="N82" i="5"/>
  <c r="O82" i="5" s="1"/>
  <c r="P82" i="5" s="1"/>
  <c r="Q82" i="5" s="1"/>
  <c r="R82" i="5" s="1"/>
  <c r="S82" i="5" s="1"/>
  <c r="T82" i="5" s="1"/>
  <c r="U82" i="5" s="1"/>
  <c r="V82" i="5" s="1"/>
  <c r="W82" i="5" s="1"/>
  <c r="X82" i="5" s="1"/>
  <c r="Y82" i="5" s="1"/>
  <c r="R81" i="5"/>
  <c r="S81" i="5" s="1"/>
  <c r="T81" i="5" s="1"/>
  <c r="U81" i="5" s="1"/>
  <c r="V81" i="5" s="1"/>
  <c r="W81" i="5" s="1"/>
  <c r="X81" i="5" s="1"/>
  <c r="Y81" i="5" s="1"/>
  <c r="P81" i="5"/>
  <c r="Q81" i="5" s="1"/>
  <c r="N81" i="5"/>
  <c r="O81" i="5" s="1"/>
  <c r="N80" i="5"/>
  <c r="O80" i="5" s="1"/>
  <c r="P80" i="5" s="1"/>
  <c r="Q80" i="5" s="1"/>
  <c r="R80" i="5" s="1"/>
  <c r="S80" i="5" s="1"/>
  <c r="T80" i="5" s="1"/>
  <c r="U80" i="5" s="1"/>
  <c r="V80" i="5" s="1"/>
  <c r="W80" i="5" s="1"/>
  <c r="X80" i="5" s="1"/>
  <c r="Y80" i="5" s="1"/>
  <c r="Q79" i="5"/>
  <c r="R79" i="5" s="1"/>
  <c r="S79" i="5" s="1"/>
  <c r="T79" i="5" s="1"/>
  <c r="U79" i="5" s="1"/>
  <c r="V79" i="5" s="1"/>
  <c r="W79" i="5" s="1"/>
  <c r="X79" i="5" s="1"/>
  <c r="Y79" i="5" s="1"/>
  <c r="N79" i="5"/>
  <c r="O79" i="5" s="1"/>
  <c r="P79" i="5" s="1"/>
  <c r="O78" i="5"/>
  <c r="P78" i="5" s="1"/>
  <c r="Q78" i="5" s="1"/>
  <c r="R78" i="5" s="1"/>
  <c r="S78" i="5" s="1"/>
  <c r="T78" i="5" s="1"/>
  <c r="U78" i="5" s="1"/>
  <c r="V78" i="5" s="1"/>
  <c r="W78" i="5" s="1"/>
  <c r="X78" i="5" s="1"/>
  <c r="Y78" i="5" s="1"/>
  <c r="N78" i="5"/>
  <c r="N77" i="5"/>
  <c r="O77" i="5" s="1"/>
  <c r="P77" i="5" s="1"/>
  <c r="Q77" i="5" s="1"/>
  <c r="R77" i="5" s="1"/>
  <c r="S77" i="5" s="1"/>
  <c r="T77" i="5" s="1"/>
  <c r="U77" i="5" s="1"/>
  <c r="V77" i="5" s="1"/>
  <c r="W77" i="5" s="1"/>
  <c r="X77" i="5" s="1"/>
  <c r="Y77" i="5" s="1"/>
  <c r="N76" i="5"/>
  <c r="O76" i="5" s="1"/>
  <c r="P76" i="5" s="1"/>
  <c r="Q76" i="5" s="1"/>
  <c r="R76" i="5" s="1"/>
  <c r="S76" i="5" s="1"/>
  <c r="T76" i="5" s="1"/>
  <c r="U76" i="5" s="1"/>
  <c r="V76" i="5" s="1"/>
  <c r="W76" i="5" s="1"/>
  <c r="X76" i="5" s="1"/>
  <c r="Y76" i="5" s="1"/>
  <c r="F84" i="5"/>
  <c r="G84" i="5" s="1"/>
  <c r="E84" i="5"/>
  <c r="D84" i="5"/>
  <c r="I95" i="5" s="1"/>
  <c r="F83" i="5"/>
  <c r="G83" i="5" s="1"/>
  <c r="E83" i="5"/>
  <c r="D83" i="5"/>
  <c r="G82" i="5"/>
  <c r="F82" i="5"/>
  <c r="E82" i="5"/>
  <c r="D82" i="5"/>
  <c r="F81" i="5"/>
  <c r="G81" i="5" s="1"/>
  <c r="E81" i="5"/>
  <c r="D81" i="5"/>
  <c r="I92" i="5" s="1"/>
  <c r="F80" i="5"/>
  <c r="G80" i="5" s="1"/>
  <c r="E80" i="5"/>
  <c r="D80" i="5"/>
  <c r="G79" i="5"/>
  <c r="F79" i="5"/>
  <c r="E79" i="5"/>
  <c r="D79" i="5"/>
  <c r="G78" i="5"/>
  <c r="F78" i="5"/>
  <c r="E78" i="5"/>
  <c r="D78" i="5"/>
  <c r="F77" i="5"/>
  <c r="E77" i="5"/>
  <c r="D77" i="5"/>
  <c r="F76" i="5"/>
  <c r="G76" i="5" s="1"/>
  <c r="E76" i="5"/>
  <c r="D76" i="5"/>
  <c r="F75" i="5"/>
  <c r="E75" i="5"/>
  <c r="D75" i="5"/>
  <c r="G74" i="5"/>
  <c r="F74" i="5"/>
  <c r="E74" i="5"/>
  <c r="D74" i="5"/>
  <c r="M69" i="5"/>
  <c r="L69" i="5"/>
  <c r="K69" i="5"/>
  <c r="J69" i="5"/>
  <c r="I69" i="5"/>
  <c r="H69" i="5"/>
  <c r="G69" i="5"/>
  <c r="F69" i="5"/>
  <c r="E69" i="5"/>
  <c r="D69" i="5"/>
  <c r="C69" i="5"/>
  <c r="B69" i="5"/>
  <c r="M68" i="5"/>
  <c r="L68" i="5"/>
  <c r="K68" i="5"/>
  <c r="J68" i="5"/>
  <c r="I68" i="5"/>
  <c r="H68" i="5"/>
  <c r="G68" i="5"/>
  <c r="F68" i="5"/>
  <c r="E68" i="5"/>
  <c r="D68" i="5"/>
  <c r="C68" i="5"/>
  <c r="B68" i="5"/>
  <c r="M67" i="5"/>
  <c r="L67" i="5"/>
  <c r="K67" i="5"/>
  <c r="J67" i="5"/>
  <c r="I67" i="5"/>
  <c r="H67" i="5"/>
  <c r="G67" i="5"/>
  <c r="F67" i="5"/>
  <c r="E67" i="5"/>
  <c r="D67" i="5"/>
  <c r="C67" i="5"/>
  <c r="B67" i="5"/>
  <c r="L66" i="5"/>
  <c r="K66" i="5"/>
  <c r="J66" i="5"/>
  <c r="I66" i="5"/>
  <c r="H66" i="5"/>
  <c r="G66" i="5"/>
  <c r="F66" i="5"/>
  <c r="E66" i="5"/>
  <c r="D66" i="5"/>
  <c r="C66" i="5"/>
  <c r="B66" i="5"/>
  <c r="A66" i="5"/>
  <c r="E56" i="5"/>
  <c r="Y55" i="5"/>
  <c r="X55" i="5"/>
  <c r="AC42" i="5"/>
  <c r="AC41" i="5"/>
  <c r="AC44" i="5" s="1"/>
  <c r="AC40" i="5"/>
  <c r="Q27" i="5"/>
  <c r="P17" i="5"/>
  <c r="P16" i="5"/>
  <c r="P15" i="5"/>
  <c r="Q15" i="5" s="1"/>
  <c r="P14" i="5"/>
  <c r="P13" i="5"/>
  <c r="P12" i="5"/>
  <c r="P11" i="5"/>
  <c r="P10" i="5"/>
  <c r="P9" i="5"/>
  <c r="P8" i="5"/>
  <c r="P7" i="5"/>
  <c r="M20" i="5"/>
  <c r="L20" i="5"/>
  <c r="K20" i="5"/>
  <c r="J20" i="5"/>
  <c r="I20" i="5"/>
  <c r="H20" i="5"/>
  <c r="G20" i="5"/>
  <c r="F20" i="5"/>
  <c r="E20" i="5"/>
  <c r="D20" i="5"/>
  <c r="C20" i="5"/>
  <c r="N19" i="5"/>
  <c r="N19" i="13" s="1"/>
  <c r="M19" i="5"/>
  <c r="L19" i="5"/>
  <c r="K19" i="5"/>
  <c r="J19" i="5"/>
  <c r="I19" i="5"/>
  <c r="H19" i="5"/>
  <c r="G19" i="5"/>
  <c r="F19" i="5"/>
  <c r="E19" i="5"/>
  <c r="D19" i="5"/>
  <c r="C19" i="5"/>
  <c r="N88" i="5" s="1"/>
  <c r="O88" i="5" s="1"/>
  <c r="AA16" i="5"/>
  <c r="AA14" i="5"/>
  <c r="AA13" i="5"/>
  <c r="U9" i="5"/>
  <c r="U8" i="5"/>
  <c r="Q17" i="5"/>
  <c r="Q14" i="5"/>
  <c r="Q13" i="5"/>
  <c r="Q12" i="5"/>
  <c r="Q11" i="5"/>
  <c r="Q10" i="5"/>
  <c r="Q9" i="5"/>
  <c r="Q8" i="5"/>
  <c r="N18" i="5"/>
  <c r="M66" i="5" s="1"/>
  <c r="Y18" i="5"/>
  <c r="AA18" i="5" s="1"/>
  <c r="X18" i="5"/>
  <c r="Y17" i="5"/>
  <c r="AA17" i="5" s="1"/>
  <c r="X17" i="5"/>
  <c r="Y16" i="5"/>
  <c r="X16" i="5"/>
  <c r="Y15" i="5"/>
  <c r="AA15" i="5" s="1"/>
  <c r="X15" i="5"/>
  <c r="Y14" i="5"/>
  <c r="X14" i="5"/>
  <c r="Y13" i="5"/>
  <c r="X13" i="5"/>
  <c r="Y12" i="5"/>
  <c r="AA12" i="5" s="1"/>
  <c r="X12" i="5"/>
  <c r="Y11" i="5"/>
  <c r="AA11" i="5" s="1"/>
  <c r="X11" i="5"/>
  <c r="C5" i="5"/>
  <c r="F120" i="4"/>
  <c r="C120" i="4"/>
  <c r="C132" i="4" s="1"/>
  <c r="B115" i="4"/>
  <c r="B109" i="4"/>
  <c r="F108" i="4"/>
  <c r="C108" i="4"/>
  <c r="C106" i="4"/>
  <c r="C103" i="4"/>
  <c r="C115" i="4" s="1"/>
  <c r="B103" i="4"/>
  <c r="E103" i="4" s="1"/>
  <c r="C100" i="4"/>
  <c r="B99" i="4"/>
  <c r="E99" i="4" s="1"/>
  <c r="F98" i="4"/>
  <c r="E98" i="4"/>
  <c r="D98" i="4"/>
  <c r="C98" i="4"/>
  <c r="C110" i="4" s="1"/>
  <c r="B98" i="4"/>
  <c r="B110" i="4" s="1"/>
  <c r="E97" i="4"/>
  <c r="C97" i="4"/>
  <c r="F97" i="4" s="1"/>
  <c r="B97" i="4"/>
  <c r="D97" i="4" s="1"/>
  <c r="E96" i="4"/>
  <c r="C96" i="4"/>
  <c r="F96" i="4" s="1"/>
  <c r="G96" i="4" s="1"/>
  <c r="H96" i="4" s="1"/>
  <c r="B96" i="4"/>
  <c r="D96" i="4" s="1"/>
  <c r="F95" i="4"/>
  <c r="C95" i="4"/>
  <c r="C107" i="4" s="1"/>
  <c r="B95" i="4"/>
  <c r="E95" i="4" s="1"/>
  <c r="C94" i="4"/>
  <c r="F94" i="4" s="1"/>
  <c r="B94" i="4"/>
  <c r="B106" i="4" s="1"/>
  <c r="C93" i="4"/>
  <c r="F93" i="4" s="1"/>
  <c r="B93" i="4"/>
  <c r="E93" i="4" s="1"/>
  <c r="E92" i="4"/>
  <c r="C92" i="4"/>
  <c r="C104" i="4" s="1"/>
  <c r="B92" i="4"/>
  <c r="D92" i="4" s="1"/>
  <c r="C91" i="4"/>
  <c r="F91" i="4" s="1"/>
  <c r="G91" i="4" s="1"/>
  <c r="H91" i="4" s="1"/>
  <c r="B91" i="4"/>
  <c r="E91" i="4" s="1"/>
  <c r="E90" i="4"/>
  <c r="C90" i="4"/>
  <c r="B90" i="4"/>
  <c r="B102" i="4" s="1"/>
  <c r="C89" i="4"/>
  <c r="F89" i="4" s="1"/>
  <c r="B89" i="4"/>
  <c r="D89" i="4" s="1"/>
  <c r="E88" i="4"/>
  <c r="C88" i="4"/>
  <c r="F88" i="4" s="1"/>
  <c r="G88" i="4" s="1"/>
  <c r="H88" i="4" s="1"/>
  <c r="B88" i="4"/>
  <c r="D88" i="4" s="1"/>
  <c r="F87" i="4"/>
  <c r="G87" i="4" s="1"/>
  <c r="H87" i="4" s="1"/>
  <c r="E87" i="4"/>
  <c r="C87" i="4"/>
  <c r="C99" i="4" s="1"/>
  <c r="B87" i="4"/>
  <c r="D86" i="4"/>
  <c r="C86" i="4"/>
  <c r="F86" i="4" s="1"/>
  <c r="B86" i="4"/>
  <c r="E86" i="4" s="1"/>
  <c r="F85" i="4"/>
  <c r="G85" i="4" s="1"/>
  <c r="H85" i="4" s="1"/>
  <c r="E85" i="4"/>
  <c r="D85" i="4"/>
  <c r="Q87" i="4"/>
  <c r="R87" i="4" s="1"/>
  <c r="S87" i="4" s="1"/>
  <c r="T87" i="4" s="1"/>
  <c r="U87" i="4" s="1"/>
  <c r="V87" i="4" s="1"/>
  <c r="W87" i="4" s="1"/>
  <c r="X87" i="4" s="1"/>
  <c r="Y87" i="4" s="1"/>
  <c r="P87" i="4"/>
  <c r="O87" i="4"/>
  <c r="N87" i="4"/>
  <c r="S86" i="4"/>
  <c r="T86" i="4" s="1"/>
  <c r="U86" i="4" s="1"/>
  <c r="V86" i="4" s="1"/>
  <c r="W86" i="4" s="1"/>
  <c r="X86" i="4" s="1"/>
  <c r="Y86" i="4" s="1"/>
  <c r="P86" i="4"/>
  <c r="Q86" i="4" s="1"/>
  <c r="R86" i="4" s="1"/>
  <c r="O86" i="4"/>
  <c r="N86" i="4"/>
  <c r="O85" i="4"/>
  <c r="P85" i="4" s="1"/>
  <c r="Q85" i="4" s="1"/>
  <c r="R85" i="4" s="1"/>
  <c r="S85" i="4" s="1"/>
  <c r="T85" i="4" s="1"/>
  <c r="U85" i="4" s="1"/>
  <c r="V85" i="4" s="1"/>
  <c r="W85" i="4" s="1"/>
  <c r="X85" i="4" s="1"/>
  <c r="Y85" i="4" s="1"/>
  <c r="N85" i="4"/>
  <c r="N84" i="4"/>
  <c r="O84" i="4" s="1"/>
  <c r="P84" i="4" s="1"/>
  <c r="Q84" i="4" s="1"/>
  <c r="R84" i="4" s="1"/>
  <c r="S84" i="4" s="1"/>
  <c r="T84" i="4" s="1"/>
  <c r="U84" i="4" s="1"/>
  <c r="V84" i="4" s="1"/>
  <c r="W84" i="4" s="1"/>
  <c r="X84" i="4" s="1"/>
  <c r="Y84" i="4" s="1"/>
  <c r="P83" i="4"/>
  <c r="Q83" i="4" s="1"/>
  <c r="R83" i="4" s="1"/>
  <c r="S83" i="4" s="1"/>
  <c r="T83" i="4" s="1"/>
  <c r="U83" i="4" s="1"/>
  <c r="V83" i="4" s="1"/>
  <c r="W83" i="4" s="1"/>
  <c r="X83" i="4" s="1"/>
  <c r="Y83" i="4" s="1"/>
  <c r="O83" i="4"/>
  <c r="N83" i="4"/>
  <c r="R82" i="4"/>
  <c r="S82" i="4" s="1"/>
  <c r="T82" i="4" s="1"/>
  <c r="U82" i="4" s="1"/>
  <c r="V82" i="4" s="1"/>
  <c r="W82" i="4" s="1"/>
  <c r="X82" i="4" s="1"/>
  <c r="Y82" i="4" s="1"/>
  <c r="O82" i="4"/>
  <c r="P82" i="4" s="1"/>
  <c r="Q82" i="4" s="1"/>
  <c r="N82" i="4"/>
  <c r="O81" i="4"/>
  <c r="P81" i="4" s="1"/>
  <c r="Q81" i="4" s="1"/>
  <c r="R81" i="4" s="1"/>
  <c r="S81" i="4" s="1"/>
  <c r="T81" i="4" s="1"/>
  <c r="U81" i="4" s="1"/>
  <c r="V81" i="4" s="1"/>
  <c r="W81" i="4" s="1"/>
  <c r="X81" i="4" s="1"/>
  <c r="Y81" i="4" s="1"/>
  <c r="N81" i="4"/>
  <c r="U80" i="4"/>
  <c r="V80" i="4" s="1"/>
  <c r="W80" i="4" s="1"/>
  <c r="X80" i="4" s="1"/>
  <c r="Y80" i="4" s="1"/>
  <c r="T80" i="4"/>
  <c r="Q80" i="4"/>
  <c r="R80" i="4" s="1"/>
  <c r="S80" i="4" s="1"/>
  <c r="O80" i="4"/>
  <c r="P80" i="4" s="1"/>
  <c r="N80" i="4"/>
  <c r="N79" i="4"/>
  <c r="O79" i="4" s="1"/>
  <c r="P79" i="4" s="1"/>
  <c r="Q79" i="4" s="1"/>
  <c r="R79" i="4" s="1"/>
  <c r="S79" i="4" s="1"/>
  <c r="T79" i="4" s="1"/>
  <c r="U79" i="4" s="1"/>
  <c r="V79" i="4" s="1"/>
  <c r="W79" i="4" s="1"/>
  <c r="X79" i="4" s="1"/>
  <c r="Y79" i="4" s="1"/>
  <c r="P78" i="4"/>
  <c r="Q78" i="4" s="1"/>
  <c r="R78" i="4" s="1"/>
  <c r="S78" i="4" s="1"/>
  <c r="T78" i="4" s="1"/>
  <c r="U78" i="4" s="1"/>
  <c r="V78" i="4" s="1"/>
  <c r="W78" i="4" s="1"/>
  <c r="X78" i="4" s="1"/>
  <c r="Y78" i="4" s="1"/>
  <c r="N78" i="4"/>
  <c r="O78" i="4" s="1"/>
  <c r="N77" i="4"/>
  <c r="O77" i="4" s="1"/>
  <c r="P77" i="4" s="1"/>
  <c r="Q77" i="4" s="1"/>
  <c r="R77" i="4" s="1"/>
  <c r="S77" i="4" s="1"/>
  <c r="T77" i="4" s="1"/>
  <c r="U77" i="4" s="1"/>
  <c r="V77" i="4" s="1"/>
  <c r="W77" i="4" s="1"/>
  <c r="X77" i="4" s="1"/>
  <c r="Y77" i="4" s="1"/>
  <c r="N76" i="4"/>
  <c r="O76" i="4" s="1"/>
  <c r="P76" i="4" s="1"/>
  <c r="Q76" i="4" s="1"/>
  <c r="R76" i="4" s="1"/>
  <c r="S76" i="4" s="1"/>
  <c r="T76" i="4" s="1"/>
  <c r="U76" i="4" s="1"/>
  <c r="V76" i="4" s="1"/>
  <c r="W76" i="4" s="1"/>
  <c r="X76" i="4" s="1"/>
  <c r="Y76" i="4" s="1"/>
  <c r="F84" i="4"/>
  <c r="E84" i="4"/>
  <c r="D84" i="4"/>
  <c r="F83" i="4"/>
  <c r="G83" i="4" s="1"/>
  <c r="E83" i="4"/>
  <c r="D83" i="4"/>
  <c r="G82" i="4"/>
  <c r="F82" i="4"/>
  <c r="E82" i="4"/>
  <c r="D82" i="4"/>
  <c r="F81" i="4"/>
  <c r="E81" i="4"/>
  <c r="G81" i="4" s="1"/>
  <c r="D81" i="4"/>
  <c r="F80" i="4"/>
  <c r="G80" i="4" s="1"/>
  <c r="E80" i="4"/>
  <c r="D80" i="4"/>
  <c r="F79" i="4"/>
  <c r="G79" i="4" s="1"/>
  <c r="E79" i="4"/>
  <c r="D79" i="4"/>
  <c r="F78" i="4"/>
  <c r="E78" i="4"/>
  <c r="G78" i="4" s="1"/>
  <c r="D78" i="4"/>
  <c r="F77" i="4"/>
  <c r="G77" i="4" s="1"/>
  <c r="E77" i="4"/>
  <c r="D77" i="4"/>
  <c r="F76" i="4"/>
  <c r="E76" i="4"/>
  <c r="D76" i="4"/>
  <c r="F75" i="4"/>
  <c r="G75" i="4" s="1"/>
  <c r="E75" i="4"/>
  <c r="D75" i="4"/>
  <c r="F74" i="4"/>
  <c r="G74" i="4" s="1"/>
  <c r="E74" i="4"/>
  <c r="D74" i="4"/>
  <c r="M69" i="4"/>
  <c r="K69" i="4"/>
  <c r="J69" i="4"/>
  <c r="I69" i="4"/>
  <c r="H69" i="4"/>
  <c r="G69" i="4"/>
  <c r="F69" i="4"/>
  <c r="E69" i="4"/>
  <c r="D69" i="4"/>
  <c r="C69" i="4"/>
  <c r="B69" i="4"/>
  <c r="M68" i="4"/>
  <c r="J68" i="4"/>
  <c r="H68" i="4"/>
  <c r="G68" i="4"/>
  <c r="F68" i="4"/>
  <c r="E68" i="4"/>
  <c r="D68" i="4"/>
  <c r="C68" i="4"/>
  <c r="B68" i="4"/>
  <c r="M67" i="4"/>
  <c r="J67" i="4"/>
  <c r="I67" i="4"/>
  <c r="H67" i="4"/>
  <c r="G67" i="4"/>
  <c r="F67" i="4"/>
  <c r="E67" i="4"/>
  <c r="D67" i="4"/>
  <c r="C67" i="4"/>
  <c r="B67" i="4"/>
  <c r="M66" i="4"/>
  <c r="L66" i="4"/>
  <c r="K66" i="4"/>
  <c r="J66" i="4"/>
  <c r="I66" i="4"/>
  <c r="H66" i="4"/>
  <c r="G66" i="4"/>
  <c r="F66" i="4"/>
  <c r="E66" i="4"/>
  <c r="D66" i="4"/>
  <c r="B66" i="4"/>
  <c r="A66" i="4"/>
  <c r="E56" i="4"/>
  <c r="Q27" i="4"/>
  <c r="Z26" i="4"/>
  <c r="Z24" i="4"/>
  <c r="T19" i="4"/>
  <c r="T18" i="4"/>
  <c r="T17" i="4"/>
  <c r="T16" i="4"/>
  <c r="T15" i="4"/>
  <c r="T14" i="4"/>
  <c r="T12" i="4"/>
  <c r="T11" i="4"/>
  <c r="T10" i="4"/>
  <c r="T9" i="4"/>
  <c r="T8" i="4"/>
  <c r="T7" i="4"/>
  <c r="P18" i="4"/>
  <c r="P17" i="4"/>
  <c r="P16" i="4"/>
  <c r="P15" i="4"/>
  <c r="P14" i="4"/>
  <c r="P12" i="4"/>
  <c r="P11" i="4"/>
  <c r="P10" i="4"/>
  <c r="P9" i="4"/>
  <c r="P7" i="4"/>
  <c r="L20" i="4"/>
  <c r="K20" i="4"/>
  <c r="J20" i="4"/>
  <c r="I20" i="4"/>
  <c r="H20" i="4"/>
  <c r="G20" i="4"/>
  <c r="F20" i="4"/>
  <c r="E20" i="4"/>
  <c r="D20" i="4"/>
  <c r="C20" i="4"/>
  <c r="N19" i="4"/>
  <c r="M19" i="4"/>
  <c r="L19" i="4"/>
  <c r="K19" i="4"/>
  <c r="J19" i="4"/>
  <c r="I19" i="4"/>
  <c r="H19" i="4"/>
  <c r="G19" i="4"/>
  <c r="F19" i="4"/>
  <c r="E19" i="4"/>
  <c r="D19" i="4"/>
  <c r="C19" i="4"/>
  <c r="N18" i="4"/>
  <c r="N20" i="4" s="1"/>
  <c r="E18" i="4"/>
  <c r="D18" i="4"/>
  <c r="C56" i="4" s="1"/>
  <c r="D56" i="4" s="1"/>
  <c r="F56" i="4" s="1"/>
  <c r="M17" i="4"/>
  <c r="M20" i="4" s="1"/>
  <c r="Q12" i="4"/>
  <c r="Q11" i="4"/>
  <c r="Q10" i="4"/>
  <c r="J13" i="4"/>
  <c r="L8" i="4"/>
  <c r="K67" i="4" s="1"/>
  <c r="S6" i="4"/>
  <c r="C5" i="4"/>
  <c r="C148" i="3"/>
  <c r="F148" i="3" s="1"/>
  <c r="C124" i="3"/>
  <c r="C136" i="3" s="1"/>
  <c r="F136" i="3" s="1"/>
  <c r="E118" i="3"/>
  <c r="B118" i="3"/>
  <c r="B130" i="3" s="1"/>
  <c r="C117" i="3"/>
  <c r="C129" i="3" s="1"/>
  <c r="B114" i="3"/>
  <c r="F113" i="3"/>
  <c r="C113" i="3"/>
  <c r="C125" i="3" s="1"/>
  <c r="B113" i="3"/>
  <c r="F112" i="3"/>
  <c r="C112" i="3"/>
  <c r="E107" i="3"/>
  <c r="B107" i="3"/>
  <c r="B119" i="3" s="1"/>
  <c r="E106" i="3"/>
  <c r="B103" i="3"/>
  <c r="C102" i="3"/>
  <c r="C114" i="3" s="1"/>
  <c r="B102" i="3"/>
  <c r="E102" i="3" s="1"/>
  <c r="F101" i="3"/>
  <c r="G101" i="3" s="1"/>
  <c r="H101" i="3" s="1"/>
  <c r="C101" i="3"/>
  <c r="B101" i="3"/>
  <c r="E101" i="3" s="1"/>
  <c r="C100" i="3"/>
  <c r="F100" i="3" s="1"/>
  <c r="B98" i="3"/>
  <c r="C97" i="3"/>
  <c r="C109" i="3" s="1"/>
  <c r="B97" i="3"/>
  <c r="D97" i="3" s="1"/>
  <c r="E96" i="3"/>
  <c r="C96" i="3"/>
  <c r="D96" i="3" s="1"/>
  <c r="B96" i="3"/>
  <c r="B108" i="3" s="1"/>
  <c r="E95" i="3"/>
  <c r="C95" i="3"/>
  <c r="D95" i="3" s="1"/>
  <c r="B95" i="3"/>
  <c r="F94" i="3"/>
  <c r="C94" i="3"/>
  <c r="C106" i="3" s="1"/>
  <c r="C118" i="3" s="1"/>
  <c r="B94" i="3"/>
  <c r="B106" i="3" s="1"/>
  <c r="C93" i="3"/>
  <c r="C105" i="3" s="1"/>
  <c r="F105" i="3" s="1"/>
  <c r="B93" i="3"/>
  <c r="F92" i="3"/>
  <c r="G92" i="3" s="1"/>
  <c r="H92" i="3" s="1"/>
  <c r="E92" i="3"/>
  <c r="C92" i="3"/>
  <c r="B92" i="3"/>
  <c r="B104" i="3" s="1"/>
  <c r="C91" i="3"/>
  <c r="C103" i="3" s="1"/>
  <c r="B91" i="3"/>
  <c r="E91" i="3" s="1"/>
  <c r="F90" i="3"/>
  <c r="E90" i="3"/>
  <c r="C90" i="3"/>
  <c r="B90" i="3"/>
  <c r="D90" i="3" s="1"/>
  <c r="F89" i="3"/>
  <c r="G89" i="3" s="1"/>
  <c r="H89" i="3" s="1"/>
  <c r="C89" i="3"/>
  <c r="B89" i="3"/>
  <c r="E89" i="3" s="1"/>
  <c r="F88" i="3"/>
  <c r="G88" i="3" s="1"/>
  <c r="H88" i="3" s="1"/>
  <c r="E88" i="3"/>
  <c r="C88" i="3"/>
  <c r="D88" i="3" s="1"/>
  <c r="B88" i="3"/>
  <c r="B100" i="3" s="1"/>
  <c r="F87" i="3"/>
  <c r="G87" i="3" s="1"/>
  <c r="H87" i="3" s="1"/>
  <c r="E87" i="3"/>
  <c r="C87" i="3"/>
  <c r="C99" i="3" s="1"/>
  <c r="B87" i="3"/>
  <c r="B99" i="3" s="1"/>
  <c r="H86" i="3"/>
  <c r="G86" i="3"/>
  <c r="F86" i="3"/>
  <c r="E86" i="3"/>
  <c r="C86" i="3"/>
  <c r="C98" i="3" s="1"/>
  <c r="B86" i="3"/>
  <c r="D86" i="3" s="1"/>
  <c r="F85" i="3"/>
  <c r="G85" i="3" s="1"/>
  <c r="H85" i="3" s="1"/>
  <c r="E85" i="3"/>
  <c r="D85" i="3"/>
  <c r="O87" i="3"/>
  <c r="P87" i="3" s="1"/>
  <c r="Q87" i="3" s="1"/>
  <c r="R87" i="3" s="1"/>
  <c r="S87" i="3" s="1"/>
  <c r="T87" i="3" s="1"/>
  <c r="U87" i="3" s="1"/>
  <c r="V87" i="3" s="1"/>
  <c r="W87" i="3" s="1"/>
  <c r="X87" i="3" s="1"/>
  <c r="Y87" i="3" s="1"/>
  <c r="N87" i="3"/>
  <c r="O86" i="3"/>
  <c r="P86" i="3" s="1"/>
  <c r="N86" i="3"/>
  <c r="N85" i="3"/>
  <c r="O85" i="3" s="1"/>
  <c r="P85" i="3" s="1"/>
  <c r="Q85" i="3" s="1"/>
  <c r="R85" i="3" s="1"/>
  <c r="S85" i="3" s="1"/>
  <c r="T85" i="3" s="1"/>
  <c r="U85" i="3" s="1"/>
  <c r="V85" i="3" s="1"/>
  <c r="W85" i="3" s="1"/>
  <c r="X85" i="3" s="1"/>
  <c r="Y85" i="3" s="1"/>
  <c r="P84" i="3"/>
  <c r="Q84" i="3" s="1"/>
  <c r="R84" i="3" s="1"/>
  <c r="S84" i="3" s="1"/>
  <c r="T84" i="3" s="1"/>
  <c r="U84" i="3" s="1"/>
  <c r="V84" i="3" s="1"/>
  <c r="W84" i="3" s="1"/>
  <c r="X84" i="3" s="1"/>
  <c r="Y84" i="3" s="1"/>
  <c r="O84" i="3"/>
  <c r="N84" i="3"/>
  <c r="O83" i="3"/>
  <c r="P83" i="3" s="1"/>
  <c r="Q83" i="3" s="1"/>
  <c r="R83" i="3" s="1"/>
  <c r="S83" i="3" s="1"/>
  <c r="T83" i="3" s="1"/>
  <c r="U83" i="3" s="1"/>
  <c r="V83" i="3" s="1"/>
  <c r="W83" i="3" s="1"/>
  <c r="X83" i="3" s="1"/>
  <c r="Y83" i="3" s="1"/>
  <c r="N83" i="3"/>
  <c r="N82" i="3"/>
  <c r="O82" i="3" s="1"/>
  <c r="P82" i="3" s="1"/>
  <c r="Q82" i="3" s="1"/>
  <c r="R82" i="3" s="1"/>
  <c r="S82" i="3" s="1"/>
  <c r="T82" i="3" s="1"/>
  <c r="U82" i="3" s="1"/>
  <c r="V82" i="3" s="1"/>
  <c r="W82" i="3" s="1"/>
  <c r="X82" i="3" s="1"/>
  <c r="Y82" i="3" s="1"/>
  <c r="N81" i="3"/>
  <c r="O81" i="3" s="1"/>
  <c r="P81" i="3" s="1"/>
  <c r="Q81" i="3" s="1"/>
  <c r="R81" i="3" s="1"/>
  <c r="S81" i="3" s="1"/>
  <c r="T81" i="3" s="1"/>
  <c r="U81" i="3" s="1"/>
  <c r="V81" i="3" s="1"/>
  <c r="W81" i="3" s="1"/>
  <c r="X81" i="3" s="1"/>
  <c r="Y81" i="3" s="1"/>
  <c r="N80" i="3"/>
  <c r="O80" i="3" s="1"/>
  <c r="P80" i="3" s="1"/>
  <c r="Q80" i="3" s="1"/>
  <c r="R80" i="3" s="1"/>
  <c r="S80" i="3" s="1"/>
  <c r="T80" i="3" s="1"/>
  <c r="U80" i="3" s="1"/>
  <c r="V80" i="3" s="1"/>
  <c r="W80" i="3" s="1"/>
  <c r="X80" i="3" s="1"/>
  <c r="Y80" i="3" s="1"/>
  <c r="N79" i="3"/>
  <c r="O79" i="3" s="1"/>
  <c r="P79" i="3" s="1"/>
  <c r="Q79" i="3" s="1"/>
  <c r="R79" i="3" s="1"/>
  <c r="S79" i="3" s="1"/>
  <c r="T79" i="3" s="1"/>
  <c r="U79" i="3" s="1"/>
  <c r="V79" i="3" s="1"/>
  <c r="W79" i="3" s="1"/>
  <c r="X79" i="3" s="1"/>
  <c r="Y79" i="3" s="1"/>
  <c r="Q78" i="3"/>
  <c r="R78" i="3" s="1"/>
  <c r="S78" i="3" s="1"/>
  <c r="T78" i="3" s="1"/>
  <c r="U78" i="3" s="1"/>
  <c r="V78" i="3" s="1"/>
  <c r="W78" i="3" s="1"/>
  <c r="X78" i="3" s="1"/>
  <c r="Y78" i="3" s="1"/>
  <c r="P78" i="3"/>
  <c r="O78" i="3"/>
  <c r="N78" i="3"/>
  <c r="N77" i="3"/>
  <c r="O77" i="3" s="1"/>
  <c r="P77" i="3" s="1"/>
  <c r="Q77" i="3" s="1"/>
  <c r="R77" i="3" s="1"/>
  <c r="S77" i="3" s="1"/>
  <c r="T77" i="3" s="1"/>
  <c r="U77" i="3" s="1"/>
  <c r="V77" i="3" s="1"/>
  <c r="W77" i="3" s="1"/>
  <c r="X77" i="3" s="1"/>
  <c r="Y77" i="3" s="1"/>
  <c r="N76" i="3"/>
  <c r="O76" i="3" s="1"/>
  <c r="P76" i="3" s="1"/>
  <c r="Q76" i="3" s="1"/>
  <c r="R76" i="3" s="1"/>
  <c r="S76" i="3" s="1"/>
  <c r="T76" i="3" s="1"/>
  <c r="U76" i="3" s="1"/>
  <c r="V76" i="3" s="1"/>
  <c r="W76" i="3" s="1"/>
  <c r="X76" i="3" s="1"/>
  <c r="Y76" i="3" s="1"/>
  <c r="F84" i="3"/>
  <c r="G84" i="3" s="1"/>
  <c r="E84" i="3"/>
  <c r="D84" i="3"/>
  <c r="F83" i="3"/>
  <c r="G83" i="3" s="1"/>
  <c r="E83" i="3"/>
  <c r="D83" i="3"/>
  <c r="F82" i="3"/>
  <c r="G82" i="3" s="1"/>
  <c r="E82" i="3"/>
  <c r="D82" i="3"/>
  <c r="G81" i="3"/>
  <c r="F81" i="3"/>
  <c r="E81" i="3"/>
  <c r="D81" i="3"/>
  <c r="F80" i="3"/>
  <c r="G80" i="3" s="1"/>
  <c r="E80" i="3"/>
  <c r="D80" i="3"/>
  <c r="F79" i="3"/>
  <c r="E79" i="3"/>
  <c r="D79" i="3"/>
  <c r="F78" i="3"/>
  <c r="E78" i="3"/>
  <c r="G78" i="3" s="1"/>
  <c r="D78" i="3"/>
  <c r="G77" i="3"/>
  <c r="F77" i="3"/>
  <c r="E77" i="3"/>
  <c r="D77" i="3"/>
  <c r="F76" i="3"/>
  <c r="G76" i="3" s="1"/>
  <c r="E76" i="3"/>
  <c r="D76" i="3"/>
  <c r="F75" i="3"/>
  <c r="G75" i="3" s="1"/>
  <c r="E75" i="3"/>
  <c r="D75" i="3"/>
  <c r="F74" i="3"/>
  <c r="G74" i="3" s="1"/>
  <c r="E74" i="3"/>
  <c r="D74" i="3"/>
  <c r="D69" i="3"/>
  <c r="C69" i="3"/>
  <c r="B69" i="3"/>
  <c r="M68" i="3"/>
  <c r="L68" i="3"/>
  <c r="K68" i="3"/>
  <c r="D68" i="3"/>
  <c r="C68" i="3"/>
  <c r="B68" i="3"/>
  <c r="D67" i="3"/>
  <c r="C67" i="3"/>
  <c r="B67" i="3"/>
  <c r="M66" i="3"/>
  <c r="L66" i="3"/>
  <c r="K66" i="3"/>
  <c r="J66" i="3"/>
  <c r="I66" i="3"/>
  <c r="H66" i="3"/>
  <c r="G66" i="3"/>
  <c r="A66" i="3"/>
  <c r="E56" i="3"/>
  <c r="Q27" i="3"/>
  <c r="P16" i="3"/>
  <c r="P15" i="3"/>
  <c r="P14" i="3"/>
  <c r="P13" i="3"/>
  <c r="Q13" i="3" s="1"/>
  <c r="P12" i="3"/>
  <c r="Q12" i="3" s="1"/>
  <c r="P11" i="3"/>
  <c r="P10" i="3"/>
  <c r="P9" i="3"/>
  <c r="P8" i="3"/>
  <c r="P7" i="3"/>
  <c r="N20" i="3"/>
  <c r="E20" i="3"/>
  <c r="D20" i="3"/>
  <c r="C20" i="3"/>
  <c r="N19" i="3"/>
  <c r="M19" i="3"/>
  <c r="L19" i="3"/>
  <c r="K19" i="3"/>
  <c r="J19" i="3"/>
  <c r="I19" i="3"/>
  <c r="H19" i="3"/>
  <c r="G19" i="3"/>
  <c r="F19" i="3"/>
  <c r="E19" i="3"/>
  <c r="D19" i="3"/>
  <c r="C19" i="3"/>
  <c r="K18" i="13"/>
  <c r="J66" i="13" s="1"/>
  <c r="J18" i="3"/>
  <c r="J18" i="13" s="1"/>
  <c r="I18" i="3"/>
  <c r="H18" i="3"/>
  <c r="G18" i="3"/>
  <c r="F66" i="3" s="1"/>
  <c r="F18" i="3"/>
  <c r="E66" i="3" s="1"/>
  <c r="E18" i="3"/>
  <c r="E18" i="13" s="1"/>
  <c r="E20" i="13" s="1"/>
  <c r="D18" i="3"/>
  <c r="C18" i="3"/>
  <c r="B66" i="3" s="1"/>
  <c r="N17" i="3"/>
  <c r="M69" i="3" s="1"/>
  <c r="M17" i="3"/>
  <c r="L69" i="3" s="1"/>
  <c r="L17" i="3"/>
  <c r="K69" i="3" s="1"/>
  <c r="K17" i="3"/>
  <c r="J69" i="3" s="1"/>
  <c r="J17" i="3"/>
  <c r="I68" i="3" s="1"/>
  <c r="I17" i="3"/>
  <c r="H69" i="3" s="1"/>
  <c r="H17" i="3"/>
  <c r="G67" i="3" s="1"/>
  <c r="G17" i="3"/>
  <c r="F67" i="3" s="1"/>
  <c r="F17" i="3"/>
  <c r="E68" i="3" s="1"/>
  <c r="Q16" i="3"/>
  <c r="Q15" i="3"/>
  <c r="Q14" i="3"/>
  <c r="Q11" i="3"/>
  <c r="Q10" i="3"/>
  <c r="Q9" i="3"/>
  <c r="C5" i="3"/>
  <c r="F220" i="25"/>
  <c r="E220" i="25"/>
  <c r="F208" i="25"/>
  <c r="E208" i="25"/>
  <c r="F196" i="25"/>
  <c r="G196" i="25" s="1"/>
  <c r="H196" i="25" s="1"/>
  <c r="E196" i="25"/>
  <c r="D196" i="25"/>
  <c r="F184" i="25"/>
  <c r="E184" i="25"/>
  <c r="F172" i="25"/>
  <c r="E172" i="25"/>
  <c r="D172" i="25"/>
  <c r="F160" i="25"/>
  <c r="E160" i="25"/>
  <c r="F148" i="25"/>
  <c r="E148" i="25"/>
  <c r="B138" i="25"/>
  <c r="F136" i="25"/>
  <c r="G136" i="25" s="1"/>
  <c r="H136" i="25" s="1"/>
  <c r="E136" i="25"/>
  <c r="D136" i="25"/>
  <c r="F124" i="25"/>
  <c r="E124" i="25"/>
  <c r="D124" i="25"/>
  <c r="B115" i="25"/>
  <c r="B127" i="25" s="1"/>
  <c r="B139" i="25" s="1"/>
  <c r="E114" i="25"/>
  <c r="B114" i="25"/>
  <c r="B126" i="25" s="1"/>
  <c r="C113" i="25"/>
  <c r="B113" i="25"/>
  <c r="F112" i="25"/>
  <c r="E112" i="25"/>
  <c r="C107" i="25"/>
  <c r="B107" i="25"/>
  <c r="E103" i="25"/>
  <c r="B103" i="25"/>
  <c r="B102" i="25"/>
  <c r="E102" i="25" s="1"/>
  <c r="C101" i="25"/>
  <c r="F101" i="25" s="1"/>
  <c r="B101" i="25"/>
  <c r="E101" i="25" s="1"/>
  <c r="F100" i="25"/>
  <c r="E100" i="25"/>
  <c r="C98" i="25"/>
  <c r="C110" i="25" s="1"/>
  <c r="F110" i="25" s="1"/>
  <c r="B98" i="25"/>
  <c r="B110" i="25" s="1"/>
  <c r="B122" i="25" s="1"/>
  <c r="D97" i="25"/>
  <c r="C97" i="25"/>
  <c r="F97" i="25" s="1"/>
  <c r="B97" i="25"/>
  <c r="E97" i="25" s="1"/>
  <c r="F96" i="25"/>
  <c r="E96" i="25"/>
  <c r="D96" i="25"/>
  <c r="C96" i="25"/>
  <c r="C108" i="25" s="1"/>
  <c r="B96" i="25"/>
  <c r="B108" i="25" s="1"/>
  <c r="F95" i="25"/>
  <c r="G95" i="25" s="1"/>
  <c r="H95" i="25" s="1"/>
  <c r="E95" i="25"/>
  <c r="D95" i="25"/>
  <c r="C95" i="25"/>
  <c r="B95" i="25"/>
  <c r="C94" i="25"/>
  <c r="F94" i="25" s="1"/>
  <c r="B94" i="25"/>
  <c r="B106" i="25" s="1"/>
  <c r="C93" i="25"/>
  <c r="B93" i="25"/>
  <c r="F92" i="25"/>
  <c r="E92" i="25"/>
  <c r="D92" i="25"/>
  <c r="C92" i="25"/>
  <c r="C104" i="25" s="1"/>
  <c r="B92" i="25"/>
  <c r="B104" i="25" s="1"/>
  <c r="B116" i="25" s="1"/>
  <c r="E91" i="25"/>
  <c r="C91" i="25"/>
  <c r="C103" i="25" s="1"/>
  <c r="C115" i="25" s="1"/>
  <c r="B91" i="25"/>
  <c r="F90" i="25"/>
  <c r="G90" i="25" s="1"/>
  <c r="H90" i="25" s="1"/>
  <c r="E90" i="25"/>
  <c r="C90" i="25"/>
  <c r="C102" i="25" s="1"/>
  <c r="B90" i="25"/>
  <c r="C89" i="25"/>
  <c r="F89" i="25" s="1"/>
  <c r="B89" i="25"/>
  <c r="E89" i="25" s="1"/>
  <c r="F88" i="25"/>
  <c r="G88" i="25" s="1"/>
  <c r="H88" i="25" s="1"/>
  <c r="E88" i="25"/>
  <c r="D88" i="25"/>
  <c r="C88" i="25"/>
  <c r="C100" i="25" s="1"/>
  <c r="C112" i="25" s="1"/>
  <c r="C124" i="25" s="1"/>
  <c r="C136" i="25" s="1"/>
  <c r="C148" i="25" s="1"/>
  <c r="C160" i="25" s="1"/>
  <c r="C172" i="25" s="1"/>
  <c r="C184" i="25" s="1"/>
  <c r="C196" i="25" s="1"/>
  <c r="C208" i="25" s="1"/>
  <c r="C220" i="25" s="1"/>
  <c r="B88" i="25"/>
  <c r="B100" i="25" s="1"/>
  <c r="B112" i="25" s="1"/>
  <c r="B124" i="25" s="1"/>
  <c r="B136" i="25" s="1"/>
  <c r="B148" i="25" s="1"/>
  <c r="B160" i="25" s="1"/>
  <c r="B172" i="25" s="1"/>
  <c r="B184" i="25" s="1"/>
  <c r="B196" i="25" s="1"/>
  <c r="B208" i="25" s="1"/>
  <c r="B220" i="25" s="1"/>
  <c r="C87" i="25"/>
  <c r="C99" i="25" s="1"/>
  <c r="B87" i="25"/>
  <c r="B99" i="25" s="1"/>
  <c r="C86" i="25"/>
  <c r="F86" i="25" s="1"/>
  <c r="B86" i="25"/>
  <c r="E86" i="25" s="1"/>
  <c r="G85" i="25"/>
  <c r="H85" i="25" s="1"/>
  <c r="F85" i="25"/>
  <c r="E85" i="25"/>
  <c r="D85" i="25"/>
  <c r="N85" i="25"/>
  <c r="O85" i="25" s="1"/>
  <c r="P85" i="25" s="1"/>
  <c r="Q85" i="25" s="1"/>
  <c r="R85" i="25" s="1"/>
  <c r="S85" i="25" s="1"/>
  <c r="T85" i="25" s="1"/>
  <c r="U85" i="25" s="1"/>
  <c r="V85" i="25" s="1"/>
  <c r="W85" i="25" s="1"/>
  <c r="X85" i="25" s="1"/>
  <c r="Y85" i="25" s="1"/>
  <c r="P84" i="25"/>
  <c r="Q84" i="25" s="1"/>
  <c r="R84" i="25" s="1"/>
  <c r="S84" i="25" s="1"/>
  <c r="N83" i="25"/>
  <c r="O83" i="25" s="1"/>
  <c r="P83" i="25" s="1"/>
  <c r="Q83" i="25" s="1"/>
  <c r="R83" i="25" s="1"/>
  <c r="S83" i="25" s="1"/>
  <c r="T83" i="25" s="1"/>
  <c r="U83" i="25" s="1"/>
  <c r="V83" i="25" s="1"/>
  <c r="W83" i="25" s="1"/>
  <c r="X83" i="25" s="1"/>
  <c r="Y83" i="25" s="1"/>
  <c r="N81" i="25"/>
  <c r="O81" i="25" s="1"/>
  <c r="P81" i="25" s="1"/>
  <c r="Q81" i="25" s="1"/>
  <c r="R81" i="25" s="1"/>
  <c r="S81" i="25" s="1"/>
  <c r="T81" i="25" s="1"/>
  <c r="U81" i="25" s="1"/>
  <c r="V81" i="25" s="1"/>
  <c r="W81" i="25" s="1"/>
  <c r="N79" i="25"/>
  <c r="O79" i="25" s="1"/>
  <c r="P79" i="25" s="1"/>
  <c r="Q79" i="25" s="1"/>
  <c r="R79" i="25" s="1"/>
  <c r="S79" i="25" s="1"/>
  <c r="T79" i="25" s="1"/>
  <c r="U79" i="25" s="1"/>
  <c r="V79" i="25" s="1"/>
  <c r="W79" i="25" s="1"/>
  <c r="X79" i="25" s="1"/>
  <c r="Y79" i="25" s="1"/>
  <c r="N78" i="25"/>
  <c r="O78" i="25" s="1"/>
  <c r="P78" i="25" s="1"/>
  <c r="Q78" i="25" s="1"/>
  <c r="R78" i="25" s="1"/>
  <c r="S78" i="25" s="1"/>
  <c r="T78" i="25" s="1"/>
  <c r="U78" i="25" s="1"/>
  <c r="V78" i="25" s="1"/>
  <c r="W78" i="25" s="1"/>
  <c r="X78" i="25" s="1"/>
  <c r="Y78" i="25" s="1"/>
  <c r="V77" i="25"/>
  <c r="W77" i="25" s="1"/>
  <c r="X77" i="25" s="1"/>
  <c r="Y77" i="25" s="1"/>
  <c r="P77" i="25"/>
  <c r="Q77" i="25" s="1"/>
  <c r="R77" i="25" s="1"/>
  <c r="S77" i="25" s="1"/>
  <c r="T77" i="25" s="1"/>
  <c r="U77" i="25" s="1"/>
  <c r="O77" i="25"/>
  <c r="N77" i="25"/>
  <c r="N76" i="25"/>
  <c r="O76" i="25" s="1"/>
  <c r="P76" i="25" s="1"/>
  <c r="Q76" i="25" s="1"/>
  <c r="R76" i="25" s="1"/>
  <c r="S76" i="25" s="1"/>
  <c r="T76" i="25" s="1"/>
  <c r="U76" i="25" s="1"/>
  <c r="V76" i="25" s="1"/>
  <c r="W76" i="25" s="1"/>
  <c r="X76" i="25" s="1"/>
  <c r="Y76" i="25" s="1"/>
  <c r="G84" i="25"/>
  <c r="F84" i="25"/>
  <c r="E84" i="25"/>
  <c r="D84" i="25"/>
  <c r="F83" i="25"/>
  <c r="G83" i="25" s="1"/>
  <c r="E83" i="25"/>
  <c r="D83" i="25"/>
  <c r="F82" i="25"/>
  <c r="E82" i="25"/>
  <c r="D82" i="25"/>
  <c r="F81" i="25"/>
  <c r="E81" i="25"/>
  <c r="D81" i="25"/>
  <c r="G80" i="25"/>
  <c r="F80" i="25"/>
  <c r="E80" i="25"/>
  <c r="D80" i="25"/>
  <c r="F79" i="25"/>
  <c r="G79" i="25" s="1"/>
  <c r="E79" i="25"/>
  <c r="D79" i="25"/>
  <c r="F78" i="25"/>
  <c r="G78" i="25" s="1"/>
  <c r="E78" i="25"/>
  <c r="D78" i="25"/>
  <c r="F77" i="25"/>
  <c r="G77" i="25" s="1"/>
  <c r="E77" i="25"/>
  <c r="D77" i="25"/>
  <c r="G76" i="25"/>
  <c r="F76" i="25"/>
  <c r="E76" i="25"/>
  <c r="D76" i="25"/>
  <c r="F75" i="25"/>
  <c r="G75" i="25" s="1"/>
  <c r="E75" i="25"/>
  <c r="D75" i="25"/>
  <c r="F74" i="25"/>
  <c r="E74" i="25"/>
  <c r="D74" i="25"/>
  <c r="G69" i="25"/>
  <c r="A66" i="25"/>
  <c r="E56" i="25"/>
  <c r="Q27" i="25"/>
  <c r="P14" i="25"/>
  <c r="P12" i="25"/>
  <c r="P11" i="25"/>
  <c r="P9" i="25"/>
  <c r="P8" i="25"/>
  <c r="Q8" i="25" s="1"/>
  <c r="P7" i="25"/>
  <c r="Q9" i="25"/>
  <c r="M18" i="25"/>
  <c r="L18" i="25"/>
  <c r="K66" i="25" s="1"/>
  <c r="H17" i="25"/>
  <c r="G17" i="25"/>
  <c r="F17" i="25"/>
  <c r="E17" i="25"/>
  <c r="D17" i="25"/>
  <c r="C17" i="25"/>
  <c r="N86" i="25" s="1"/>
  <c r="O86" i="25" s="1"/>
  <c r="P86" i="25" s="1"/>
  <c r="Q86" i="25" s="1"/>
  <c r="R86" i="25" s="1"/>
  <c r="S86" i="25" s="1"/>
  <c r="N16" i="25"/>
  <c r="M16" i="25"/>
  <c r="L16" i="25"/>
  <c r="K16" i="25"/>
  <c r="J16" i="25"/>
  <c r="I16" i="25"/>
  <c r="H16" i="25"/>
  <c r="G16" i="25"/>
  <c r="F69" i="25" s="1"/>
  <c r="F16" i="25"/>
  <c r="E69" i="25" s="1"/>
  <c r="E16" i="25"/>
  <c r="D184" i="25" s="1"/>
  <c r="D16" i="25"/>
  <c r="C16" i="25"/>
  <c r="N15" i="25"/>
  <c r="M15" i="25"/>
  <c r="L15" i="25"/>
  <c r="K15" i="25"/>
  <c r="P15" i="25" s="1"/>
  <c r="Q15" i="25" s="1"/>
  <c r="J15" i="25"/>
  <c r="I15" i="25"/>
  <c r="H15" i="25"/>
  <c r="G15" i="25"/>
  <c r="F15" i="25"/>
  <c r="E15" i="25"/>
  <c r="D15" i="25"/>
  <c r="C15" i="25"/>
  <c r="N84" i="25" s="1"/>
  <c r="O84" i="25" s="1"/>
  <c r="N14" i="25"/>
  <c r="M14" i="25"/>
  <c r="L14" i="25"/>
  <c r="K14" i="25"/>
  <c r="J14" i="25"/>
  <c r="I14" i="25"/>
  <c r="H14" i="25"/>
  <c r="G14" i="25"/>
  <c r="F14" i="25"/>
  <c r="E14" i="25"/>
  <c r="D160" i="25" s="1"/>
  <c r="D14" i="25"/>
  <c r="C14" i="25"/>
  <c r="N13" i="25"/>
  <c r="M13" i="25"/>
  <c r="L13" i="25"/>
  <c r="K13" i="25"/>
  <c r="J13" i="25"/>
  <c r="I13" i="25"/>
  <c r="H13" i="25"/>
  <c r="G13" i="25"/>
  <c r="F13" i="25"/>
  <c r="E13" i="25"/>
  <c r="D69" i="25" s="1"/>
  <c r="D13" i="25"/>
  <c r="C69" i="25" s="1"/>
  <c r="C13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N10" i="25"/>
  <c r="M10" i="25"/>
  <c r="L10" i="25"/>
  <c r="K10" i="25"/>
  <c r="J10" i="25"/>
  <c r="I10" i="25"/>
  <c r="H10" i="25"/>
  <c r="G68" i="25" s="1"/>
  <c r="G10" i="25"/>
  <c r="F68" i="25" s="1"/>
  <c r="F10" i="25"/>
  <c r="E10" i="25"/>
  <c r="D10" i="25"/>
  <c r="C10" i="25"/>
  <c r="C5" i="25"/>
  <c r="F221" i="14"/>
  <c r="F217" i="14"/>
  <c r="F209" i="14"/>
  <c r="F205" i="14"/>
  <c r="F193" i="14"/>
  <c r="F189" i="14"/>
  <c r="F185" i="14"/>
  <c r="F181" i="14"/>
  <c r="F169" i="14"/>
  <c r="F149" i="14"/>
  <c r="F145" i="14"/>
  <c r="F133" i="14"/>
  <c r="C130" i="14"/>
  <c r="C142" i="14" s="1"/>
  <c r="B130" i="14"/>
  <c r="D130" i="14" s="1"/>
  <c r="F121" i="14"/>
  <c r="C118" i="14"/>
  <c r="F118" i="14" s="1"/>
  <c r="B118" i="14"/>
  <c r="E118" i="14" s="1"/>
  <c r="F115" i="14"/>
  <c r="F113" i="14"/>
  <c r="F111" i="14"/>
  <c r="B110" i="14"/>
  <c r="E110" i="14" s="1"/>
  <c r="F109" i="14"/>
  <c r="D109" i="14"/>
  <c r="C106" i="14"/>
  <c r="F106" i="14" s="1"/>
  <c r="B106" i="14"/>
  <c r="E106" i="14" s="1"/>
  <c r="F105" i="14"/>
  <c r="D105" i="14"/>
  <c r="C102" i="14"/>
  <c r="F102" i="14" s="1"/>
  <c r="B102" i="14"/>
  <c r="D102" i="14" s="1"/>
  <c r="E98" i="14"/>
  <c r="B98" i="14"/>
  <c r="F97" i="14"/>
  <c r="G97" i="14" s="1"/>
  <c r="H97" i="14" s="1"/>
  <c r="E97" i="14"/>
  <c r="D97" i="14"/>
  <c r="C97" i="14"/>
  <c r="C109" i="14" s="1"/>
  <c r="C121" i="14" s="1"/>
  <c r="C133" i="14" s="1"/>
  <c r="C145" i="14" s="1"/>
  <c r="C157" i="14" s="1"/>
  <c r="C169" i="14" s="1"/>
  <c r="C181" i="14" s="1"/>
  <c r="C193" i="14" s="1"/>
  <c r="C205" i="14" s="1"/>
  <c r="C217" i="14" s="1"/>
  <c r="C229" i="14" s="1"/>
  <c r="F229" i="14" s="1"/>
  <c r="B97" i="14"/>
  <c r="B109" i="14" s="1"/>
  <c r="C96" i="14"/>
  <c r="F96" i="14" s="1"/>
  <c r="B96" i="14"/>
  <c r="E96" i="14" s="1"/>
  <c r="F95" i="14"/>
  <c r="C95" i="14"/>
  <c r="C107" i="14" s="1"/>
  <c r="C119" i="14" s="1"/>
  <c r="B95" i="14"/>
  <c r="D95" i="14" s="1"/>
  <c r="C94" i="14"/>
  <c r="F94" i="14" s="1"/>
  <c r="B94" i="14"/>
  <c r="E94" i="14" s="1"/>
  <c r="F93" i="14"/>
  <c r="G93" i="14" s="1"/>
  <c r="H93" i="14" s="1"/>
  <c r="E93" i="14"/>
  <c r="D93" i="14"/>
  <c r="C93" i="14"/>
  <c r="C105" i="14" s="1"/>
  <c r="C117" i="14" s="1"/>
  <c r="C129" i="14" s="1"/>
  <c r="C141" i="14" s="1"/>
  <c r="C153" i="14" s="1"/>
  <c r="C165" i="14" s="1"/>
  <c r="C177" i="14" s="1"/>
  <c r="C189" i="14" s="1"/>
  <c r="C201" i="14" s="1"/>
  <c r="C213" i="14" s="1"/>
  <c r="C225" i="14" s="1"/>
  <c r="F225" i="14" s="1"/>
  <c r="B93" i="14"/>
  <c r="B105" i="14" s="1"/>
  <c r="C92" i="14"/>
  <c r="C104" i="14" s="1"/>
  <c r="B92" i="14"/>
  <c r="E92" i="14" s="1"/>
  <c r="F91" i="14"/>
  <c r="E91" i="14"/>
  <c r="C91" i="14"/>
  <c r="C103" i="14" s="1"/>
  <c r="C115" i="14" s="1"/>
  <c r="C127" i="14" s="1"/>
  <c r="B91" i="14"/>
  <c r="D91" i="14" s="1"/>
  <c r="C90" i="14"/>
  <c r="F90" i="14" s="1"/>
  <c r="B90" i="14"/>
  <c r="D90" i="14" s="1"/>
  <c r="F89" i="14"/>
  <c r="G89" i="14" s="1"/>
  <c r="H89" i="14" s="1"/>
  <c r="E89" i="14"/>
  <c r="D89" i="14"/>
  <c r="C89" i="14"/>
  <c r="C101" i="14" s="1"/>
  <c r="C113" i="14" s="1"/>
  <c r="C125" i="14" s="1"/>
  <c r="C137" i="14" s="1"/>
  <c r="C149" i="14" s="1"/>
  <c r="C161" i="14" s="1"/>
  <c r="C173" i="14" s="1"/>
  <c r="C185" i="14" s="1"/>
  <c r="C197" i="14" s="1"/>
  <c r="C209" i="14" s="1"/>
  <c r="C221" i="14" s="1"/>
  <c r="B89" i="14"/>
  <c r="B101" i="14" s="1"/>
  <c r="D101" i="14" s="1"/>
  <c r="C88" i="14"/>
  <c r="F88" i="14" s="1"/>
  <c r="B88" i="14"/>
  <c r="E88" i="14" s="1"/>
  <c r="F87" i="14"/>
  <c r="C87" i="14"/>
  <c r="C99" i="14" s="1"/>
  <c r="C111" i="14" s="1"/>
  <c r="C123" i="14" s="1"/>
  <c r="B87" i="14"/>
  <c r="D87" i="14" s="1"/>
  <c r="E86" i="14"/>
  <c r="C86" i="14"/>
  <c r="C98" i="14" s="1"/>
  <c r="B86" i="14"/>
  <c r="F85" i="14"/>
  <c r="G85" i="14" s="1"/>
  <c r="H85" i="14" s="1"/>
  <c r="E85" i="14"/>
  <c r="D85" i="14"/>
  <c r="N86" i="14"/>
  <c r="O86" i="14" s="1"/>
  <c r="P86" i="14" s="1"/>
  <c r="O85" i="14"/>
  <c r="P85" i="14" s="1"/>
  <c r="Q85" i="14" s="1"/>
  <c r="R85" i="14" s="1"/>
  <c r="S85" i="14" s="1"/>
  <c r="T85" i="14" s="1"/>
  <c r="U85" i="14" s="1"/>
  <c r="V85" i="14" s="1"/>
  <c r="W85" i="14" s="1"/>
  <c r="X85" i="14" s="1"/>
  <c r="Y85" i="14" s="1"/>
  <c r="N84" i="14"/>
  <c r="O84" i="14" s="1"/>
  <c r="P84" i="14" s="1"/>
  <c r="Q84" i="14" s="1"/>
  <c r="R84" i="14" s="1"/>
  <c r="S84" i="14" s="1"/>
  <c r="T84" i="14" s="1"/>
  <c r="U84" i="14" s="1"/>
  <c r="V84" i="14" s="1"/>
  <c r="W84" i="14" s="1"/>
  <c r="X84" i="14" s="1"/>
  <c r="Y84" i="14" s="1"/>
  <c r="N80" i="14"/>
  <c r="O80" i="14" s="1"/>
  <c r="P80" i="14" s="1"/>
  <c r="Q80" i="14" s="1"/>
  <c r="R80" i="14" s="1"/>
  <c r="S80" i="14" s="1"/>
  <c r="T80" i="14" s="1"/>
  <c r="U80" i="14" s="1"/>
  <c r="V80" i="14" s="1"/>
  <c r="W80" i="14" s="1"/>
  <c r="X80" i="14" s="1"/>
  <c r="Y80" i="14" s="1"/>
  <c r="N79" i="14"/>
  <c r="O79" i="14" s="1"/>
  <c r="P79" i="14" s="1"/>
  <c r="Q79" i="14" s="1"/>
  <c r="R79" i="14" s="1"/>
  <c r="S79" i="14" s="1"/>
  <c r="T79" i="14" s="1"/>
  <c r="U79" i="14" s="1"/>
  <c r="V79" i="14" s="1"/>
  <c r="W79" i="14" s="1"/>
  <c r="X79" i="14" s="1"/>
  <c r="Y79" i="14" s="1"/>
  <c r="N78" i="14"/>
  <c r="O78" i="14" s="1"/>
  <c r="P78" i="14" s="1"/>
  <c r="Q78" i="14" s="1"/>
  <c r="R78" i="14" s="1"/>
  <c r="S78" i="14" s="1"/>
  <c r="T78" i="14" s="1"/>
  <c r="U78" i="14" s="1"/>
  <c r="V78" i="14" s="1"/>
  <c r="W78" i="14" s="1"/>
  <c r="X78" i="14" s="1"/>
  <c r="Y78" i="14" s="1"/>
  <c r="O77" i="14"/>
  <c r="P77" i="14" s="1"/>
  <c r="Q77" i="14" s="1"/>
  <c r="R77" i="14" s="1"/>
  <c r="S77" i="14" s="1"/>
  <c r="T77" i="14" s="1"/>
  <c r="U77" i="14" s="1"/>
  <c r="V77" i="14" s="1"/>
  <c r="W77" i="14" s="1"/>
  <c r="X77" i="14" s="1"/>
  <c r="Y77" i="14" s="1"/>
  <c r="N77" i="14"/>
  <c r="N76" i="14"/>
  <c r="O76" i="14" s="1"/>
  <c r="P76" i="14" s="1"/>
  <c r="Q76" i="14" s="1"/>
  <c r="R76" i="14" s="1"/>
  <c r="S76" i="14" s="1"/>
  <c r="T76" i="14" s="1"/>
  <c r="U76" i="14" s="1"/>
  <c r="V76" i="14" s="1"/>
  <c r="W76" i="14" s="1"/>
  <c r="X76" i="14" s="1"/>
  <c r="Y76" i="14" s="1"/>
  <c r="F84" i="14"/>
  <c r="G84" i="14" s="1"/>
  <c r="E84" i="14"/>
  <c r="D84" i="14"/>
  <c r="F83" i="14"/>
  <c r="G83" i="14" s="1"/>
  <c r="E83" i="14"/>
  <c r="D83" i="14"/>
  <c r="F82" i="14"/>
  <c r="G82" i="14" s="1"/>
  <c r="E82" i="14"/>
  <c r="D82" i="14"/>
  <c r="G81" i="14"/>
  <c r="F81" i="14"/>
  <c r="E81" i="14"/>
  <c r="D81" i="14"/>
  <c r="F80" i="14"/>
  <c r="G80" i="14" s="1"/>
  <c r="E80" i="14"/>
  <c r="D80" i="14"/>
  <c r="F79" i="14"/>
  <c r="G79" i="14" s="1"/>
  <c r="E79" i="14"/>
  <c r="D79" i="14"/>
  <c r="F78" i="14"/>
  <c r="G78" i="14" s="1"/>
  <c r="E78" i="14"/>
  <c r="D78" i="14"/>
  <c r="F77" i="14"/>
  <c r="G77" i="14" s="1"/>
  <c r="E77" i="14"/>
  <c r="D77" i="14"/>
  <c r="F76" i="14"/>
  <c r="G76" i="14" s="1"/>
  <c r="E76" i="14"/>
  <c r="D76" i="14"/>
  <c r="F75" i="14"/>
  <c r="G75" i="14" s="1"/>
  <c r="E75" i="14"/>
  <c r="D75" i="14"/>
  <c r="F74" i="14"/>
  <c r="G74" i="14" s="1"/>
  <c r="E74" i="14"/>
  <c r="D74" i="14"/>
  <c r="D69" i="14"/>
  <c r="C69" i="14"/>
  <c r="B69" i="14"/>
  <c r="A66" i="14"/>
  <c r="E56" i="14"/>
  <c r="Q27" i="14"/>
  <c r="P9" i="14"/>
  <c r="P8" i="14"/>
  <c r="P7" i="14"/>
  <c r="N19" i="14"/>
  <c r="M18" i="14"/>
  <c r="L18" i="14"/>
  <c r="K66" i="14" s="1"/>
  <c r="K18" i="14"/>
  <c r="J66" i="14" s="1"/>
  <c r="E17" i="14"/>
  <c r="D17" i="14"/>
  <c r="C17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N85" i="14" s="1"/>
  <c r="N15" i="14"/>
  <c r="M15" i="14"/>
  <c r="L15" i="14"/>
  <c r="K15" i="14"/>
  <c r="J15" i="14"/>
  <c r="I15" i="14"/>
  <c r="H15" i="14"/>
  <c r="G15" i="14"/>
  <c r="F15" i="14"/>
  <c r="E15" i="14"/>
  <c r="D15" i="14"/>
  <c r="C15" i="14"/>
  <c r="P15" i="14" s="1"/>
  <c r="N14" i="14"/>
  <c r="M14" i="14"/>
  <c r="L14" i="14"/>
  <c r="K14" i="14"/>
  <c r="J14" i="14"/>
  <c r="I14" i="14"/>
  <c r="H14" i="14"/>
  <c r="G14" i="14"/>
  <c r="F14" i="14"/>
  <c r="E14" i="14"/>
  <c r="D14" i="14"/>
  <c r="P14" i="14" s="1"/>
  <c r="C14" i="14"/>
  <c r="N83" i="14" s="1"/>
  <c r="N13" i="14"/>
  <c r="M13" i="14"/>
  <c r="L13" i="14"/>
  <c r="K13" i="14"/>
  <c r="I13" i="14"/>
  <c r="H13" i="14"/>
  <c r="G13" i="14"/>
  <c r="F13" i="14"/>
  <c r="E13" i="14"/>
  <c r="D13" i="14"/>
  <c r="C13" i="14"/>
  <c r="N82" i="14" s="1"/>
  <c r="O82" i="14" s="1"/>
  <c r="P82" i="14" s="1"/>
  <c r="Q82" i="14" s="1"/>
  <c r="R82" i="14" s="1"/>
  <c r="S82" i="14" s="1"/>
  <c r="T82" i="14" s="1"/>
  <c r="N12" i="14"/>
  <c r="M12" i="14"/>
  <c r="L12" i="14"/>
  <c r="K12" i="14"/>
  <c r="J12" i="14"/>
  <c r="I12" i="14"/>
  <c r="H12" i="14"/>
  <c r="G12" i="14"/>
  <c r="F12" i="14"/>
  <c r="E12" i="14"/>
  <c r="D68" i="14" s="1"/>
  <c r="D12" i="14"/>
  <c r="C68" i="14" s="1"/>
  <c r="C12" i="14"/>
  <c r="P12" i="14" s="1"/>
  <c r="N11" i="14"/>
  <c r="M11" i="14"/>
  <c r="L11" i="14"/>
  <c r="K11" i="14"/>
  <c r="J11" i="14"/>
  <c r="I11" i="14"/>
  <c r="H11" i="14"/>
  <c r="G11" i="14"/>
  <c r="F11" i="14"/>
  <c r="E11" i="14"/>
  <c r="D11" i="14"/>
  <c r="P11" i="14" s="1"/>
  <c r="C11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C5" i="14"/>
  <c r="C134" i="13"/>
  <c r="C122" i="13"/>
  <c r="F122" i="13" s="1"/>
  <c r="B121" i="13"/>
  <c r="B117" i="13"/>
  <c r="E117" i="13" s="1"/>
  <c r="C115" i="13"/>
  <c r="C114" i="13"/>
  <c r="B111" i="13"/>
  <c r="F110" i="13"/>
  <c r="C110" i="13"/>
  <c r="D109" i="13"/>
  <c r="C109" i="13"/>
  <c r="B109" i="13"/>
  <c r="E109" i="13" s="1"/>
  <c r="B105" i="13"/>
  <c r="F103" i="13"/>
  <c r="C103" i="13"/>
  <c r="E102" i="13"/>
  <c r="B102" i="13"/>
  <c r="B114" i="13" s="1"/>
  <c r="B101" i="13"/>
  <c r="B99" i="13"/>
  <c r="C98" i="13"/>
  <c r="F98" i="13" s="1"/>
  <c r="B98" i="13"/>
  <c r="D97" i="13"/>
  <c r="C97" i="13"/>
  <c r="F97" i="13" s="1"/>
  <c r="B97" i="13"/>
  <c r="E97" i="13" s="1"/>
  <c r="C96" i="13"/>
  <c r="F96" i="13" s="1"/>
  <c r="B96" i="13"/>
  <c r="C95" i="13"/>
  <c r="C107" i="13" s="1"/>
  <c r="B95" i="13"/>
  <c r="C94" i="13"/>
  <c r="B94" i="13"/>
  <c r="D94" i="13" s="1"/>
  <c r="C93" i="13"/>
  <c r="F93" i="13" s="1"/>
  <c r="B93" i="13"/>
  <c r="C92" i="13"/>
  <c r="F92" i="13" s="1"/>
  <c r="B92" i="13"/>
  <c r="D92" i="13" s="1"/>
  <c r="F91" i="13"/>
  <c r="C91" i="13"/>
  <c r="B91" i="13"/>
  <c r="D91" i="13" s="1"/>
  <c r="C90" i="13"/>
  <c r="C102" i="13" s="1"/>
  <c r="F102" i="13" s="1"/>
  <c r="B90" i="13"/>
  <c r="E90" i="13" s="1"/>
  <c r="D89" i="13"/>
  <c r="C89" i="13"/>
  <c r="F89" i="13" s="1"/>
  <c r="B89" i="13"/>
  <c r="E89" i="13" s="1"/>
  <c r="C88" i="13"/>
  <c r="F88" i="13" s="1"/>
  <c r="B88" i="13"/>
  <c r="E87" i="13"/>
  <c r="C87" i="13"/>
  <c r="B87" i="13"/>
  <c r="G86" i="13"/>
  <c r="H86" i="13" s="1"/>
  <c r="F86" i="13"/>
  <c r="E86" i="13"/>
  <c r="D86" i="13"/>
  <c r="C86" i="13"/>
  <c r="B86" i="13"/>
  <c r="F85" i="13"/>
  <c r="G85" i="13" s="1"/>
  <c r="H85" i="13" s="1"/>
  <c r="E85" i="13"/>
  <c r="D85" i="13"/>
  <c r="P86" i="13"/>
  <c r="O86" i="13"/>
  <c r="N86" i="13"/>
  <c r="N83" i="13"/>
  <c r="O83" i="13" s="1"/>
  <c r="P83" i="13" s="1"/>
  <c r="Q83" i="13" s="1"/>
  <c r="R83" i="13" s="1"/>
  <c r="S83" i="13" s="1"/>
  <c r="T83" i="13" s="1"/>
  <c r="U83" i="13" s="1"/>
  <c r="V83" i="13" s="1"/>
  <c r="W83" i="13" s="1"/>
  <c r="X83" i="13" s="1"/>
  <c r="Y83" i="13" s="1"/>
  <c r="N81" i="13"/>
  <c r="O81" i="13" s="1"/>
  <c r="P81" i="13" s="1"/>
  <c r="R80" i="13"/>
  <c r="S80" i="13" s="1"/>
  <c r="T80" i="13" s="1"/>
  <c r="U80" i="13" s="1"/>
  <c r="V80" i="13" s="1"/>
  <c r="W80" i="13" s="1"/>
  <c r="X80" i="13" s="1"/>
  <c r="Y80" i="13" s="1"/>
  <c r="O80" i="13"/>
  <c r="P80" i="13" s="1"/>
  <c r="Q80" i="13" s="1"/>
  <c r="N80" i="13"/>
  <c r="N79" i="13"/>
  <c r="O79" i="13" s="1"/>
  <c r="P79" i="13" s="1"/>
  <c r="Q79" i="13" s="1"/>
  <c r="R79" i="13" s="1"/>
  <c r="S79" i="13" s="1"/>
  <c r="T79" i="13" s="1"/>
  <c r="O78" i="13"/>
  <c r="P78" i="13" s="1"/>
  <c r="Q78" i="13" s="1"/>
  <c r="R78" i="13" s="1"/>
  <c r="S78" i="13" s="1"/>
  <c r="T78" i="13" s="1"/>
  <c r="U78" i="13" s="1"/>
  <c r="V78" i="13" s="1"/>
  <c r="W78" i="13" s="1"/>
  <c r="X78" i="13" s="1"/>
  <c r="Y78" i="13" s="1"/>
  <c r="N78" i="13"/>
  <c r="P77" i="13"/>
  <c r="Q77" i="13" s="1"/>
  <c r="R77" i="13" s="1"/>
  <c r="S77" i="13" s="1"/>
  <c r="T77" i="13" s="1"/>
  <c r="U77" i="13" s="1"/>
  <c r="V77" i="13" s="1"/>
  <c r="W77" i="13" s="1"/>
  <c r="X77" i="13" s="1"/>
  <c r="Y77" i="13" s="1"/>
  <c r="O77" i="13"/>
  <c r="N77" i="13"/>
  <c r="P76" i="13"/>
  <c r="Q76" i="13" s="1"/>
  <c r="R76" i="13" s="1"/>
  <c r="S76" i="13" s="1"/>
  <c r="T76" i="13" s="1"/>
  <c r="U76" i="13" s="1"/>
  <c r="V76" i="13" s="1"/>
  <c r="W76" i="13" s="1"/>
  <c r="X76" i="13" s="1"/>
  <c r="Y76" i="13" s="1"/>
  <c r="O76" i="13"/>
  <c r="N76" i="13"/>
  <c r="F84" i="13"/>
  <c r="G84" i="13" s="1"/>
  <c r="E84" i="13"/>
  <c r="D84" i="13"/>
  <c r="F83" i="13"/>
  <c r="E83" i="13"/>
  <c r="D83" i="13"/>
  <c r="F82" i="13"/>
  <c r="E82" i="13"/>
  <c r="G82" i="13" s="1"/>
  <c r="D82" i="13"/>
  <c r="F81" i="13"/>
  <c r="G81" i="13" s="1"/>
  <c r="E81" i="13"/>
  <c r="D81" i="13"/>
  <c r="F80" i="13"/>
  <c r="G80" i="13" s="1"/>
  <c r="E80" i="13"/>
  <c r="D80" i="13"/>
  <c r="G79" i="13"/>
  <c r="F79" i="13"/>
  <c r="E79" i="13"/>
  <c r="D79" i="13"/>
  <c r="F78" i="13"/>
  <c r="G78" i="13" s="1"/>
  <c r="E78" i="13"/>
  <c r="D78" i="13"/>
  <c r="F77" i="13"/>
  <c r="G77" i="13" s="1"/>
  <c r="E77" i="13"/>
  <c r="D77" i="13"/>
  <c r="F76" i="13"/>
  <c r="G76" i="13" s="1"/>
  <c r="E76" i="13"/>
  <c r="D76" i="13"/>
  <c r="F75" i="13"/>
  <c r="G75" i="13" s="1"/>
  <c r="E75" i="13"/>
  <c r="D75" i="13"/>
  <c r="F74" i="13"/>
  <c r="E74" i="13"/>
  <c r="G74" i="13" s="1"/>
  <c r="D74" i="13"/>
  <c r="A66" i="13"/>
  <c r="E56" i="13"/>
  <c r="Q27" i="13"/>
  <c r="P15" i="13"/>
  <c r="P14" i="13"/>
  <c r="P11" i="13"/>
  <c r="P9" i="13"/>
  <c r="Q9" i="13" s="1"/>
  <c r="P8" i="13"/>
  <c r="Q8" i="13" s="1"/>
  <c r="P7" i="13"/>
  <c r="D19" i="13"/>
  <c r="C19" i="13"/>
  <c r="N18" i="13"/>
  <c r="L18" i="13"/>
  <c r="G18" i="13"/>
  <c r="C18" i="13"/>
  <c r="C20" i="13" s="1"/>
  <c r="E17" i="13"/>
  <c r="D17" i="13"/>
  <c r="C17" i="13"/>
  <c r="N16" i="13"/>
  <c r="M16" i="13"/>
  <c r="L16" i="13"/>
  <c r="L16" i="19" s="1"/>
  <c r="K16" i="13"/>
  <c r="J16" i="13"/>
  <c r="I16" i="13"/>
  <c r="H16" i="13"/>
  <c r="G16" i="13"/>
  <c r="G16" i="19" s="1"/>
  <c r="G16" i="23" s="1"/>
  <c r="F16" i="13"/>
  <c r="E16" i="13"/>
  <c r="D16" i="13"/>
  <c r="C16" i="13"/>
  <c r="N15" i="13"/>
  <c r="M15" i="13"/>
  <c r="L15" i="13"/>
  <c r="K15" i="13"/>
  <c r="J15" i="13"/>
  <c r="I15" i="13"/>
  <c r="H15" i="13"/>
  <c r="G15" i="13"/>
  <c r="G15" i="19" s="1"/>
  <c r="G15" i="23" s="1"/>
  <c r="F15" i="13"/>
  <c r="F15" i="19" s="1"/>
  <c r="F15" i="23" s="1"/>
  <c r="E15" i="13"/>
  <c r="D15" i="13"/>
  <c r="C15" i="13"/>
  <c r="N14" i="13"/>
  <c r="M14" i="13"/>
  <c r="L14" i="13"/>
  <c r="K14" i="13"/>
  <c r="J14" i="13"/>
  <c r="I14" i="13"/>
  <c r="H14" i="13"/>
  <c r="G14" i="13"/>
  <c r="F14" i="13"/>
  <c r="E14" i="13"/>
  <c r="D14" i="13"/>
  <c r="D14" i="18" s="1"/>
  <c r="C14" i="13"/>
  <c r="N13" i="13"/>
  <c r="M13" i="13"/>
  <c r="L13" i="13"/>
  <c r="K13" i="13"/>
  <c r="K13" i="19" s="1"/>
  <c r="K13" i="23" s="1"/>
  <c r="J13" i="13"/>
  <c r="I13" i="13"/>
  <c r="H13" i="13"/>
  <c r="G13" i="13"/>
  <c r="G13" i="18" s="1"/>
  <c r="F13" i="13"/>
  <c r="E13" i="13"/>
  <c r="D13" i="13"/>
  <c r="C13" i="13"/>
  <c r="N82" i="13" s="1"/>
  <c r="N12" i="13"/>
  <c r="M12" i="13"/>
  <c r="L12" i="13"/>
  <c r="K12" i="13"/>
  <c r="J12" i="13"/>
  <c r="I12" i="13"/>
  <c r="H12" i="13"/>
  <c r="G12" i="13"/>
  <c r="F12" i="13"/>
  <c r="E12" i="13"/>
  <c r="D12" i="13"/>
  <c r="C12" i="13"/>
  <c r="N11" i="13"/>
  <c r="N11" i="19" s="1"/>
  <c r="N11" i="23" s="1"/>
  <c r="M11" i="13"/>
  <c r="L11" i="13"/>
  <c r="K11" i="13"/>
  <c r="J11" i="13"/>
  <c r="I11" i="13"/>
  <c r="H11" i="13"/>
  <c r="H11" i="19" s="1"/>
  <c r="H11" i="23" s="1"/>
  <c r="G11" i="13"/>
  <c r="F11" i="13"/>
  <c r="E11" i="13"/>
  <c r="D11" i="13"/>
  <c r="C11" i="13"/>
  <c r="C11" i="19" s="1"/>
  <c r="N10" i="13"/>
  <c r="M10" i="13"/>
  <c r="L10" i="13"/>
  <c r="K10" i="13"/>
  <c r="J10" i="13"/>
  <c r="I10" i="13"/>
  <c r="H10" i="13"/>
  <c r="G10" i="13"/>
  <c r="F10" i="13"/>
  <c r="E10" i="13"/>
  <c r="D10" i="13"/>
  <c r="C10" i="13"/>
  <c r="C5" i="13"/>
  <c r="C132" i="19"/>
  <c r="F132" i="19" s="1"/>
  <c r="F129" i="19"/>
  <c r="C129" i="19"/>
  <c r="C141" i="19" s="1"/>
  <c r="C121" i="19"/>
  <c r="C120" i="19"/>
  <c r="F120" i="19" s="1"/>
  <c r="F117" i="19"/>
  <c r="C117" i="19"/>
  <c r="F115" i="19"/>
  <c r="C115" i="19"/>
  <c r="C127" i="19" s="1"/>
  <c r="B115" i="19"/>
  <c r="C113" i="19"/>
  <c r="C125" i="19" s="1"/>
  <c r="F125" i="19" s="1"/>
  <c r="C112" i="19"/>
  <c r="C124" i="19" s="1"/>
  <c r="F109" i="19"/>
  <c r="B109" i="19"/>
  <c r="B121" i="19" s="1"/>
  <c r="F108" i="19"/>
  <c r="C108" i="19"/>
  <c r="F105" i="19"/>
  <c r="F103" i="19"/>
  <c r="G103" i="19" s="1"/>
  <c r="H103" i="19" s="1"/>
  <c r="E103" i="19"/>
  <c r="C103" i="19"/>
  <c r="F101" i="19"/>
  <c r="B101" i="19"/>
  <c r="B113" i="19" s="1"/>
  <c r="F100" i="19"/>
  <c r="G100" i="19" s="1"/>
  <c r="H100" i="19" s="1"/>
  <c r="E100" i="19"/>
  <c r="D100" i="19"/>
  <c r="C100" i="19"/>
  <c r="B100" i="19"/>
  <c r="B112" i="19" s="1"/>
  <c r="F99" i="19"/>
  <c r="E99" i="19"/>
  <c r="C99" i="19"/>
  <c r="C111" i="19" s="1"/>
  <c r="B99" i="19"/>
  <c r="B111" i="19" s="1"/>
  <c r="F97" i="19"/>
  <c r="E97" i="19"/>
  <c r="D97" i="19"/>
  <c r="C97" i="19"/>
  <c r="C109" i="19" s="1"/>
  <c r="B97" i="19"/>
  <c r="F96" i="19"/>
  <c r="C96" i="19"/>
  <c r="B96" i="19"/>
  <c r="E96" i="19" s="1"/>
  <c r="G96" i="19" s="1"/>
  <c r="H96" i="19" s="1"/>
  <c r="F95" i="19"/>
  <c r="G95" i="19" s="1"/>
  <c r="H95" i="19" s="1"/>
  <c r="E95" i="19"/>
  <c r="D95" i="19"/>
  <c r="C95" i="19"/>
  <c r="C107" i="19" s="1"/>
  <c r="B95" i="19"/>
  <c r="B107" i="19" s="1"/>
  <c r="D94" i="19"/>
  <c r="C94" i="19"/>
  <c r="F94" i="19" s="1"/>
  <c r="B94" i="19"/>
  <c r="F93" i="19"/>
  <c r="C93" i="19"/>
  <c r="C105" i="19" s="1"/>
  <c r="B93" i="19"/>
  <c r="E92" i="19"/>
  <c r="C92" i="19"/>
  <c r="F92" i="19" s="1"/>
  <c r="G92" i="19" s="1"/>
  <c r="H92" i="19" s="1"/>
  <c r="B92" i="19"/>
  <c r="B104" i="19" s="1"/>
  <c r="F91" i="19"/>
  <c r="C91" i="19"/>
  <c r="B91" i="19"/>
  <c r="B103" i="19" s="1"/>
  <c r="D103" i="19" s="1"/>
  <c r="C90" i="19"/>
  <c r="F90" i="19" s="1"/>
  <c r="B90" i="19"/>
  <c r="F89" i="19"/>
  <c r="G89" i="19" s="1"/>
  <c r="H89" i="19" s="1"/>
  <c r="E89" i="19"/>
  <c r="D89" i="19"/>
  <c r="C89" i="19"/>
  <c r="C101" i="19" s="1"/>
  <c r="B89" i="19"/>
  <c r="F88" i="19"/>
  <c r="C88" i="19"/>
  <c r="B88" i="19"/>
  <c r="F87" i="19"/>
  <c r="G87" i="19" s="1"/>
  <c r="H87" i="19" s="1"/>
  <c r="E87" i="19"/>
  <c r="D87" i="19"/>
  <c r="C87" i="19"/>
  <c r="B87" i="19"/>
  <c r="D86" i="19"/>
  <c r="C86" i="19"/>
  <c r="F86" i="19" s="1"/>
  <c r="B86" i="19"/>
  <c r="F85" i="19"/>
  <c r="E85" i="19"/>
  <c r="G85" i="19" s="1"/>
  <c r="H85" i="19" s="1"/>
  <c r="D85" i="19"/>
  <c r="O78" i="19"/>
  <c r="P78" i="19" s="1"/>
  <c r="Q78" i="19" s="1"/>
  <c r="R78" i="19" s="1"/>
  <c r="S78" i="19" s="1"/>
  <c r="T78" i="19" s="1"/>
  <c r="U78" i="19" s="1"/>
  <c r="V78" i="19" s="1"/>
  <c r="W78" i="19" s="1"/>
  <c r="X78" i="19" s="1"/>
  <c r="Y78" i="19" s="1"/>
  <c r="N78" i="19"/>
  <c r="N77" i="19"/>
  <c r="O77" i="19" s="1"/>
  <c r="P77" i="19" s="1"/>
  <c r="Q77" i="19" s="1"/>
  <c r="R77" i="19" s="1"/>
  <c r="S77" i="19" s="1"/>
  <c r="T77" i="19" s="1"/>
  <c r="U77" i="19" s="1"/>
  <c r="V77" i="19" s="1"/>
  <c r="W77" i="19" s="1"/>
  <c r="X77" i="19" s="1"/>
  <c r="Y77" i="19" s="1"/>
  <c r="N76" i="19"/>
  <c r="O76" i="19" s="1"/>
  <c r="P76" i="19" s="1"/>
  <c r="Q76" i="19" s="1"/>
  <c r="R76" i="19" s="1"/>
  <c r="S76" i="19" s="1"/>
  <c r="T76" i="19" s="1"/>
  <c r="U76" i="19" s="1"/>
  <c r="V76" i="19" s="1"/>
  <c r="W76" i="19" s="1"/>
  <c r="X76" i="19" s="1"/>
  <c r="Y76" i="19" s="1"/>
  <c r="F84" i="19"/>
  <c r="G84" i="19" s="1"/>
  <c r="E84" i="19"/>
  <c r="D84" i="19"/>
  <c r="F83" i="19"/>
  <c r="E83" i="19"/>
  <c r="D83" i="19"/>
  <c r="F82" i="19"/>
  <c r="E82" i="19"/>
  <c r="D82" i="19"/>
  <c r="F81" i="19"/>
  <c r="G81" i="19" s="1"/>
  <c r="E81" i="19"/>
  <c r="D81" i="19"/>
  <c r="G80" i="19"/>
  <c r="F80" i="19"/>
  <c r="E80" i="19"/>
  <c r="D80" i="19"/>
  <c r="F79" i="19"/>
  <c r="G79" i="19" s="1"/>
  <c r="E79" i="19"/>
  <c r="D79" i="19"/>
  <c r="G78" i="19"/>
  <c r="F78" i="19"/>
  <c r="E78" i="19"/>
  <c r="D78" i="19"/>
  <c r="F77" i="19"/>
  <c r="G77" i="19" s="1"/>
  <c r="E77" i="19"/>
  <c r="D77" i="19"/>
  <c r="F76" i="19"/>
  <c r="G76" i="19" s="1"/>
  <c r="E76" i="19"/>
  <c r="D76" i="19"/>
  <c r="F75" i="19"/>
  <c r="E75" i="19"/>
  <c r="D75" i="19"/>
  <c r="G74" i="19"/>
  <c r="F74" i="19"/>
  <c r="E74" i="19"/>
  <c r="D74" i="19"/>
  <c r="A66" i="19"/>
  <c r="E56" i="19"/>
  <c r="Q27" i="19"/>
  <c r="P9" i="19"/>
  <c r="P8" i="19"/>
  <c r="P7" i="19"/>
  <c r="AI12" i="19"/>
  <c r="E17" i="19"/>
  <c r="D17" i="19"/>
  <c r="C17" i="19"/>
  <c r="C17" i="23" s="1"/>
  <c r="N16" i="19"/>
  <c r="M16" i="19"/>
  <c r="M16" i="23" s="1"/>
  <c r="J16" i="19"/>
  <c r="J16" i="23" s="1"/>
  <c r="I16" i="19"/>
  <c r="C16" i="19"/>
  <c r="M15" i="19"/>
  <c r="M15" i="23" s="1"/>
  <c r="K15" i="19"/>
  <c r="K15" i="23" s="1"/>
  <c r="J15" i="19"/>
  <c r="J15" i="23" s="1"/>
  <c r="I15" i="19"/>
  <c r="I15" i="23" s="1"/>
  <c r="H15" i="19"/>
  <c r="H15" i="23" s="1"/>
  <c r="F14" i="19"/>
  <c r="F14" i="23" s="1"/>
  <c r="E14" i="19"/>
  <c r="D14" i="19"/>
  <c r="C14" i="19"/>
  <c r="N13" i="19"/>
  <c r="M13" i="19"/>
  <c r="M13" i="23" s="1"/>
  <c r="L13" i="19"/>
  <c r="L13" i="23" s="1"/>
  <c r="G13" i="19"/>
  <c r="G13" i="23" s="1"/>
  <c r="E13" i="19"/>
  <c r="E13" i="23" s="1"/>
  <c r="D13" i="19"/>
  <c r="D13" i="23" s="1"/>
  <c r="C13" i="19"/>
  <c r="C13" i="23" s="1"/>
  <c r="N82" i="23" s="1"/>
  <c r="N12" i="19"/>
  <c r="N12" i="23" s="1"/>
  <c r="L12" i="19"/>
  <c r="L12" i="23" s="1"/>
  <c r="K12" i="19"/>
  <c r="K12" i="23" s="1"/>
  <c r="M11" i="19"/>
  <c r="M11" i="23" s="1"/>
  <c r="K11" i="19"/>
  <c r="J11" i="19"/>
  <c r="J11" i="23" s="1"/>
  <c r="G11" i="19"/>
  <c r="G11" i="23" s="1"/>
  <c r="F11" i="19"/>
  <c r="F11" i="23" s="1"/>
  <c r="E11" i="19"/>
  <c r="E11" i="23" s="1"/>
  <c r="D11" i="19"/>
  <c r="D11" i="23" s="1"/>
  <c r="K10" i="19"/>
  <c r="I10" i="19"/>
  <c r="I10" i="23" s="1"/>
  <c r="H10" i="19"/>
  <c r="H10" i="23" s="1"/>
  <c r="G10" i="19"/>
  <c r="G10" i="23" s="1"/>
  <c r="F10" i="19"/>
  <c r="F10" i="23" s="1"/>
  <c r="E10" i="19"/>
  <c r="E10" i="23" s="1"/>
  <c r="D10" i="19"/>
  <c r="C5" i="19"/>
  <c r="B138" i="18"/>
  <c r="E126" i="18"/>
  <c r="B126" i="18"/>
  <c r="B120" i="18"/>
  <c r="B132" i="18" s="1"/>
  <c r="C112" i="18"/>
  <c r="B108" i="18"/>
  <c r="F107" i="18"/>
  <c r="G107" i="18" s="1"/>
  <c r="H107" i="18" s="1"/>
  <c r="E107" i="18"/>
  <c r="D107" i="18"/>
  <c r="C107" i="18"/>
  <c r="C119" i="18" s="1"/>
  <c r="B107" i="18"/>
  <c r="B119" i="18" s="1"/>
  <c r="C104" i="18"/>
  <c r="F104" i="18" s="1"/>
  <c r="B104" i="18"/>
  <c r="D104" i="18" s="1"/>
  <c r="C103" i="18"/>
  <c r="F103" i="18" s="1"/>
  <c r="B103" i="18"/>
  <c r="E102" i="18"/>
  <c r="C102" i="18"/>
  <c r="C114" i="18" s="1"/>
  <c r="F114" i="18" s="1"/>
  <c r="B102" i="18"/>
  <c r="B114" i="18" s="1"/>
  <c r="F98" i="18"/>
  <c r="C97" i="18"/>
  <c r="C109" i="18" s="1"/>
  <c r="B97" i="18"/>
  <c r="B109" i="18" s="1"/>
  <c r="E96" i="18"/>
  <c r="C96" i="18"/>
  <c r="C108" i="18" s="1"/>
  <c r="F108" i="18" s="1"/>
  <c r="B96" i="18"/>
  <c r="C95" i="18"/>
  <c r="F95" i="18" s="1"/>
  <c r="B95" i="18"/>
  <c r="E95" i="18" s="1"/>
  <c r="C94" i="18"/>
  <c r="B94" i="18"/>
  <c r="D94" i="18" s="1"/>
  <c r="F93" i="18"/>
  <c r="G93" i="18" s="1"/>
  <c r="H93" i="18" s="1"/>
  <c r="E93" i="18"/>
  <c r="C93" i="18"/>
  <c r="C105" i="18" s="1"/>
  <c r="B93" i="18"/>
  <c r="B105" i="18" s="1"/>
  <c r="C92" i="18"/>
  <c r="F92" i="18" s="1"/>
  <c r="B92" i="18"/>
  <c r="E92" i="18" s="1"/>
  <c r="F91" i="18"/>
  <c r="G91" i="18" s="1"/>
  <c r="H91" i="18" s="1"/>
  <c r="E91" i="18"/>
  <c r="D91" i="18"/>
  <c r="C91" i="18"/>
  <c r="B91" i="18"/>
  <c r="C90" i="18"/>
  <c r="F90" i="18" s="1"/>
  <c r="B90" i="18"/>
  <c r="E90" i="18" s="1"/>
  <c r="C89" i="18"/>
  <c r="B89" i="18"/>
  <c r="F88" i="18"/>
  <c r="E88" i="18"/>
  <c r="D88" i="18"/>
  <c r="C88" i="18"/>
  <c r="C100" i="18" s="1"/>
  <c r="F100" i="18" s="1"/>
  <c r="B88" i="18"/>
  <c r="B100" i="18" s="1"/>
  <c r="C87" i="18"/>
  <c r="C99" i="18" s="1"/>
  <c r="B87" i="18"/>
  <c r="B99" i="18" s="1"/>
  <c r="F86" i="18"/>
  <c r="E86" i="18"/>
  <c r="D86" i="18"/>
  <c r="C86" i="18"/>
  <c r="C98" i="18" s="1"/>
  <c r="C110" i="18" s="1"/>
  <c r="B86" i="18"/>
  <c r="B98" i="18" s="1"/>
  <c r="F85" i="18"/>
  <c r="G85" i="18" s="1"/>
  <c r="H85" i="18" s="1"/>
  <c r="E85" i="18"/>
  <c r="D85" i="18"/>
  <c r="O78" i="18"/>
  <c r="P78" i="18" s="1"/>
  <c r="Q78" i="18" s="1"/>
  <c r="R78" i="18" s="1"/>
  <c r="S78" i="18" s="1"/>
  <c r="T78" i="18" s="1"/>
  <c r="U78" i="18" s="1"/>
  <c r="V78" i="18" s="1"/>
  <c r="W78" i="18" s="1"/>
  <c r="X78" i="18" s="1"/>
  <c r="Y78" i="18" s="1"/>
  <c r="N78" i="18"/>
  <c r="N77" i="18"/>
  <c r="O77" i="18" s="1"/>
  <c r="P77" i="18" s="1"/>
  <c r="Q77" i="18" s="1"/>
  <c r="R77" i="18" s="1"/>
  <c r="S77" i="18" s="1"/>
  <c r="T77" i="18" s="1"/>
  <c r="U77" i="18" s="1"/>
  <c r="V77" i="18" s="1"/>
  <c r="W77" i="18" s="1"/>
  <c r="X77" i="18" s="1"/>
  <c r="Y77" i="18" s="1"/>
  <c r="R76" i="18"/>
  <c r="S76" i="18" s="1"/>
  <c r="T76" i="18" s="1"/>
  <c r="U76" i="18" s="1"/>
  <c r="V76" i="18" s="1"/>
  <c r="W76" i="18" s="1"/>
  <c r="X76" i="18" s="1"/>
  <c r="Y76" i="18" s="1"/>
  <c r="Q76" i="18"/>
  <c r="P76" i="18"/>
  <c r="O76" i="18"/>
  <c r="N76" i="18"/>
  <c r="F84" i="18"/>
  <c r="G84" i="18" s="1"/>
  <c r="E84" i="18"/>
  <c r="D84" i="18"/>
  <c r="F83" i="18"/>
  <c r="G83" i="18" s="1"/>
  <c r="E83" i="18"/>
  <c r="D83" i="18"/>
  <c r="F82" i="18"/>
  <c r="G82" i="18" s="1"/>
  <c r="E82" i="18"/>
  <c r="D82" i="18"/>
  <c r="F81" i="18"/>
  <c r="E81" i="18"/>
  <c r="D81" i="18"/>
  <c r="G80" i="18"/>
  <c r="F80" i="18"/>
  <c r="E80" i="18"/>
  <c r="D80" i="18"/>
  <c r="G79" i="18"/>
  <c r="F79" i="18"/>
  <c r="E79" i="18"/>
  <c r="D79" i="18"/>
  <c r="F78" i="18"/>
  <c r="G78" i="18" s="1"/>
  <c r="E78" i="18"/>
  <c r="D78" i="18"/>
  <c r="F77" i="18"/>
  <c r="G77" i="18" s="1"/>
  <c r="E77" i="18"/>
  <c r="D77" i="18"/>
  <c r="F76" i="18"/>
  <c r="G76" i="18" s="1"/>
  <c r="E76" i="18"/>
  <c r="D76" i="18"/>
  <c r="F75" i="18"/>
  <c r="G75" i="18" s="1"/>
  <c r="E75" i="18"/>
  <c r="D75" i="18"/>
  <c r="F74" i="18"/>
  <c r="G74" i="18" s="1"/>
  <c r="E74" i="18"/>
  <c r="D74" i="18"/>
  <c r="A66" i="18"/>
  <c r="E56" i="18"/>
  <c r="Q27" i="18"/>
  <c r="P9" i="18"/>
  <c r="Q9" i="18" s="1"/>
  <c r="P8" i="18"/>
  <c r="Q8" i="18" s="1"/>
  <c r="P7" i="18"/>
  <c r="AI12" i="18"/>
  <c r="D17" i="18"/>
  <c r="C17" i="18"/>
  <c r="N86" i="18" s="1"/>
  <c r="O86" i="18" s="1"/>
  <c r="N16" i="18"/>
  <c r="M16" i="18"/>
  <c r="L16" i="18"/>
  <c r="K16" i="18"/>
  <c r="J16" i="18"/>
  <c r="I16" i="18"/>
  <c r="H16" i="18"/>
  <c r="C16" i="18"/>
  <c r="M15" i="18"/>
  <c r="J15" i="18"/>
  <c r="H15" i="18"/>
  <c r="G15" i="18"/>
  <c r="F15" i="18"/>
  <c r="N14" i="18"/>
  <c r="G14" i="18"/>
  <c r="F14" i="18"/>
  <c r="E14" i="18"/>
  <c r="C14" i="18"/>
  <c r="N83" i="18" s="1"/>
  <c r="N13" i="18"/>
  <c r="M13" i="18"/>
  <c r="L13" i="18"/>
  <c r="K13" i="18"/>
  <c r="E13" i="18"/>
  <c r="D13" i="18"/>
  <c r="C13" i="18"/>
  <c r="N12" i="18"/>
  <c r="L12" i="18"/>
  <c r="K12" i="18"/>
  <c r="N11" i="18"/>
  <c r="L11" i="18"/>
  <c r="J11" i="18"/>
  <c r="I11" i="18"/>
  <c r="H11" i="18"/>
  <c r="G11" i="18"/>
  <c r="F11" i="18"/>
  <c r="E11" i="18"/>
  <c r="D11" i="18"/>
  <c r="C11" i="18"/>
  <c r="K10" i="18"/>
  <c r="G10" i="18"/>
  <c r="F10" i="18"/>
  <c r="D10" i="18"/>
  <c r="C10" i="18"/>
  <c r="C5" i="18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D89" i="21"/>
  <c r="D88" i="21"/>
  <c r="D87" i="21"/>
  <c r="D86" i="21"/>
  <c r="D85" i="21"/>
  <c r="D84" i="21"/>
  <c r="D83" i="21"/>
  <c r="D82" i="21"/>
  <c r="D81" i="21"/>
  <c r="O88" i="21"/>
  <c r="N88" i="21"/>
  <c r="M88" i="21"/>
  <c r="L88" i="21"/>
  <c r="K88" i="21"/>
  <c r="J88" i="21"/>
  <c r="I88" i="21"/>
  <c r="H88" i="21"/>
  <c r="G88" i="21"/>
  <c r="F88" i="21"/>
  <c r="E88" i="21"/>
  <c r="O87" i="21"/>
  <c r="N87" i="21"/>
  <c r="M87" i="21"/>
  <c r="L87" i="21"/>
  <c r="K87" i="21"/>
  <c r="J87" i="21"/>
  <c r="I87" i="21"/>
  <c r="H87" i="21"/>
  <c r="G87" i="21"/>
  <c r="F87" i="21"/>
  <c r="E87" i="21"/>
  <c r="O86" i="21"/>
  <c r="N86" i="21"/>
  <c r="M86" i="21"/>
  <c r="L86" i="21"/>
  <c r="K86" i="21"/>
  <c r="J86" i="21"/>
  <c r="I86" i="21"/>
  <c r="H86" i="21"/>
  <c r="G86" i="21"/>
  <c r="F86" i="21"/>
  <c r="E86" i="21"/>
  <c r="O85" i="21"/>
  <c r="N85" i="21"/>
  <c r="M85" i="21"/>
  <c r="L85" i="21"/>
  <c r="K85" i="21"/>
  <c r="J85" i="21"/>
  <c r="I85" i="21"/>
  <c r="H85" i="21"/>
  <c r="G85" i="21"/>
  <c r="F85" i="21"/>
  <c r="E85" i="21"/>
  <c r="O84" i="21"/>
  <c r="N84" i="21"/>
  <c r="M84" i="21"/>
  <c r="L84" i="21"/>
  <c r="K84" i="21"/>
  <c r="J84" i="21"/>
  <c r="I84" i="21"/>
  <c r="H84" i="21"/>
  <c r="G84" i="21"/>
  <c r="F84" i="21"/>
  <c r="E84" i="21"/>
  <c r="O83" i="21"/>
  <c r="N83" i="21"/>
  <c r="M83" i="21"/>
  <c r="L83" i="21"/>
  <c r="K83" i="21"/>
  <c r="J83" i="21"/>
  <c r="I83" i="21"/>
  <c r="H83" i="21"/>
  <c r="G83" i="21"/>
  <c r="F83" i="21"/>
  <c r="E83" i="21"/>
  <c r="O82" i="21"/>
  <c r="N82" i="21"/>
  <c r="M82" i="21"/>
  <c r="L82" i="21"/>
  <c r="K82" i="21"/>
  <c r="J82" i="21"/>
  <c r="I82" i="21"/>
  <c r="H82" i="21"/>
  <c r="G82" i="21"/>
  <c r="F82" i="21"/>
  <c r="E82" i="21"/>
  <c r="O81" i="21"/>
  <c r="N81" i="21"/>
  <c r="M81" i="21"/>
  <c r="L81" i="21"/>
  <c r="K81" i="21"/>
  <c r="J81" i="21"/>
  <c r="I81" i="21"/>
  <c r="H81" i="21"/>
  <c r="G81" i="21"/>
  <c r="F81" i="21"/>
  <c r="E81" i="21"/>
  <c r="D42" i="21"/>
  <c r="D41" i="21"/>
  <c r="D40" i="21"/>
  <c r="D39" i="21"/>
  <c r="D38" i="21"/>
  <c r="D37" i="21"/>
  <c r="D36" i="21"/>
  <c r="D35" i="21"/>
  <c r="D34" i="21"/>
  <c r="D33" i="21"/>
  <c r="O41" i="21"/>
  <c r="N41" i="21"/>
  <c r="M41" i="21"/>
  <c r="L41" i="21"/>
  <c r="K41" i="21"/>
  <c r="J41" i="21"/>
  <c r="I41" i="21"/>
  <c r="H41" i="21"/>
  <c r="G41" i="21"/>
  <c r="F41" i="21"/>
  <c r="E41" i="21"/>
  <c r="O40" i="21"/>
  <c r="N40" i="21"/>
  <c r="M40" i="21"/>
  <c r="L40" i="21"/>
  <c r="K40" i="21"/>
  <c r="J40" i="21"/>
  <c r="I40" i="21"/>
  <c r="H40" i="21"/>
  <c r="G40" i="21"/>
  <c r="F40" i="21"/>
  <c r="E40" i="21"/>
  <c r="O39" i="21"/>
  <c r="N39" i="21"/>
  <c r="M39" i="21"/>
  <c r="L39" i="21"/>
  <c r="K39" i="21"/>
  <c r="J39" i="21"/>
  <c r="I39" i="21"/>
  <c r="H39" i="21"/>
  <c r="G39" i="21"/>
  <c r="F39" i="21"/>
  <c r="E39" i="21"/>
  <c r="O38" i="21"/>
  <c r="N38" i="21"/>
  <c r="M38" i="21"/>
  <c r="L38" i="21"/>
  <c r="K38" i="21"/>
  <c r="J38" i="21"/>
  <c r="I38" i="21"/>
  <c r="H38" i="21"/>
  <c r="G38" i="21"/>
  <c r="F38" i="21"/>
  <c r="E38" i="21"/>
  <c r="O37" i="21"/>
  <c r="N37" i="21"/>
  <c r="M37" i="21"/>
  <c r="L37" i="21"/>
  <c r="K37" i="21"/>
  <c r="J37" i="21"/>
  <c r="I37" i="21"/>
  <c r="H37" i="21"/>
  <c r="G37" i="21"/>
  <c r="F37" i="21"/>
  <c r="E37" i="21"/>
  <c r="O36" i="21"/>
  <c r="N36" i="21"/>
  <c r="M36" i="21"/>
  <c r="L36" i="21"/>
  <c r="K36" i="21"/>
  <c r="J36" i="21"/>
  <c r="I36" i="21"/>
  <c r="H36" i="21"/>
  <c r="G36" i="21"/>
  <c r="F36" i="21"/>
  <c r="E36" i="21"/>
  <c r="O35" i="21"/>
  <c r="N35" i="21"/>
  <c r="M35" i="21"/>
  <c r="L35" i="21"/>
  <c r="K35" i="21"/>
  <c r="J35" i="21"/>
  <c r="I35" i="21"/>
  <c r="H35" i="21"/>
  <c r="G35" i="21"/>
  <c r="F35" i="21"/>
  <c r="E35" i="21"/>
  <c r="O34" i="21"/>
  <c r="N34" i="21"/>
  <c r="M34" i="21"/>
  <c r="L34" i="21"/>
  <c r="K34" i="21"/>
  <c r="J34" i="21"/>
  <c r="I34" i="21"/>
  <c r="H34" i="21"/>
  <c r="G34" i="21"/>
  <c r="F34" i="21"/>
  <c r="E34" i="21"/>
  <c r="O33" i="21"/>
  <c r="N33" i="21"/>
  <c r="M33" i="21"/>
  <c r="L33" i="21"/>
  <c r="K33" i="21"/>
  <c r="J33" i="21"/>
  <c r="I33" i="21"/>
  <c r="H33" i="21"/>
  <c r="G33" i="21"/>
  <c r="F33" i="21"/>
  <c r="E33" i="21"/>
  <c r="C133" i="22"/>
  <c r="F123" i="22"/>
  <c r="C121" i="22"/>
  <c r="F121" i="22" s="1"/>
  <c r="B114" i="22"/>
  <c r="B126" i="22" s="1"/>
  <c r="E126" i="22" s="1"/>
  <c r="C111" i="22"/>
  <c r="C123" i="22" s="1"/>
  <c r="C135" i="22" s="1"/>
  <c r="C109" i="22"/>
  <c r="F109" i="22" s="1"/>
  <c r="E104" i="22"/>
  <c r="C102" i="22"/>
  <c r="C101" i="22"/>
  <c r="E100" i="22"/>
  <c r="C99" i="22"/>
  <c r="F99" i="22" s="1"/>
  <c r="B99" i="22"/>
  <c r="E97" i="22"/>
  <c r="C97" i="22"/>
  <c r="B97" i="22"/>
  <c r="B109" i="22" s="1"/>
  <c r="F96" i="22"/>
  <c r="E96" i="22"/>
  <c r="G96" i="22" s="1"/>
  <c r="H96" i="22" s="1"/>
  <c r="D96" i="22"/>
  <c r="I107" i="22" s="1"/>
  <c r="C96" i="22"/>
  <c r="C108" i="22" s="1"/>
  <c r="B96" i="22"/>
  <c r="B108" i="22" s="1"/>
  <c r="C95" i="22"/>
  <c r="B95" i="22"/>
  <c r="D95" i="22" s="1"/>
  <c r="I106" i="22" s="1"/>
  <c r="C94" i="22"/>
  <c r="B94" i="22"/>
  <c r="E94" i="22" s="1"/>
  <c r="E93" i="22"/>
  <c r="C93" i="22"/>
  <c r="B93" i="22"/>
  <c r="B105" i="22" s="1"/>
  <c r="G92" i="22"/>
  <c r="H92" i="22" s="1"/>
  <c r="F92" i="22"/>
  <c r="E92" i="22"/>
  <c r="D92" i="22"/>
  <c r="I103" i="22" s="1"/>
  <c r="C92" i="22"/>
  <c r="C104" i="22" s="1"/>
  <c r="B92" i="22"/>
  <c r="B104" i="22" s="1"/>
  <c r="C91" i="22"/>
  <c r="C103" i="22" s="1"/>
  <c r="B91" i="22"/>
  <c r="F90" i="22"/>
  <c r="E90" i="22"/>
  <c r="G90" i="22" s="1"/>
  <c r="H90" i="22" s="1"/>
  <c r="D90" i="22"/>
  <c r="I101" i="22" s="1"/>
  <c r="C90" i="22"/>
  <c r="B90" i="22"/>
  <c r="B102" i="22" s="1"/>
  <c r="E89" i="22"/>
  <c r="C89" i="22"/>
  <c r="B89" i="22"/>
  <c r="B101" i="22" s="1"/>
  <c r="F88" i="22"/>
  <c r="E88" i="22"/>
  <c r="G88" i="22" s="1"/>
  <c r="H88" i="22" s="1"/>
  <c r="D88" i="22"/>
  <c r="I99" i="22" s="1"/>
  <c r="C88" i="22"/>
  <c r="C100" i="22" s="1"/>
  <c r="B88" i="22"/>
  <c r="B100" i="22" s="1"/>
  <c r="C87" i="22"/>
  <c r="F87" i="22" s="1"/>
  <c r="B87" i="22"/>
  <c r="D87" i="22" s="1"/>
  <c r="I98" i="22" s="1"/>
  <c r="F86" i="22"/>
  <c r="C86" i="22"/>
  <c r="C98" i="22" s="1"/>
  <c r="C110" i="22" s="1"/>
  <c r="B86" i="22"/>
  <c r="B98" i="22" s="1"/>
  <c r="B110" i="22" s="1"/>
  <c r="F85" i="22"/>
  <c r="G85" i="22" s="1"/>
  <c r="H85" i="22" s="1"/>
  <c r="E85" i="22"/>
  <c r="D85" i="22"/>
  <c r="I96" i="22" s="1"/>
  <c r="N88" i="22"/>
  <c r="O88" i="22" s="1"/>
  <c r="P88" i="22" s="1"/>
  <c r="Q88" i="22" s="1"/>
  <c r="R88" i="22" s="1"/>
  <c r="S88" i="22" s="1"/>
  <c r="T88" i="22" s="1"/>
  <c r="U88" i="22" s="1"/>
  <c r="V88" i="22" s="1"/>
  <c r="W88" i="22" s="1"/>
  <c r="X88" i="22" s="1"/>
  <c r="Y88" i="22" s="1"/>
  <c r="N87" i="22"/>
  <c r="N86" i="22"/>
  <c r="O86" i="22" s="1"/>
  <c r="P86" i="22" s="1"/>
  <c r="Q86" i="22" s="1"/>
  <c r="R86" i="22" s="1"/>
  <c r="S86" i="22" s="1"/>
  <c r="T86" i="22" s="1"/>
  <c r="U86" i="22" s="1"/>
  <c r="V86" i="22" s="1"/>
  <c r="W86" i="22" s="1"/>
  <c r="X86" i="22" s="1"/>
  <c r="Y86" i="22" s="1"/>
  <c r="N85" i="22"/>
  <c r="O85" i="22" s="1"/>
  <c r="P85" i="22" s="1"/>
  <c r="Q85" i="22" s="1"/>
  <c r="R85" i="22" s="1"/>
  <c r="S85" i="22" s="1"/>
  <c r="T85" i="22" s="1"/>
  <c r="U85" i="22" s="1"/>
  <c r="V85" i="22" s="1"/>
  <c r="W85" i="22" s="1"/>
  <c r="X85" i="22" s="1"/>
  <c r="Y85" i="22" s="1"/>
  <c r="Q84" i="22"/>
  <c r="R84" i="22" s="1"/>
  <c r="S84" i="22" s="1"/>
  <c r="T84" i="22" s="1"/>
  <c r="U84" i="22" s="1"/>
  <c r="V84" i="22" s="1"/>
  <c r="W84" i="22" s="1"/>
  <c r="X84" i="22" s="1"/>
  <c r="Y84" i="22" s="1"/>
  <c r="P84" i="22"/>
  <c r="O84" i="22"/>
  <c r="N84" i="22"/>
  <c r="N83" i="22"/>
  <c r="O83" i="22" s="1"/>
  <c r="P83" i="22" s="1"/>
  <c r="Q83" i="22" s="1"/>
  <c r="R83" i="22" s="1"/>
  <c r="S83" i="22" s="1"/>
  <c r="T83" i="22" s="1"/>
  <c r="U83" i="22" s="1"/>
  <c r="V83" i="22" s="1"/>
  <c r="W83" i="22" s="1"/>
  <c r="X83" i="22" s="1"/>
  <c r="Y83" i="22" s="1"/>
  <c r="O82" i="22"/>
  <c r="P82" i="22" s="1"/>
  <c r="Q82" i="22" s="1"/>
  <c r="R82" i="22" s="1"/>
  <c r="S82" i="22" s="1"/>
  <c r="T82" i="22" s="1"/>
  <c r="U82" i="22" s="1"/>
  <c r="V82" i="22" s="1"/>
  <c r="W82" i="22" s="1"/>
  <c r="X82" i="22" s="1"/>
  <c r="Y82" i="22" s="1"/>
  <c r="N82" i="22"/>
  <c r="X81" i="22"/>
  <c r="Y81" i="22" s="1"/>
  <c r="N81" i="22"/>
  <c r="O81" i="22" s="1"/>
  <c r="P81" i="22" s="1"/>
  <c r="Q81" i="22" s="1"/>
  <c r="R81" i="22" s="1"/>
  <c r="S81" i="22" s="1"/>
  <c r="T81" i="22" s="1"/>
  <c r="U81" i="22" s="1"/>
  <c r="V81" i="22" s="1"/>
  <c r="W81" i="22" s="1"/>
  <c r="R80" i="22"/>
  <c r="S80" i="22" s="1"/>
  <c r="T80" i="22" s="1"/>
  <c r="U80" i="22" s="1"/>
  <c r="V80" i="22" s="1"/>
  <c r="W80" i="22" s="1"/>
  <c r="X80" i="22" s="1"/>
  <c r="Y80" i="22" s="1"/>
  <c r="N80" i="22"/>
  <c r="O80" i="22" s="1"/>
  <c r="P80" i="22" s="1"/>
  <c r="Q80" i="22" s="1"/>
  <c r="O79" i="22"/>
  <c r="P79" i="22" s="1"/>
  <c r="Q79" i="22" s="1"/>
  <c r="R79" i="22" s="1"/>
  <c r="S79" i="22" s="1"/>
  <c r="T79" i="22" s="1"/>
  <c r="U79" i="22" s="1"/>
  <c r="V79" i="22" s="1"/>
  <c r="W79" i="22" s="1"/>
  <c r="X79" i="22" s="1"/>
  <c r="Y79" i="22" s="1"/>
  <c r="N79" i="22"/>
  <c r="X78" i="22"/>
  <c r="Y78" i="22" s="1"/>
  <c r="N78" i="22"/>
  <c r="O78" i="22" s="1"/>
  <c r="P78" i="22" s="1"/>
  <c r="Q78" i="22" s="1"/>
  <c r="R78" i="22" s="1"/>
  <c r="S78" i="22" s="1"/>
  <c r="T78" i="22" s="1"/>
  <c r="U78" i="22" s="1"/>
  <c r="V78" i="22" s="1"/>
  <c r="W78" i="22" s="1"/>
  <c r="N77" i="22"/>
  <c r="O77" i="22" s="1"/>
  <c r="P77" i="22" s="1"/>
  <c r="Q77" i="22" s="1"/>
  <c r="R77" i="22" s="1"/>
  <c r="S77" i="22" s="1"/>
  <c r="T77" i="22" s="1"/>
  <c r="U77" i="22" s="1"/>
  <c r="V77" i="22" s="1"/>
  <c r="W77" i="22" s="1"/>
  <c r="X77" i="22" s="1"/>
  <c r="Y77" i="22" s="1"/>
  <c r="Q76" i="22"/>
  <c r="R76" i="22" s="1"/>
  <c r="S76" i="22" s="1"/>
  <c r="T76" i="22" s="1"/>
  <c r="U76" i="22" s="1"/>
  <c r="V76" i="22" s="1"/>
  <c r="W76" i="22" s="1"/>
  <c r="X76" i="22" s="1"/>
  <c r="Y76" i="22" s="1"/>
  <c r="P76" i="22"/>
  <c r="O76" i="22"/>
  <c r="N76" i="22"/>
  <c r="F84" i="22"/>
  <c r="G84" i="22" s="1"/>
  <c r="E84" i="22"/>
  <c r="D84" i="22"/>
  <c r="I95" i="22" s="1"/>
  <c r="G83" i="22"/>
  <c r="F83" i="22"/>
  <c r="E83" i="22"/>
  <c r="D83" i="22"/>
  <c r="I94" i="22" s="1"/>
  <c r="F82" i="22"/>
  <c r="E82" i="22"/>
  <c r="G82" i="22" s="1"/>
  <c r="D82" i="22"/>
  <c r="I93" i="22" s="1"/>
  <c r="F81" i="22"/>
  <c r="E81" i="22"/>
  <c r="D81" i="22"/>
  <c r="I92" i="22" s="1"/>
  <c r="G80" i="22"/>
  <c r="F80" i="22"/>
  <c r="E80" i="22"/>
  <c r="D80" i="22"/>
  <c r="I91" i="22" s="1"/>
  <c r="F79" i="22"/>
  <c r="G79" i="22" s="1"/>
  <c r="E79" i="22"/>
  <c r="D79" i="22"/>
  <c r="I90" i="22" s="1"/>
  <c r="F78" i="22"/>
  <c r="G78" i="22" s="1"/>
  <c r="E78" i="22"/>
  <c r="D78" i="22"/>
  <c r="I89" i="22" s="1"/>
  <c r="F77" i="22"/>
  <c r="G77" i="22" s="1"/>
  <c r="E77" i="22"/>
  <c r="D77" i="22"/>
  <c r="I88" i="22" s="1"/>
  <c r="F76" i="22"/>
  <c r="G76" i="22" s="1"/>
  <c r="E76" i="22"/>
  <c r="D76" i="22"/>
  <c r="I87" i="22" s="1"/>
  <c r="G75" i="22"/>
  <c r="F75" i="22"/>
  <c r="E75" i="22"/>
  <c r="D75" i="22"/>
  <c r="I86" i="22" s="1"/>
  <c r="F74" i="22"/>
  <c r="E74" i="22"/>
  <c r="D74" i="22"/>
  <c r="I85" i="22" s="1"/>
  <c r="M69" i="22"/>
  <c r="L69" i="22"/>
  <c r="K69" i="22"/>
  <c r="J69" i="22"/>
  <c r="I69" i="22"/>
  <c r="H69" i="22"/>
  <c r="G69" i="22"/>
  <c r="F69" i="22"/>
  <c r="E69" i="22"/>
  <c r="D69" i="22"/>
  <c r="C69" i="22"/>
  <c r="B69" i="22"/>
  <c r="M68" i="22"/>
  <c r="L68" i="22"/>
  <c r="K68" i="22"/>
  <c r="J68" i="22"/>
  <c r="I68" i="22"/>
  <c r="H68" i="22"/>
  <c r="G68" i="22"/>
  <c r="F68" i="22"/>
  <c r="E68" i="22"/>
  <c r="D68" i="22"/>
  <c r="C68" i="22"/>
  <c r="B68" i="22"/>
  <c r="M67" i="22"/>
  <c r="L67" i="22"/>
  <c r="K67" i="22"/>
  <c r="J67" i="22"/>
  <c r="I67" i="22"/>
  <c r="H67" i="22"/>
  <c r="G67" i="22"/>
  <c r="F67" i="22"/>
  <c r="E67" i="22"/>
  <c r="D67" i="22"/>
  <c r="C67" i="22"/>
  <c r="B67" i="22"/>
  <c r="B66" i="22"/>
  <c r="A66" i="22"/>
  <c r="B58" i="22"/>
  <c r="E56" i="22"/>
  <c r="Q27" i="22"/>
  <c r="P19" i="22"/>
  <c r="P17" i="22"/>
  <c r="P16" i="22"/>
  <c r="Q16" i="22" s="1"/>
  <c r="P15" i="22"/>
  <c r="P14" i="22"/>
  <c r="Q14" i="22" s="1"/>
  <c r="P13" i="22"/>
  <c r="P12" i="22"/>
  <c r="P11" i="22"/>
  <c r="Q11" i="22" s="1"/>
  <c r="P10" i="22"/>
  <c r="P9" i="22"/>
  <c r="Q9" i="22" s="1"/>
  <c r="P8" i="22"/>
  <c r="P7" i="22"/>
  <c r="C20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U9" i="22"/>
  <c r="U8" i="22"/>
  <c r="Q15" i="22"/>
  <c r="Q8" i="22"/>
  <c r="C5" i="22"/>
  <c r="B128" i="23"/>
  <c r="C120" i="23"/>
  <c r="F120" i="23" s="1"/>
  <c r="B116" i="23"/>
  <c r="E116" i="23" s="1"/>
  <c r="E115" i="23"/>
  <c r="B115" i="23"/>
  <c r="B127" i="23" s="1"/>
  <c r="C107" i="23"/>
  <c r="F107" i="23" s="1"/>
  <c r="B107" i="23"/>
  <c r="D107" i="23" s="1"/>
  <c r="I118" i="23" s="1"/>
  <c r="C106" i="23"/>
  <c r="C118" i="23" s="1"/>
  <c r="C130" i="23" s="1"/>
  <c r="B106" i="23"/>
  <c r="B118" i="23" s="1"/>
  <c r="E104" i="23"/>
  <c r="C104" i="23"/>
  <c r="F104" i="23" s="1"/>
  <c r="G104" i="23" s="1"/>
  <c r="H104" i="23" s="1"/>
  <c r="B104" i="23"/>
  <c r="C103" i="23"/>
  <c r="F103" i="23" s="1"/>
  <c r="B103" i="23"/>
  <c r="E103" i="23" s="1"/>
  <c r="F102" i="23"/>
  <c r="C102" i="23"/>
  <c r="C114" i="23" s="1"/>
  <c r="C126" i="23" s="1"/>
  <c r="F101" i="23"/>
  <c r="G101" i="23" s="1"/>
  <c r="H101" i="23" s="1"/>
  <c r="E101" i="23"/>
  <c r="C100" i="23"/>
  <c r="F100" i="23" s="1"/>
  <c r="C98" i="23"/>
  <c r="F98" i="23" s="1"/>
  <c r="B98" i="23"/>
  <c r="B110" i="23" s="1"/>
  <c r="F97" i="23"/>
  <c r="G97" i="23" s="1"/>
  <c r="H97" i="23" s="1"/>
  <c r="E97" i="23"/>
  <c r="D97" i="23"/>
  <c r="I108" i="23" s="1"/>
  <c r="C97" i="23"/>
  <c r="C109" i="23" s="1"/>
  <c r="B97" i="23"/>
  <c r="B109" i="23" s="1"/>
  <c r="F96" i="23"/>
  <c r="C96" i="23"/>
  <c r="C108" i="23" s="1"/>
  <c r="F108" i="23" s="1"/>
  <c r="B96" i="23"/>
  <c r="E96" i="23" s="1"/>
  <c r="F95" i="23"/>
  <c r="D95" i="23"/>
  <c r="I106" i="23" s="1"/>
  <c r="C95" i="23"/>
  <c r="B95" i="23"/>
  <c r="E95" i="23" s="1"/>
  <c r="G95" i="23" s="1"/>
  <c r="H95" i="23" s="1"/>
  <c r="F94" i="23"/>
  <c r="G94" i="23" s="1"/>
  <c r="H94" i="23" s="1"/>
  <c r="E94" i="23"/>
  <c r="C94" i="23"/>
  <c r="B94" i="23"/>
  <c r="D94" i="23" s="1"/>
  <c r="I105" i="23" s="1"/>
  <c r="C93" i="23"/>
  <c r="C105" i="23" s="1"/>
  <c r="C117" i="23" s="1"/>
  <c r="B93" i="23"/>
  <c r="B105" i="23" s="1"/>
  <c r="E92" i="23"/>
  <c r="D92" i="23"/>
  <c r="I103" i="23" s="1"/>
  <c r="C92" i="23"/>
  <c r="F92" i="23" s="1"/>
  <c r="G92" i="23" s="1"/>
  <c r="H92" i="23" s="1"/>
  <c r="B92" i="23"/>
  <c r="F91" i="23"/>
  <c r="G91" i="23" s="1"/>
  <c r="H91" i="23" s="1"/>
  <c r="E91" i="23"/>
  <c r="D91" i="23"/>
  <c r="I102" i="23" s="1"/>
  <c r="C91" i="23"/>
  <c r="B91" i="23"/>
  <c r="C90" i="23"/>
  <c r="F90" i="23" s="1"/>
  <c r="B90" i="23"/>
  <c r="D90" i="23" s="1"/>
  <c r="I101" i="23" s="1"/>
  <c r="F89" i="23"/>
  <c r="G89" i="23" s="1"/>
  <c r="H89" i="23" s="1"/>
  <c r="E89" i="23"/>
  <c r="D89" i="23"/>
  <c r="I100" i="23" s="1"/>
  <c r="C89" i="23"/>
  <c r="C101" i="23" s="1"/>
  <c r="C113" i="23" s="1"/>
  <c r="B89" i="23"/>
  <c r="B101" i="23" s="1"/>
  <c r="B113" i="23" s="1"/>
  <c r="F88" i="23"/>
  <c r="G88" i="23" s="1"/>
  <c r="H88" i="23" s="1"/>
  <c r="C88" i="23"/>
  <c r="B88" i="23"/>
  <c r="E88" i="23" s="1"/>
  <c r="C87" i="23"/>
  <c r="B87" i="23"/>
  <c r="B99" i="23" s="1"/>
  <c r="B111" i="23" s="1"/>
  <c r="C86" i="23"/>
  <c r="F86" i="23" s="1"/>
  <c r="B86" i="23"/>
  <c r="F85" i="23"/>
  <c r="G85" i="23" s="1"/>
  <c r="H85" i="23" s="1"/>
  <c r="E85" i="23"/>
  <c r="D85" i="23"/>
  <c r="I96" i="23" s="1"/>
  <c r="N78" i="23"/>
  <c r="O78" i="23" s="1"/>
  <c r="P78" i="23" s="1"/>
  <c r="Q78" i="23" s="1"/>
  <c r="R78" i="23" s="1"/>
  <c r="S78" i="23" s="1"/>
  <c r="T78" i="23" s="1"/>
  <c r="U78" i="23" s="1"/>
  <c r="V78" i="23" s="1"/>
  <c r="W78" i="23" s="1"/>
  <c r="X78" i="23" s="1"/>
  <c r="Y78" i="23" s="1"/>
  <c r="O77" i="23"/>
  <c r="P77" i="23" s="1"/>
  <c r="Q77" i="23" s="1"/>
  <c r="R77" i="23" s="1"/>
  <c r="S77" i="23" s="1"/>
  <c r="T77" i="23" s="1"/>
  <c r="U77" i="23" s="1"/>
  <c r="V77" i="23" s="1"/>
  <c r="W77" i="23" s="1"/>
  <c r="X77" i="23" s="1"/>
  <c r="Y77" i="23" s="1"/>
  <c r="N77" i="23"/>
  <c r="N76" i="23"/>
  <c r="O76" i="23" s="1"/>
  <c r="P76" i="23" s="1"/>
  <c r="Q76" i="23" s="1"/>
  <c r="R76" i="23" s="1"/>
  <c r="S76" i="23" s="1"/>
  <c r="T76" i="23" s="1"/>
  <c r="U76" i="23" s="1"/>
  <c r="V76" i="23" s="1"/>
  <c r="W76" i="23" s="1"/>
  <c r="X76" i="23" s="1"/>
  <c r="Y76" i="23" s="1"/>
  <c r="F84" i="23"/>
  <c r="G84" i="23" s="1"/>
  <c r="E84" i="23"/>
  <c r="D84" i="23"/>
  <c r="I95" i="23" s="1"/>
  <c r="F83" i="23"/>
  <c r="E83" i="23"/>
  <c r="D83" i="23"/>
  <c r="I94" i="23" s="1"/>
  <c r="F82" i="23"/>
  <c r="G82" i="23" s="1"/>
  <c r="E82" i="23"/>
  <c r="D82" i="23"/>
  <c r="I93" i="23" s="1"/>
  <c r="F81" i="23"/>
  <c r="G81" i="23" s="1"/>
  <c r="E81" i="23"/>
  <c r="D81" i="23"/>
  <c r="I92" i="23" s="1"/>
  <c r="G80" i="23"/>
  <c r="F80" i="23"/>
  <c r="E80" i="23"/>
  <c r="D80" i="23"/>
  <c r="I91" i="23" s="1"/>
  <c r="F79" i="23"/>
  <c r="G79" i="23" s="1"/>
  <c r="E79" i="23"/>
  <c r="D79" i="23"/>
  <c r="I90" i="23" s="1"/>
  <c r="F78" i="23"/>
  <c r="G78" i="23" s="1"/>
  <c r="E78" i="23"/>
  <c r="D78" i="23"/>
  <c r="I89" i="23" s="1"/>
  <c r="F77" i="23"/>
  <c r="G77" i="23" s="1"/>
  <c r="E77" i="23"/>
  <c r="D77" i="23"/>
  <c r="I88" i="23" s="1"/>
  <c r="F76" i="23"/>
  <c r="G76" i="23" s="1"/>
  <c r="E76" i="23"/>
  <c r="D76" i="23"/>
  <c r="I87" i="23" s="1"/>
  <c r="F75" i="23"/>
  <c r="E75" i="23"/>
  <c r="D75" i="23"/>
  <c r="I86" i="23" s="1"/>
  <c r="F74" i="23"/>
  <c r="G74" i="23" s="1"/>
  <c r="E74" i="23"/>
  <c r="D74" i="23"/>
  <c r="I85" i="23" s="1"/>
  <c r="A66" i="23"/>
  <c r="B58" i="23"/>
  <c r="E56" i="23"/>
  <c r="Q27" i="23"/>
  <c r="P9" i="23"/>
  <c r="P8" i="23"/>
  <c r="P7" i="23"/>
  <c r="U9" i="23"/>
  <c r="U8" i="23"/>
  <c r="Q9" i="23"/>
  <c r="Q8" i="23"/>
  <c r="N16" i="23"/>
  <c r="K16" i="23"/>
  <c r="K11" i="23"/>
  <c r="C5" i="23"/>
  <c r="F17" i="24"/>
  <c r="F16" i="24"/>
  <c r="F15" i="24"/>
  <c r="F14" i="24"/>
  <c r="F13" i="24"/>
  <c r="F12" i="24"/>
  <c r="F11" i="24"/>
  <c r="F10" i="24"/>
  <c r="F9" i="24"/>
  <c r="F8" i="24"/>
  <c r="F7" i="24"/>
  <c r="F6" i="24"/>
  <c r="A4" i="1"/>
  <c r="M18" i="20" l="1"/>
  <c r="N17" i="15"/>
  <c r="N20" i="20"/>
  <c r="M18" i="13"/>
  <c r="M20" i="3"/>
  <c r="M20" i="20"/>
  <c r="I86" i="8"/>
  <c r="K67" i="3"/>
  <c r="C18" i="20"/>
  <c r="N87" i="20" s="1"/>
  <c r="O87" i="20" s="1"/>
  <c r="P87" i="20" s="1"/>
  <c r="Q87" i="20" s="1"/>
  <c r="G20" i="20"/>
  <c r="L67" i="3"/>
  <c r="F66" i="8"/>
  <c r="F20" i="20"/>
  <c r="L20" i="3"/>
  <c r="G18" i="20"/>
  <c r="F69" i="3"/>
  <c r="G18" i="15"/>
  <c r="G69" i="3"/>
  <c r="H18" i="15"/>
  <c r="G66" i="15" s="1"/>
  <c r="N20" i="8"/>
  <c r="Q86" i="20"/>
  <c r="R86" i="20" s="1"/>
  <c r="S86" i="20" s="1"/>
  <c r="T86" i="20" s="1"/>
  <c r="U86" i="20" s="1"/>
  <c r="V86" i="20" s="1"/>
  <c r="W86" i="20" s="1"/>
  <c r="X86" i="20" s="1"/>
  <c r="Y86" i="20" s="1"/>
  <c r="I69" i="3"/>
  <c r="J68" i="8"/>
  <c r="K68" i="8"/>
  <c r="L68" i="8"/>
  <c r="M68" i="8"/>
  <c r="Q86" i="3"/>
  <c r="R86" i="3" s="1"/>
  <c r="S86" i="3" s="1"/>
  <c r="T86" i="3" s="1"/>
  <c r="U86" i="3" s="1"/>
  <c r="V86" i="3" s="1"/>
  <c r="W86" i="3" s="1"/>
  <c r="X86" i="3" s="1"/>
  <c r="Y86" i="3" s="1"/>
  <c r="C18" i="18"/>
  <c r="P18" i="8"/>
  <c r="I85" i="8"/>
  <c r="D66" i="3"/>
  <c r="R87" i="8"/>
  <c r="S87" i="8" s="1"/>
  <c r="T87" i="8" s="1"/>
  <c r="U87" i="8" s="1"/>
  <c r="V87" i="8" s="1"/>
  <c r="W87" i="8" s="1"/>
  <c r="X87" i="8" s="1"/>
  <c r="Y87" i="8" s="1"/>
  <c r="L69" i="16"/>
  <c r="F20" i="8"/>
  <c r="E69" i="8"/>
  <c r="P18" i="20"/>
  <c r="G86" i="20"/>
  <c r="H86" i="20" s="1"/>
  <c r="E102" i="20"/>
  <c r="D102" i="20"/>
  <c r="B114" i="20"/>
  <c r="F102" i="20"/>
  <c r="G102" i="20" s="1"/>
  <c r="H102" i="20" s="1"/>
  <c r="C114" i="20"/>
  <c r="E106" i="20"/>
  <c r="D106" i="20"/>
  <c r="B118" i="20"/>
  <c r="C118" i="20"/>
  <c r="F106" i="20"/>
  <c r="E98" i="20"/>
  <c r="D98" i="20"/>
  <c r="B110" i="20"/>
  <c r="G98" i="20"/>
  <c r="H98" i="20" s="1"/>
  <c r="F122" i="20"/>
  <c r="C134" i="20"/>
  <c r="E94" i="20"/>
  <c r="F94" i="20"/>
  <c r="F68" i="20"/>
  <c r="Q8" i="20"/>
  <c r="D86" i="20"/>
  <c r="H67" i="20"/>
  <c r="L69" i="20"/>
  <c r="E86" i="20"/>
  <c r="F110" i="20"/>
  <c r="I67" i="20"/>
  <c r="Q10" i="20"/>
  <c r="F107" i="20"/>
  <c r="C119" i="20"/>
  <c r="J67" i="20"/>
  <c r="Q11" i="20"/>
  <c r="M69" i="20"/>
  <c r="P12" i="20"/>
  <c r="Q12" i="20" s="1"/>
  <c r="G87" i="20"/>
  <c r="H87" i="20" s="1"/>
  <c r="G97" i="20"/>
  <c r="H97" i="20" s="1"/>
  <c r="G88" i="20"/>
  <c r="H88" i="20" s="1"/>
  <c r="E68" i="20"/>
  <c r="Y83" i="20"/>
  <c r="N76" i="20"/>
  <c r="O76" i="20" s="1"/>
  <c r="P76" i="20" s="1"/>
  <c r="Q76" i="20" s="1"/>
  <c r="R76" i="20" s="1"/>
  <c r="S76" i="20" s="1"/>
  <c r="T76" i="20" s="1"/>
  <c r="U76" i="20" s="1"/>
  <c r="V76" i="20" s="1"/>
  <c r="W76" i="20" s="1"/>
  <c r="X76" i="20" s="1"/>
  <c r="Y76" i="20" s="1"/>
  <c r="B68" i="20"/>
  <c r="D74" i="20"/>
  <c r="B67" i="20"/>
  <c r="G89" i="20"/>
  <c r="H89" i="20" s="1"/>
  <c r="I66" i="20"/>
  <c r="J20" i="20"/>
  <c r="N84" i="20"/>
  <c r="O84" i="20" s="1"/>
  <c r="P84" i="20" s="1"/>
  <c r="Q84" i="20" s="1"/>
  <c r="R84" i="20" s="1"/>
  <c r="S84" i="20" s="1"/>
  <c r="T84" i="20" s="1"/>
  <c r="U84" i="20" s="1"/>
  <c r="V84" i="20" s="1"/>
  <c r="W84" i="20" s="1"/>
  <c r="X84" i="20" s="1"/>
  <c r="Y84" i="20" s="1"/>
  <c r="P15" i="20"/>
  <c r="Q15" i="20" s="1"/>
  <c r="F99" i="20"/>
  <c r="C111" i="20"/>
  <c r="J66" i="20"/>
  <c r="K20" i="20"/>
  <c r="D90" i="20"/>
  <c r="E90" i="20"/>
  <c r="F90" i="20"/>
  <c r="G90" i="20" s="1"/>
  <c r="H90" i="20" s="1"/>
  <c r="D94" i="20"/>
  <c r="K68" i="20"/>
  <c r="F103" i="20"/>
  <c r="C115" i="20"/>
  <c r="H69" i="20"/>
  <c r="P14" i="20"/>
  <c r="Q14" i="20" s="1"/>
  <c r="C56" i="20"/>
  <c r="P17" i="20"/>
  <c r="P19" i="20"/>
  <c r="G91" i="20"/>
  <c r="H91" i="20" s="1"/>
  <c r="AI2" i="12"/>
  <c r="E67" i="20"/>
  <c r="O81" i="20"/>
  <c r="P81" i="20" s="1"/>
  <c r="Q81" i="20" s="1"/>
  <c r="R81" i="20" s="1"/>
  <c r="S81" i="20" s="1"/>
  <c r="T81" i="20" s="1"/>
  <c r="U81" i="20" s="1"/>
  <c r="V81" i="20" s="1"/>
  <c r="W81" i="20" s="1"/>
  <c r="X81" i="20" s="1"/>
  <c r="Y81" i="20" s="1"/>
  <c r="B69" i="20"/>
  <c r="G66" i="20"/>
  <c r="H20" i="20"/>
  <c r="H66" i="20"/>
  <c r="I20" i="20"/>
  <c r="G93" i="20"/>
  <c r="H93" i="20" s="1"/>
  <c r="B107" i="20"/>
  <c r="B103" i="20"/>
  <c r="P16" i="20"/>
  <c r="Q16" i="20" s="1"/>
  <c r="D80" i="20"/>
  <c r="D87" i="20"/>
  <c r="D91" i="20"/>
  <c r="D95" i="20"/>
  <c r="B99" i="20"/>
  <c r="L20" i="20"/>
  <c r="D81" i="20"/>
  <c r="C67" i="20"/>
  <c r="D67" i="20"/>
  <c r="B100" i="20"/>
  <c r="B104" i="20"/>
  <c r="B108" i="20"/>
  <c r="C100" i="20"/>
  <c r="C104" i="20"/>
  <c r="C108" i="20"/>
  <c r="F67" i="20"/>
  <c r="D82" i="20"/>
  <c r="D88" i="20"/>
  <c r="D92" i="20"/>
  <c r="D96" i="20"/>
  <c r="G67" i="20"/>
  <c r="D75" i="20"/>
  <c r="D83" i="20"/>
  <c r="L67" i="20"/>
  <c r="B101" i="20"/>
  <c r="B105" i="20"/>
  <c r="B109" i="20"/>
  <c r="M67" i="20"/>
  <c r="C101" i="20"/>
  <c r="C105" i="20"/>
  <c r="C109" i="20"/>
  <c r="D76" i="20"/>
  <c r="D89" i="20"/>
  <c r="D93" i="20"/>
  <c r="D97" i="20"/>
  <c r="C119" i="12"/>
  <c r="D119" i="12" s="1"/>
  <c r="F107" i="12"/>
  <c r="E110" i="12"/>
  <c r="D110" i="12"/>
  <c r="B122" i="12"/>
  <c r="F110" i="12"/>
  <c r="C122" i="12"/>
  <c r="E99" i="12"/>
  <c r="D99" i="12"/>
  <c r="B111" i="12"/>
  <c r="B127" i="12"/>
  <c r="E115" i="12"/>
  <c r="D115" i="12"/>
  <c r="F99" i="12"/>
  <c r="G99" i="12" s="1"/>
  <c r="H99" i="12" s="1"/>
  <c r="C111" i="12"/>
  <c r="E119" i="12"/>
  <c r="B131" i="12"/>
  <c r="C139" i="12"/>
  <c r="F127" i="12"/>
  <c r="G68" i="12"/>
  <c r="G67" i="12"/>
  <c r="D87" i="12"/>
  <c r="B114" i="12"/>
  <c r="D56" i="12"/>
  <c r="F56" i="12" s="1"/>
  <c r="T19" i="12"/>
  <c r="T18" i="12"/>
  <c r="T17" i="12"/>
  <c r="T16" i="12"/>
  <c r="T13" i="12"/>
  <c r="T15" i="12"/>
  <c r="T14" i="12"/>
  <c r="T12" i="12"/>
  <c r="T11" i="12"/>
  <c r="T10" i="12"/>
  <c r="T9" i="12"/>
  <c r="T8" i="12"/>
  <c r="T7" i="12"/>
  <c r="H20" i="12"/>
  <c r="E87" i="12"/>
  <c r="C114" i="12"/>
  <c r="F87" i="12"/>
  <c r="G87" i="12" s="1"/>
  <c r="H87" i="12" s="1"/>
  <c r="D103" i="12"/>
  <c r="F100" i="12"/>
  <c r="C112" i="12"/>
  <c r="D95" i="12"/>
  <c r="E103" i="12"/>
  <c r="G103" i="12" s="1"/>
  <c r="H103" i="12" s="1"/>
  <c r="S86" i="12"/>
  <c r="T86" i="12" s="1"/>
  <c r="U86" i="12" s="1"/>
  <c r="V86" i="12" s="1"/>
  <c r="W86" i="12" s="1"/>
  <c r="X86" i="12" s="1"/>
  <c r="Y86" i="12" s="1"/>
  <c r="G88" i="12"/>
  <c r="H88" i="12" s="1"/>
  <c r="G80" i="12"/>
  <c r="G95" i="12"/>
  <c r="H95" i="12" s="1"/>
  <c r="B106" i="12"/>
  <c r="Q9" i="12"/>
  <c r="G89" i="12"/>
  <c r="H89" i="12" s="1"/>
  <c r="C106" i="12"/>
  <c r="F108" i="12"/>
  <c r="C120" i="12"/>
  <c r="Q12" i="12"/>
  <c r="Q14" i="12"/>
  <c r="F115" i="12"/>
  <c r="Q15" i="12"/>
  <c r="Q16" i="12"/>
  <c r="E94" i="12"/>
  <c r="G94" i="12" s="1"/>
  <c r="H94" i="12" s="1"/>
  <c r="D98" i="12"/>
  <c r="P17" i="12"/>
  <c r="Q17" i="12" s="1"/>
  <c r="E98" i="12"/>
  <c r="F98" i="12"/>
  <c r="G98" i="12" s="1"/>
  <c r="H98" i="12" s="1"/>
  <c r="D107" i="12"/>
  <c r="D102" i="12"/>
  <c r="N88" i="12"/>
  <c r="O88" i="12" s="1"/>
  <c r="P88" i="12" s="1"/>
  <c r="Q88" i="12" s="1"/>
  <c r="R88" i="12" s="1"/>
  <c r="S88" i="12" s="1"/>
  <c r="T88" i="12" s="1"/>
  <c r="U88" i="12" s="1"/>
  <c r="V88" i="12" s="1"/>
  <c r="W88" i="12" s="1"/>
  <c r="X88" i="12" s="1"/>
  <c r="Y88" i="12" s="1"/>
  <c r="P19" i="12"/>
  <c r="E107" i="12"/>
  <c r="D91" i="12"/>
  <c r="F104" i="12"/>
  <c r="C116" i="12"/>
  <c r="B100" i="12"/>
  <c r="B104" i="12"/>
  <c r="B108" i="12"/>
  <c r="D88" i="12"/>
  <c r="D92" i="12"/>
  <c r="D96" i="12"/>
  <c r="J19" i="16"/>
  <c r="J19" i="19" s="1"/>
  <c r="J19" i="23" s="1"/>
  <c r="B101" i="12"/>
  <c r="B105" i="12"/>
  <c r="B109" i="12"/>
  <c r="C101" i="12"/>
  <c r="C105" i="12"/>
  <c r="C109" i="12"/>
  <c r="H17" i="16"/>
  <c r="G69" i="16" s="1"/>
  <c r="D89" i="12"/>
  <c r="D93" i="12"/>
  <c r="D97" i="12"/>
  <c r="I20" i="12"/>
  <c r="G86" i="11"/>
  <c r="H86" i="11" s="1"/>
  <c r="E107" i="11"/>
  <c r="D107" i="11"/>
  <c r="B119" i="11"/>
  <c r="C111" i="11"/>
  <c r="F99" i="11"/>
  <c r="C127" i="11"/>
  <c r="F115" i="11"/>
  <c r="E102" i="11"/>
  <c r="D102" i="11"/>
  <c r="B114" i="11"/>
  <c r="G98" i="11"/>
  <c r="H98" i="11" s="1"/>
  <c r="F102" i="11"/>
  <c r="G102" i="11" s="1"/>
  <c r="H102" i="11" s="1"/>
  <c r="C114" i="11"/>
  <c r="G118" i="11"/>
  <c r="H118" i="11" s="1"/>
  <c r="F142" i="11"/>
  <c r="C154" i="11"/>
  <c r="E106" i="11"/>
  <c r="G106" i="11" s="1"/>
  <c r="H106" i="11" s="1"/>
  <c r="E108" i="11"/>
  <c r="D108" i="11"/>
  <c r="B120" i="11"/>
  <c r="E101" i="11"/>
  <c r="D101" i="11"/>
  <c r="B113" i="11"/>
  <c r="F108" i="11"/>
  <c r="C120" i="11"/>
  <c r="E118" i="11"/>
  <c r="C107" i="11"/>
  <c r="F87" i="11"/>
  <c r="E109" i="11"/>
  <c r="B121" i="11"/>
  <c r="D90" i="11"/>
  <c r="B110" i="11"/>
  <c r="Q8" i="11"/>
  <c r="E90" i="11"/>
  <c r="G90" i="11" s="1"/>
  <c r="H90" i="11" s="1"/>
  <c r="C110" i="11"/>
  <c r="E87" i="11"/>
  <c r="D87" i="11"/>
  <c r="I94" i="11" s="1"/>
  <c r="Q10" i="11"/>
  <c r="Q11" i="11"/>
  <c r="E91" i="11"/>
  <c r="G91" i="11" s="1"/>
  <c r="H91" i="11" s="1"/>
  <c r="D91" i="11"/>
  <c r="D98" i="11"/>
  <c r="E103" i="11"/>
  <c r="D103" i="11"/>
  <c r="E130" i="11"/>
  <c r="F130" i="11"/>
  <c r="G130" i="11" s="1"/>
  <c r="H130" i="11" s="1"/>
  <c r="F100" i="11"/>
  <c r="G100" i="11" s="1"/>
  <c r="H100" i="11" s="1"/>
  <c r="C112" i="11"/>
  <c r="Q88" i="11"/>
  <c r="R88" i="11" s="1"/>
  <c r="S88" i="11" s="1"/>
  <c r="T88" i="11" s="1"/>
  <c r="U88" i="11" s="1"/>
  <c r="V88" i="11" s="1"/>
  <c r="W88" i="11" s="1"/>
  <c r="X88" i="11" s="1"/>
  <c r="Y88" i="11" s="1"/>
  <c r="Q16" i="11"/>
  <c r="F104" i="11"/>
  <c r="C116" i="11"/>
  <c r="B99" i="11"/>
  <c r="E100" i="11"/>
  <c r="D100" i="11"/>
  <c r="B112" i="11"/>
  <c r="Q15" i="11"/>
  <c r="E104" i="11"/>
  <c r="D104" i="11"/>
  <c r="B116" i="11"/>
  <c r="F103" i="11"/>
  <c r="G103" i="11" s="1"/>
  <c r="H103" i="11" s="1"/>
  <c r="E105" i="11"/>
  <c r="B117" i="11"/>
  <c r="B142" i="11"/>
  <c r="I88" i="11"/>
  <c r="E95" i="11"/>
  <c r="G95" i="11" s="1"/>
  <c r="H95" i="11" s="1"/>
  <c r="D95" i="11"/>
  <c r="B115" i="11"/>
  <c r="Q12" i="11"/>
  <c r="C101" i="11"/>
  <c r="C105" i="11"/>
  <c r="C109" i="11"/>
  <c r="F19" i="16"/>
  <c r="D89" i="11"/>
  <c r="D93" i="11"/>
  <c r="D97" i="11"/>
  <c r="C56" i="11"/>
  <c r="E130" i="10"/>
  <c r="D130" i="10"/>
  <c r="B142" i="10"/>
  <c r="E98" i="10"/>
  <c r="D98" i="10"/>
  <c r="B110" i="10"/>
  <c r="E107" i="10"/>
  <c r="D107" i="10"/>
  <c r="B119" i="10"/>
  <c r="F130" i="10"/>
  <c r="G130" i="10" s="1"/>
  <c r="H130" i="10" s="1"/>
  <c r="C142" i="10"/>
  <c r="F98" i="10"/>
  <c r="G98" i="10" s="1"/>
  <c r="H98" i="10" s="1"/>
  <c r="C110" i="10"/>
  <c r="F107" i="10"/>
  <c r="G107" i="10" s="1"/>
  <c r="H107" i="10" s="1"/>
  <c r="C119" i="10"/>
  <c r="G87" i="10"/>
  <c r="H87" i="10" s="1"/>
  <c r="G100" i="10"/>
  <c r="H100" i="10" s="1"/>
  <c r="G220" i="10"/>
  <c r="H220" i="10" s="1"/>
  <c r="E114" i="10"/>
  <c r="B126" i="10"/>
  <c r="E124" i="10"/>
  <c r="F148" i="10"/>
  <c r="F124" i="10"/>
  <c r="G124" i="10" s="1"/>
  <c r="H124" i="10" s="1"/>
  <c r="Q11" i="10"/>
  <c r="C102" i="10"/>
  <c r="D212" i="10"/>
  <c r="D118" i="10"/>
  <c r="E118" i="10"/>
  <c r="E168" i="10"/>
  <c r="D204" i="10"/>
  <c r="F184" i="10"/>
  <c r="B103" i="10"/>
  <c r="F118" i="10"/>
  <c r="G118" i="10" s="1"/>
  <c r="H118" i="10" s="1"/>
  <c r="G168" i="10"/>
  <c r="H168" i="10" s="1"/>
  <c r="E204" i="10"/>
  <c r="N76" i="10"/>
  <c r="O76" i="10" s="1"/>
  <c r="P76" i="10" s="1"/>
  <c r="Q76" i="10" s="1"/>
  <c r="R76" i="10" s="1"/>
  <c r="S76" i="10" s="1"/>
  <c r="T76" i="10" s="1"/>
  <c r="U76" i="10" s="1"/>
  <c r="V76" i="10" s="1"/>
  <c r="W76" i="10" s="1"/>
  <c r="X76" i="10" s="1"/>
  <c r="Y76" i="10" s="1"/>
  <c r="C7" i="16"/>
  <c r="B67" i="16" s="1"/>
  <c r="D90" i="10"/>
  <c r="D124" i="10"/>
  <c r="Q13" i="10"/>
  <c r="C103" i="10"/>
  <c r="D196" i="10"/>
  <c r="F204" i="10"/>
  <c r="G204" i="10" s="1"/>
  <c r="H204" i="10" s="1"/>
  <c r="P18" i="10"/>
  <c r="D160" i="10"/>
  <c r="E196" i="10"/>
  <c r="E89" i="10"/>
  <c r="G89" i="10" s="1"/>
  <c r="H89" i="10" s="1"/>
  <c r="D89" i="10"/>
  <c r="B101" i="10"/>
  <c r="E7" i="16"/>
  <c r="D67" i="16" s="1"/>
  <c r="D76" i="10"/>
  <c r="I87" i="10" s="1"/>
  <c r="C111" i="10"/>
  <c r="E160" i="10"/>
  <c r="F196" i="10"/>
  <c r="G196" i="10" s="1"/>
  <c r="H196" i="10" s="1"/>
  <c r="D77" i="10"/>
  <c r="I88" i="10" s="1"/>
  <c r="F7" i="16"/>
  <c r="O88" i="10"/>
  <c r="P88" i="10" s="1"/>
  <c r="Q88" i="10" s="1"/>
  <c r="R88" i="10" s="1"/>
  <c r="S88" i="10" s="1"/>
  <c r="T88" i="10" s="1"/>
  <c r="U88" i="10" s="1"/>
  <c r="V88" i="10" s="1"/>
  <c r="W88" i="10" s="1"/>
  <c r="X88" i="10" s="1"/>
  <c r="Y88" i="10" s="1"/>
  <c r="F160" i="10"/>
  <c r="D188" i="10"/>
  <c r="E100" i="10"/>
  <c r="G224" i="10"/>
  <c r="H224" i="10" s="1"/>
  <c r="E91" i="10"/>
  <c r="G91" i="10" s="1"/>
  <c r="H91" i="10" s="1"/>
  <c r="G97" i="10"/>
  <c r="H97" i="10" s="1"/>
  <c r="F104" i="10"/>
  <c r="G104" i="10" s="1"/>
  <c r="H104" i="10" s="1"/>
  <c r="D112" i="10"/>
  <c r="D120" i="10"/>
  <c r="D128" i="10"/>
  <c r="D136" i="10"/>
  <c r="D144" i="10"/>
  <c r="F152" i="10"/>
  <c r="G152" i="10" s="1"/>
  <c r="H152" i="10" s="1"/>
  <c r="D180" i="10"/>
  <c r="D184" i="10"/>
  <c r="E112" i="10"/>
  <c r="E120" i="10"/>
  <c r="E128" i="10"/>
  <c r="E136" i="10"/>
  <c r="E144" i="10"/>
  <c r="E180" i="10"/>
  <c r="D216" i="10"/>
  <c r="I227" i="10" s="1"/>
  <c r="D78" i="16"/>
  <c r="I89" i="16" s="1"/>
  <c r="D80" i="16"/>
  <c r="I91" i="16" s="1"/>
  <c r="H67" i="16"/>
  <c r="E97" i="10"/>
  <c r="D97" i="10"/>
  <c r="B109" i="10"/>
  <c r="F112" i="10"/>
  <c r="F120" i="10"/>
  <c r="F128" i="10"/>
  <c r="F136" i="10"/>
  <c r="F144" i="10"/>
  <c r="F180" i="10"/>
  <c r="E216" i="10"/>
  <c r="D81" i="16"/>
  <c r="I92" i="16" s="1"/>
  <c r="I67" i="16"/>
  <c r="D19" i="16"/>
  <c r="D19" i="18" s="1"/>
  <c r="D78" i="10"/>
  <c r="I89" i="10" s="1"/>
  <c r="F216" i="10"/>
  <c r="G216" i="10" s="1"/>
  <c r="H216" i="10" s="1"/>
  <c r="G156" i="10"/>
  <c r="H156" i="10" s="1"/>
  <c r="E220" i="10"/>
  <c r="D79" i="16"/>
  <c r="I90" i="16" s="1"/>
  <c r="G67" i="16"/>
  <c r="I97" i="10"/>
  <c r="D172" i="10"/>
  <c r="E172" i="10"/>
  <c r="D208" i="10"/>
  <c r="E148" i="10"/>
  <c r="F172" i="10"/>
  <c r="G172" i="10" s="1"/>
  <c r="H172" i="10" s="1"/>
  <c r="E208" i="10"/>
  <c r="D79" i="10"/>
  <c r="I90" i="10" s="1"/>
  <c r="B99" i="10"/>
  <c r="F208" i="10"/>
  <c r="D148" i="10"/>
  <c r="C67" i="16"/>
  <c r="D82" i="16"/>
  <c r="I93" i="16" s="1"/>
  <c r="E164" i="10"/>
  <c r="E200" i="10"/>
  <c r="D87" i="10"/>
  <c r="E93" i="10"/>
  <c r="B105" i="10"/>
  <c r="D93" i="10"/>
  <c r="G164" i="10"/>
  <c r="H164" i="10" s="1"/>
  <c r="D192" i="10"/>
  <c r="G200" i="10"/>
  <c r="H200" i="10" s="1"/>
  <c r="C56" i="10"/>
  <c r="F18" i="16"/>
  <c r="E66" i="16" s="1"/>
  <c r="F20" i="10"/>
  <c r="E66" i="10"/>
  <c r="D80" i="10"/>
  <c r="I91" i="10" s="1"/>
  <c r="G93" i="10"/>
  <c r="H93" i="10" s="1"/>
  <c r="E192" i="10"/>
  <c r="D228" i="10"/>
  <c r="F67" i="16"/>
  <c r="G18" i="16"/>
  <c r="F66" i="16" s="1"/>
  <c r="G20" i="10"/>
  <c r="F66" i="10"/>
  <c r="D156" i="10"/>
  <c r="F192" i="10"/>
  <c r="G192" i="10" s="1"/>
  <c r="H192" i="10" s="1"/>
  <c r="E184" i="10"/>
  <c r="H18" i="16"/>
  <c r="G66" i="16" s="1"/>
  <c r="H20" i="10"/>
  <c r="G66" i="10"/>
  <c r="H66" i="10"/>
  <c r="D100" i="10"/>
  <c r="E156" i="10"/>
  <c r="M19" i="16"/>
  <c r="C101" i="10"/>
  <c r="C105" i="10"/>
  <c r="C109" i="10"/>
  <c r="C19" i="16"/>
  <c r="N88" i="16" s="1"/>
  <c r="O88" i="16" s="1"/>
  <c r="P88" i="16" s="1"/>
  <c r="Q88" i="16" s="1"/>
  <c r="G98" i="8"/>
  <c r="H98" i="8" s="1"/>
  <c r="E102" i="8"/>
  <c r="D102" i="8"/>
  <c r="B114" i="8"/>
  <c r="F102" i="8"/>
  <c r="G102" i="8" s="1"/>
  <c r="H102" i="8" s="1"/>
  <c r="C114" i="8"/>
  <c r="B142" i="8"/>
  <c r="E130" i="8"/>
  <c r="E131" i="8"/>
  <c r="G131" i="8" s="1"/>
  <c r="H131" i="8" s="1"/>
  <c r="D131" i="8"/>
  <c r="B143" i="8"/>
  <c r="F106" i="8"/>
  <c r="G106" i="8" s="1"/>
  <c r="H106" i="8" s="1"/>
  <c r="D106" i="8"/>
  <c r="C118" i="8"/>
  <c r="L20" i="8"/>
  <c r="L18" i="15"/>
  <c r="K66" i="15" s="1"/>
  <c r="K66" i="8"/>
  <c r="E95" i="8"/>
  <c r="G95" i="8" s="1"/>
  <c r="H95" i="8" s="1"/>
  <c r="D95" i="8"/>
  <c r="N18" i="15"/>
  <c r="M66" i="15" s="1"/>
  <c r="N18" i="16"/>
  <c r="M66" i="16" s="1"/>
  <c r="E118" i="8"/>
  <c r="F159" i="8"/>
  <c r="E87" i="8"/>
  <c r="G87" i="8" s="1"/>
  <c r="H87" i="8" s="1"/>
  <c r="D87" i="8"/>
  <c r="F101" i="8"/>
  <c r="C113" i="8"/>
  <c r="E107" i="8"/>
  <c r="D107" i="8"/>
  <c r="F147" i="8"/>
  <c r="L18" i="16"/>
  <c r="K66" i="16" s="1"/>
  <c r="G19" i="16"/>
  <c r="G19" i="15"/>
  <c r="N20" i="15"/>
  <c r="S86" i="8"/>
  <c r="T86" i="8" s="1"/>
  <c r="U86" i="8" s="1"/>
  <c r="V86" i="8" s="1"/>
  <c r="W86" i="8" s="1"/>
  <c r="X86" i="8" s="1"/>
  <c r="Y86" i="8" s="1"/>
  <c r="F107" i="8"/>
  <c r="G107" i="8" s="1"/>
  <c r="H107" i="8" s="1"/>
  <c r="I20" i="8"/>
  <c r="I18" i="16"/>
  <c r="H66" i="16" s="1"/>
  <c r="I18" i="15"/>
  <c r="H66" i="15" s="1"/>
  <c r="J68" i="15"/>
  <c r="J20" i="8"/>
  <c r="J18" i="16"/>
  <c r="I66" i="16" s="1"/>
  <c r="J18" i="15"/>
  <c r="I66" i="15" s="1"/>
  <c r="I66" i="8"/>
  <c r="F109" i="8"/>
  <c r="C121" i="8"/>
  <c r="H66" i="8"/>
  <c r="D90" i="8"/>
  <c r="B110" i="8"/>
  <c r="M66" i="8"/>
  <c r="E90" i="8"/>
  <c r="G90" i="8" s="1"/>
  <c r="H90" i="8" s="1"/>
  <c r="C110" i="8"/>
  <c r="F135" i="8"/>
  <c r="E103" i="8"/>
  <c r="G103" i="8" s="1"/>
  <c r="H103" i="8" s="1"/>
  <c r="D103" i="8"/>
  <c r="F207" i="8"/>
  <c r="E91" i="8"/>
  <c r="G91" i="8" s="1"/>
  <c r="H91" i="8" s="1"/>
  <c r="D91" i="8"/>
  <c r="D98" i="8"/>
  <c r="F179" i="8"/>
  <c r="F123" i="8"/>
  <c r="F151" i="8"/>
  <c r="K20" i="8"/>
  <c r="K18" i="16"/>
  <c r="K20" i="16" s="1"/>
  <c r="K18" i="15"/>
  <c r="J66" i="15" s="1"/>
  <c r="J66" i="8"/>
  <c r="B99" i="8"/>
  <c r="F195" i="8"/>
  <c r="F111" i="8"/>
  <c r="F139" i="8"/>
  <c r="G20" i="16"/>
  <c r="F104" i="8"/>
  <c r="C116" i="8"/>
  <c r="I17" i="16"/>
  <c r="H69" i="16" s="1"/>
  <c r="C20" i="15"/>
  <c r="F99" i="8"/>
  <c r="F167" i="8"/>
  <c r="C56" i="8"/>
  <c r="F211" i="8"/>
  <c r="G68" i="8"/>
  <c r="G67" i="8"/>
  <c r="G69" i="8"/>
  <c r="F105" i="8"/>
  <c r="C117" i="8"/>
  <c r="F183" i="8"/>
  <c r="E119" i="8"/>
  <c r="G119" i="8" s="1"/>
  <c r="H119" i="8" s="1"/>
  <c r="D119" i="8"/>
  <c r="B66" i="15"/>
  <c r="F155" i="8"/>
  <c r="F127" i="8"/>
  <c r="B115" i="8"/>
  <c r="H20" i="8"/>
  <c r="G66" i="8"/>
  <c r="I67" i="15"/>
  <c r="M68" i="15"/>
  <c r="M17" i="15"/>
  <c r="L68" i="15" s="1"/>
  <c r="P17" i="8"/>
  <c r="N88" i="8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K69" i="8"/>
  <c r="N19" i="16"/>
  <c r="N19" i="18" s="1"/>
  <c r="L69" i="8"/>
  <c r="B100" i="8"/>
  <c r="B104" i="8"/>
  <c r="B108" i="8"/>
  <c r="C100" i="8"/>
  <c r="C108" i="8"/>
  <c r="F67" i="8"/>
  <c r="D92" i="8"/>
  <c r="H19" i="16"/>
  <c r="N87" i="16"/>
  <c r="L17" i="15"/>
  <c r="K68" i="15" s="1"/>
  <c r="I19" i="16"/>
  <c r="B101" i="8"/>
  <c r="B105" i="8"/>
  <c r="B109" i="8"/>
  <c r="DI47" i="17"/>
  <c r="AW41" i="17"/>
  <c r="DJ47" i="17"/>
  <c r="BD49" i="17"/>
  <c r="BD48" i="17"/>
  <c r="BD50" i="17"/>
  <c r="CQ51" i="17"/>
  <c r="CR51" i="17" s="1"/>
  <c r="CS51" i="17" s="1"/>
  <c r="CT51" i="17" s="1"/>
  <c r="CU51" i="17" s="1"/>
  <c r="CV51" i="17" s="1"/>
  <c r="CW51" i="17" s="1"/>
  <c r="CX51" i="17" s="1"/>
  <c r="CY51" i="17" s="1"/>
  <c r="CZ51" i="17" s="1"/>
  <c r="DA51" i="17" s="1"/>
  <c r="DB51" i="17" s="1"/>
  <c r="DE50" i="17"/>
  <c r="DE33" i="17"/>
  <c r="DF33" i="17" s="1"/>
  <c r="CW50" i="17"/>
  <c r="CX50" i="17" s="1"/>
  <c r="CY50" i="17" s="1"/>
  <c r="CZ50" i="17" s="1"/>
  <c r="DA50" i="17" s="1"/>
  <c r="DB50" i="17" s="1"/>
  <c r="DH50" i="17"/>
  <c r="AQ41" i="17"/>
  <c r="G78" i="17"/>
  <c r="G79" i="17" s="1"/>
  <c r="DG48" i="17"/>
  <c r="DE41" i="17"/>
  <c r="DF41" i="17" s="1"/>
  <c r="CQ59" i="17"/>
  <c r="CR59" i="17" s="1"/>
  <c r="CS59" i="17" s="1"/>
  <c r="CT59" i="17" s="1"/>
  <c r="CU59" i="17" s="1"/>
  <c r="CV59" i="17" s="1"/>
  <c r="CW59" i="17" s="1"/>
  <c r="DI50" i="17"/>
  <c r="DM50" i="17"/>
  <c r="DI49" i="17"/>
  <c r="BO60" i="17"/>
  <c r="DH48" i="17"/>
  <c r="CS42" i="17"/>
  <c r="BO43" i="17"/>
  <c r="CC47" i="17"/>
  <c r="DE49" i="17"/>
  <c r="DI48" i="17"/>
  <c r="CD49" i="17"/>
  <c r="CD50" i="17"/>
  <c r="CD48" i="17"/>
  <c r="CT41" i="17"/>
  <c r="DH49" i="17" s="1"/>
  <c r="DF34" i="17"/>
  <c r="DF39" i="17"/>
  <c r="CU58" i="17"/>
  <c r="CV58" i="17" s="1"/>
  <c r="CW58" i="17" s="1"/>
  <c r="CX58" i="17" s="1"/>
  <c r="CY58" i="17" s="1"/>
  <c r="CZ58" i="17" s="1"/>
  <c r="DA58" i="17" s="1"/>
  <c r="CQ53" i="17"/>
  <c r="CR53" i="17" s="1"/>
  <c r="CS53" i="17" s="1"/>
  <c r="CT53" i="17" s="1"/>
  <c r="CU53" i="17" s="1"/>
  <c r="CV53" i="17" s="1"/>
  <c r="CW53" i="17" s="1"/>
  <c r="CX53" i="17" s="1"/>
  <c r="CY53" i="17" s="1"/>
  <c r="CZ53" i="17" s="1"/>
  <c r="DA53" i="17" s="1"/>
  <c r="DB53" i="17" s="1"/>
  <c r="DE35" i="17"/>
  <c r="DF35" i="17" s="1"/>
  <c r="CT43" i="17"/>
  <c r="DH47" i="17"/>
  <c r="DP48" i="17"/>
  <c r="DE30" i="17"/>
  <c r="DF30" i="17" s="1"/>
  <c r="CU56" i="17"/>
  <c r="CV56" i="17" s="1"/>
  <c r="CW56" i="17" s="1"/>
  <c r="CX56" i="17" s="1"/>
  <c r="CY56" i="17" s="1"/>
  <c r="CZ56" i="17" s="1"/>
  <c r="DA56" i="17" s="1"/>
  <c r="DB56" i="17" s="1"/>
  <c r="CQ42" i="17"/>
  <c r="BC49" i="17"/>
  <c r="BC48" i="17"/>
  <c r="BC50" i="17"/>
  <c r="CQ47" i="17"/>
  <c r="CR47" i="17" s="1"/>
  <c r="CS47" i="17" s="1"/>
  <c r="CT47" i="17" s="1"/>
  <c r="CU47" i="17" s="1"/>
  <c r="CV47" i="17" s="1"/>
  <c r="CW47" i="17" s="1"/>
  <c r="CX47" i="17" s="1"/>
  <c r="CY47" i="17" s="1"/>
  <c r="CZ47" i="17" s="1"/>
  <c r="DA47" i="17" s="1"/>
  <c r="DB47" i="17" s="1"/>
  <c r="R48" i="17"/>
  <c r="CA50" i="17"/>
  <c r="DJ49" i="17"/>
  <c r="CQ55" i="17"/>
  <c r="CR55" i="17" s="1"/>
  <c r="CS55" i="17" s="1"/>
  <c r="CT55" i="17" s="1"/>
  <c r="CU55" i="17" s="1"/>
  <c r="CV55" i="17" s="1"/>
  <c r="CW55" i="17" s="1"/>
  <c r="CX55" i="17" s="1"/>
  <c r="CY55" i="17" s="1"/>
  <c r="CZ55" i="17" s="1"/>
  <c r="DA55" i="17" s="1"/>
  <c r="DB55" i="17" s="1"/>
  <c r="DK49" i="17"/>
  <c r="T47" i="17"/>
  <c r="DB40" i="17"/>
  <c r="DP49" i="17" s="1"/>
  <c r="S48" i="17"/>
  <c r="BA50" i="17"/>
  <c r="CB50" i="17"/>
  <c r="CE50" i="17"/>
  <c r="R41" i="17"/>
  <c r="S41" i="17" s="1"/>
  <c r="CF50" i="17"/>
  <c r="DF50" i="17"/>
  <c r="CU41" i="17"/>
  <c r="CU43" i="17" s="1"/>
  <c r="BT41" i="17"/>
  <c r="BF50" i="17"/>
  <c r="CG50" i="17"/>
  <c r="CV41" i="17"/>
  <c r="DJ50" i="17" s="1"/>
  <c r="BG50" i="17"/>
  <c r="CJ50" i="17"/>
  <c r="CY41" i="17"/>
  <c r="DM48" i="17" s="1"/>
  <c r="BP43" i="17"/>
  <c r="CQ48" i="17"/>
  <c r="CR48" i="17" s="1"/>
  <c r="CS48" i="17" s="1"/>
  <c r="CT48" i="17" s="1"/>
  <c r="CU48" i="17" s="1"/>
  <c r="CV48" i="17" s="1"/>
  <c r="CW48" i="17" s="1"/>
  <c r="CX48" i="17" s="1"/>
  <c r="CY48" i="17" s="1"/>
  <c r="CZ48" i="17" s="1"/>
  <c r="DA48" i="17" s="1"/>
  <c r="DB48" i="17" s="1"/>
  <c r="AB48" i="17"/>
  <c r="CK50" i="17"/>
  <c r="DK50" i="17"/>
  <c r="CZ41" i="17"/>
  <c r="DN50" i="17" s="1"/>
  <c r="BQ43" i="17"/>
  <c r="DA41" i="17"/>
  <c r="DO50" i="17" s="1"/>
  <c r="BR43" i="17"/>
  <c r="R49" i="17"/>
  <c r="CE48" i="17"/>
  <c r="DE48" i="17"/>
  <c r="CF48" i="17"/>
  <c r="DE29" i="17"/>
  <c r="T49" i="17"/>
  <c r="CG48" i="17"/>
  <c r="O77" i="17"/>
  <c r="BM59" i="17"/>
  <c r="BN59" i="17" s="1"/>
  <c r="BO59" i="17" s="1"/>
  <c r="BP59" i="17" s="1"/>
  <c r="BQ59" i="17" s="1"/>
  <c r="BR59" i="17" s="1"/>
  <c r="BS59" i="17" s="1"/>
  <c r="BT59" i="17" s="1"/>
  <c r="BU59" i="17" s="1"/>
  <c r="BV59" i="17" s="1"/>
  <c r="BW59" i="17" s="1"/>
  <c r="BX59" i="17" s="1"/>
  <c r="U49" i="17"/>
  <c r="H75" i="17"/>
  <c r="D78" i="17"/>
  <c r="D79" i="17" s="1"/>
  <c r="AH59" i="17"/>
  <c r="AI59" i="17" s="1"/>
  <c r="AJ59" i="17" s="1"/>
  <c r="AK59" i="17" s="1"/>
  <c r="AL59" i="17" s="1"/>
  <c r="AM59" i="17" s="1"/>
  <c r="AN59" i="17" s="1"/>
  <c r="AO59" i="17" s="1"/>
  <c r="AP59" i="17" s="1"/>
  <c r="I75" i="17"/>
  <c r="E78" i="17"/>
  <c r="E79" i="17" s="1"/>
  <c r="S49" i="17"/>
  <c r="M41" i="17"/>
  <c r="D59" i="17"/>
  <c r="E59" i="17" s="1"/>
  <c r="F59" i="17" s="1"/>
  <c r="G59" i="17" s="1"/>
  <c r="H59" i="17" s="1"/>
  <c r="I59" i="17" s="1"/>
  <c r="J59" i="17" s="1"/>
  <c r="K59" i="17" s="1"/>
  <c r="L59" i="17" s="1"/>
  <c r="W49" i="17"/>
  <c r="D43" i="17"/>
  <c r="S32" i="17"/>
  <c r="AW36" i="17"/>
  <c r="CA49" i="17"/>
  <c r="E43" i="17"/>
  <c r="E102" i="9"/>
  <c r="D102" i="9"/>
  <c r="B114" i="9"/>
  <c r="F102" i="9"/>
  <c r="G102" i="9" s="1"/>
  <c r="H102" i="9" s="1"/>
  <c r="C114" i="9"/>
  <c r="I97" i="9"/>
  <c r="I96" i="9"/>
  <c r="I94" i="9"/>
  <c r="G86" i="9"/>
  <c r="H86" i="9" s="1"/>
  <c r="G106" i="9"/>
  <c r="H106" i="9" s="1"/>
  <c r="F108" i="9"/>
  <c r="C120" i="9"/>
  <c r="G89" i="9"/>
  <c r="H89" i="9" s="1"/>
  <c r="Q8" i="9"/>
  <c r="G97" i="9"/>
  <c r="H97" i="9" s="1"/>
  <c r="C98" i="9"/>
  <c r="F100" i="9"/>
  <c r="C112" i="9"/>
  <c r="M20" i="16"/>
  <c r="Q86" i="9"/>
  <c r="R86" i="9" s="1"/>
  <c r="S86" i="9" s="1"/>
  <c r="T86" i="9" s="1"/>
  <c r="U86" i="9" s="1"/>
  <c r="V86" i="9" s="1"/>
  <c r="W86" i="9" s="1"/>
  <c r="X86" i="9" s="1"/>
  <c r="Y86" i="9" s="1"/>
  <c r="B98" i="9"/>
  <c r="M66" i="9"/>
  <c r="E90" i="9"/>
  <c r="D66" i="15"/>
  <c r="E20" i="15"/>
  <c r="I89" i="9"/>
  <c r="F90" i="9"/>
  <c r="G90" i="9" s="1"/>
  <c r="H90" i="9" s="1"/>
  <c r="D90" i="9"/>
  <c r="B118" i="9"/>
  <c r="F107" i="9"/>
  <c r="C119" i="9"/>
  <c r="G20" i="15"/>
  <c r="C118" i="9"/>
  <c r="F103" i="9"/>
  <c r="C115" i="9"/>
  <c r="G95" i="9"/>
  <c r="H95" i="9" s="1"/>
  <c r="M18" i="22"/>
  <c r="L66" i="22" s="1"/>
  <c r="T13" i="9"/>
  <c r="U14" i="9" s="1"/>
  <c r="T17" i="9"/>
  <c r="T19" i="9"/>
  <c r="T18" i="9"/>
  <c r="T16" i="9"/>
  <c r="T15" i="9"/>
  <c r="U15" i="9" s="1"/>
  <c r="T12" i="9"/>
  <c r="T11" i="9"/>
  <c r="T10" i="9"/>
  <c r="T9" i="9"/>
  <c r="D56" i="9"/>
  <c r="F56" i="9" s="1"/>
  <c r="T8" i="9"/>
  <c r="T7" i="9"/>
  <c r="F104" i="9"/>
  <c r="C116" i="9"/>
  <c r="P19" i="9"/>
  <c r="O89" i="9"/>
  <c r="P89" i="9" s="1"/>
  <c r="Q89" i="9" s="1"/>
  <c r="R89" i="9" s="1"/>
  <c r="S89" i="9" s="1"/>
  <c r="T89" i="9" s="1"/>
  <c r="U89" i="9" s="1"/>
  <c r="V89" i="9" s="1"/>
  <c r="G69" i="9"/>
  <c r="H20" i="9"/>
  <c r="H17" i="15"/>
  <c r="G68" i="9"/>
  <c r="G67" i="9"/>
  <c r="E86" i="9"/>
  <c r="D106" i="9"/>
  <c r="I20" i="9"/>
  <c r="I17" i="15"/>
  <c r="I20" i="15" s="1"/>
  <c r="H68" i="9"/>
  <c r="H67" i="9"/>
  <c r="D94" i="9"/>
  <c r="P19" i="15"/>
  <c r="S6" i="9"/>
  <c r="G93" i="9"/>
  <c r="H93" i="9" s="1"/>
  <c r="F17" i="16"/>
  <c r="P17" i="16" s="1"/>
  <c r="E69" i="9"/>
  <c r="F20" i="9"/>
  <c r="E68" i="9"/>
  <c r="P17" i="9"/>
  <c r="Q17" i="9" s="1"/>
  <c r="F69" i="9"/>
  <c r="G20" i="9"/>
  <c r="F68" i="9"/>
  <c r="F99" i="9"/>
  <c r="C111" i="9"/>
  <c r="M18" i="15"/>
  <c r="I67" i="9"/>
  <c r="J69" i="16"/>
  <c r="B103" i="9"/>
  <c r="D18" i="16"/>
  <c r="E18" i="16"/>
  <c r="D66" i="16" s="1"/>
  <c r="J67" i="9"/>
  <c r="D87" i="9"/>
  <c r="I93" i="9" s="1"/>
  <c r="D91" i="9"/>
  <c r="D95" i="9"/>
  <c r="B99" i="9"/>
  <c r="B107" i="9"/>
  <c r="K69" i="16"/>
  <c r="O88" i="15"/>
  <c r="P88" i="15" s="1"/>
  <c r="Q88" i="15" s="1"/>
  <c r="R88" i="15" s="1"/>
  <c r="S88" i="15" s="1"/>
  <c r="T88" i="15" s="1"/>
  <c r="U88" i="15" s="1"/>
  <c r="V88" i="15" s="1"/>
  <c r="W88" i="15" s="1"/>
  <c r="X88" i="15" s="1"/>
  <c r="Y88" i="15" s="1"/>
  <c r="M69" i="16"/>
  <c r="K67" i="9"/>
  <c r="O87" i="15"/>
  <c r="C68" i="9"/>
  <c r="I86" i="9"/>
  <c r="G18" i="18"/>
  <c r="F66" i="18" s="1"/>
  <c r="B66" i="16"/>
  <c r="D68" i="9"/>
  <c r="B100" i="9"/>
  <c r="B104" i="9"/>
  <c r="B108" i="9"/>
  <c r="Q86" i="15"/>
  <c r="R86" i="15" s="1"/>
  <c r="D19" i="19"/>
  <c r="D19" i="23" s="1"/>
  <c r="I68" i="9"/>
  <c r="I88" i="9"/>
  <c r="Q11" i="9"/>
  <c r="B101" i="9"/>
  <c r="B105" i="9"/>
  <c r="B109" i="9"/>
  <c r="C101" i="9"/>
  <c r="C105" i="9"/>
  <c r="C109" i="9"/>
  <c r="E69" i="15"/>
  <c r="F69" i="15"/>
  <c r="K19" i="16"/>
  <c r="L19" i="16"/>
  <c r="L19" i="18" s="1"/>
  <c r="C110" i="16"/>
  <c r="F98" i="16"/>
  <c r="D66" i="19"/>
  <c r="E17" i="23"/>
  <c r="E86" i="16"/>
  <c r="B131" i="16"/>
  <c r="E119" i="16"/>
  <c r="F86" i="16"/>
  <c r="G86" i="16" s="1"/>
  <c r="H86" i="16" s="1"/>
  <c r="C131" i="16"/>
  <c r="F119" i="16"/>
  <c r="G119" i="16" s="1"/>
  <c r="H119" i="16" s="1"/>
  <c r="E87" i="16"/>
  <c r="G87" i="16" s="1"/>
  <c r="H87" i="16" s="1"/>
  <c r="D87" i="16"/>
  <c r="B99" i="16"/>
  <c r="D119" i="16"/>
  <c r="B112" i="16"/>
  <c r="E100" i="16"/>
  <c r="D100" i="16"/>
  <c r="B98" i="16"/>
  <c r="C66" i="19"/>
  <c r="D17" i="23"/>
  <c r="C112" i="16"/>
  <c r="F100" i="16"/>
  <c r="G100" i="16" s="1"/>
  <c r="H100" i="16" s="1"/>
  <c r="Q11" i="16"/>
  <c r="Q13" i="16"/>
  <c r="G102" i="16"/>
  <c r="H102" i="16" s="1"/>
  <c r="C138" i="16"/>
  <c r="F126" i="16"/>
  <c r="G126" i="16" s="1"/>
  <c r="H126" i="16" s="1"/>
  <c r="Q14" i="16"/>
  <c r="B156" i="16"/>
  <c r="D144" i="16"/>
  <c r="E144" i="16"/>
  <c r="C156" i="16"/>
  <c r="F144" i="16"/>
  <c r="D132" i="16"/>
  <c r="Q12" i="16"/>
  <c r="C116" i="16"/>
  <c r="F104" i="16"/>
  <c r="F132" i="16"/>
  <c r="B138" i="16"/>
  <c r="E126" i="16"/>
  <c r="E132" i="16"/>
  <c r="G108" i="16"/>
  <c r="H108" i="16" s="1"/>
  <c r="G94" i="16"/>
  <c r="H94" i="16" s="1"/>
  <c r="B116" i="16"/>
  <c r="E104" i="16"/>
  <c r="B118" i="16"/>
  <c r="E106" i="16"/>
  <c r="D106" i="16"/>
  <c r="Q15" i="16"/>
  <c r="K27" i="4"/>
  <c r="AI2" i="4"/>
  <c r="O78" i="16"/>
  <c r="P78" i="16" s="1"/>
  <c r="Q78" i="16" s="1"/>
  <c r="R78" i="16" s="1"/>
  <c r="S78" i="16" s="1"/>
  <c r="T78" i="16" s="1"/>
  <c r="U78" i="16" s="1"/>
  <c r="V78" i="16" s="1"/>
  <c r="W78" i="16" s="1"/>
  <c r="X78" i="16" s="1"/>
  <c r="Y78" i="16" s="1"/>
  <c r="O86" i="16"/>
  <c r="P86" i="16" s="1"/>
  <c r="C68" i="16"/>
  <c r="D88" i="16"/>
  <c r="D94" i="16"/>
  <c r="N81" i="16"/>
  <c r="O81" i="16" s="1"/>
  <c r="P81" i="16" s="1"/>
  <c r="Q81" i="16" s="1"/>
  <c r="R81" i="16" s="1"/>
  <c r="S81" i="16" s="1"/>
  <c r="T81" i="16" s="1"/>
  <c r="U81" i="16" s="1"/>
  <c r="V81" i="16" s="1"/>
  <c r="W81" i="16" s="1"/>
  <c r="X81" i="16" s="1"/>
  <c r="Y81" i="16" s="1"/>
  <c r="C12" i="18"/>
  <c r="N81" i="18" s="1"/>
  <c r="O81" i="18" s="1"/>
  <c r="P81" i="18" s="1"/>
  <c r="Q81" i="18" s="1"/>
  <c r="R81" i="18" s="1"/>
  <c r="S81" i="18" s="1"/>
  <c r="T81" i="18" s="1"/>
  <c r="U81" i="18" s="1"/>
  <c r="V81" i="18" s="1"/>
  <c r="W81" i="18" s="1"/>
  <c r="X81" i="18" s="1"/>
  <c r="Y81" i="18" s="1"/>
  <c r="E88" i="16"/>
  <c r="G88" i="16" s="1"/>
  <c r="H88" i="16" s="1"/>
  <c r="E94" i="16"/>
  <c r="C99" i="16"/>
  <c r="C118" i="16"/>
  <c r="F106" i="16"/>
  <c r="G106" i="16" s="1"/>
  <c r="H106" i="16" s="1"/>
  <c r="C11" i="23"/>
  <c r="N80" i="23" s="1"/>
  <c r="N80" i="19"/>
  <c r="O80" i="19" s="1"/>
  <c r="P80" i="19" s="1"/>
  <c r="Q80" i="19" s="1"/>
  <c r="R80" i="19" s="1"/>
  <c r="S80" i="19" s="1"/>
  <c r="T80" i="19" s="1"/>
  <c r="U80" i="19" s="1"/>
  <c r="V80" i="19" s="1"/>
  <c r="W80" i="19" s="1"/>
  <c r="X80" i="19" s="1"/>
  <c r="Y80" i="19" s="1"/>
  <c r="E12" i="18"/>
  <c r="D69" i="16"/>
  <c r="H12" i="18"/>
  <c r="E107" i="16"/>
  <c r="G107" i="16" s="1"/>
  <c r="H107" i="16" s="1"/>
  <c r="D107" i="16"/>
  <c r="D68" i="16"/>
  <c r="I12" i="18"/>
  <c r="B69" i="16"/>
  <c r="J12" i="19"/>
  <c r="J12" i="23" s="1"/>
  <c r="J12" i="18"/>
  <c r="C69" i="16"/>
  <c r="D95" i="16"/>
  <c r="I69" i="16"/>
  <c r="E102" i="16"/>
  <c r="D102" i="16"/>
  <c r="E95" i="16"/>
  <c r="R83" i="16"/>
  <c r="S83" i="16" s="1"/>
  <c r="T83" i="16" s="1"/>
  <c r="U83" i="16" s="1"/>
  <c r="V83" i="16" s="1"/>
  <c r="W83" i="16" s="1"/>
  <c r="X83" i="16" s="1"/>
  <c r="Y83" i="16" s="1"/>
  <c r="F95" i="16"/>
  <c r="D90" i="16"/>
  <c r="D108" i="16"/>
  <c r="G12" i="18"/>
  <c r="F69" i="16"/>
  <c r="E90" i="16"/>
  <c r="M14" i="19"/>
  <c r="M14" i="23" s="1"/>
  <c r="M11" i="18"/>
  <c r="P11" i="18" s="1"/>
  <c r="I14" i="18"/>
  <c r="E17" i="18"/>
  <c r="P86" i="18" s="1"/>
  <c r="F90" i="16"/>
  <c r="G90" i="16" s="1"/>
  <c r="H90" i="16" s="1"/>
  <c r="C15" i="19"/>
  <c r="N84" i="19" s="1"/>
  <c r="O84" i="19" s="1"/>
  <c r="K67" i="16"/>
  <c r="D83" i="16"/>
  <c r="I94" i="16" s="1"/>
  <c r="D74" i="16"/>
  <c r="I85" i="16" s="1"/>
  <c r="C12" i="19"/>
  <c r="B68" i="19" s="1"/>
  <c r="K14" i="19"/>
  <c r="J68" i="19" s="1"/>
  <c r="D84" i="16"/>
  <c r="I95" i="16" s="1"/>
  <c r="L67" i="16"/>
  <c r="L68" i="16"/>
  <c r="D85" i="16"/>
  <c r="I96" i="16" s="1"/>
  <c r="M67" i="16"/>
  <c r="M68" i="16"/>
  <c r="E12" i="19"/>
  <c r="E12" i="23" s="1"/>
  <c r="U18" i="4"/>
  <c r="E91" i="16"/>
  <c r="G91" i="16" s="1"/>
  <c r="H91" i="16" s="1"/>
  <c r="D91" i="16"/>
  <c r="B103" i="16"/>
  <c r="J14" i="18"/>
  <c r="F12" i="19"/>
  <c r="F12" i="23" s="1"/>
  <c r="N14" i="19"/>
  <c r="N14" i="23" s="1"/>
  <c r="N76" i="16"/>
  <c r="O76" i="16" s="1"/>
  <c r="P76" i="16" s="1"/>
  <c r="Q76" i="16" s="1"/>
  <c r="R76" i="16" s="1"/>
  <c r="S76" i="16" s="1"/>
  <c r="T76" i="16" s="1"/>
  <c r="U76" i="16" s="1"/>
  <c r="V76" i="16" s="1"/>
  <c r="W76" i="16" s="1"/>
  <c r="X76" i="16" s="1"/>
  <c r="Y76" i="16" s="1"/>
  <c r="C103" i="16"/>
  <c r="H14" i="18"/>
  <c r="P14" i="18" s="1"/>
  <c r="H12" i="19"/>
  <c r="H12" i="23" s="1"/>
  <c r="D15" i="19"/>
  <c r="D15" i="23" s="1"/>
  <c r="I12" i="19"/>
  <c r="I12" i="23" s="1"/>
  <c r="I15" i="18"/>
  <c r="G96" i="16"/>
  <c r="H96" i="16" s="1"/>
  <c r="M12" i="19"/>
  <c r="M12" i="23" s="1"/>
  <c r="D92" i="16"/>
  <c r="L15" i="19"/>
  <c r="L15" i="23" s="1"/>
  <c r="B101" i="16"/>
  <c r="B105" i="16"/>
  <c r="B109" i="16"/>
  <c r="C101" i="16"/>
  <c r="C105" i="16"/>
  <c r="C109" i="16"/>
  <c r="F87" i="15"/>
  <c r="G87" i="15" s="1"/>
  <c r="H87" i="15" s="1"/>
  <c r="D87" i="15"/>
  <c r="C99" i="15"/>
  <c r="E109" i="15"/>
  <c r="B121" i="15"/>
  <c r="B112" i="15"/>
  <c r="E100" i="15"/>
  <c r="G100" i="15" s="1"/>
  <c r="H100" i="15" s="1"/>
  <c r="D100" i="15"/>
  <c r="E130" i="15"/>
  <c r="G130" i="15" s="1"/>
  <c r="H130" i="15" s="1"/>
  <c r="D130" i="15"/>
  <c r="B142" i="15"/>
  <c r="B120" i="15"/>
  <c r="E108" i="15"/>
  <c r="D108" i="15"/>
  <c r="D86" i="15"/>
  <c r="B98" i="15"/>
  <c r="J67" i="15"/>
  <c r="P13" i="15"/>
  <c r="Q13" i="15" s="1"/>
  <c r="N82" i="15"/>
  <c r="O82" i="15" s="1"/>
  <c r="P82" i="15" s="1"/>
  <c r="Q82" i="15" s="1"/>
  <c r="R82" i="15" s="1"/>
  <c r="S82" i="15" s="1"/>
  <c r="T82" i="15" s="1"/>
  <c r="U82" i="15" s="1"/>
  <c r="V82" i="15" s="1"/>
  <c r="W82" i="15" s="1"/>
  <c r="X82" i="15" s="1"/>
  <c r="Y82" i="15" s="1"/>
  <c r="C68" i="15"/>
  <c r="D75" i="15"/>
  <c r="C67" i="15"/>
  <c r="Q11" i="15"/>
  <c r="I69" i="15"/>
  <c r="P12" i="15"/>
  <c r="Q12" i="15" s="1"/>
  <c r="E89" i="15"/>
  <c r="D89" i="15"/>
  <c r="B101" i="15"/>
  <c r="G89" i="15"/>
  <c r="H89" i="15" s="1"/>
  <c r="B102" i="15"/>
  <c r="D90" i="15"/>
  <c r="G108" i="15"/>
  <c r="H108" i="15" s="1"/>
  <c r="N76" i="15"/>
  <c r="O76" i="15" s="1"/>
  <c r="P76" i="15" s="1"/>
  <c r="Q76" i="15" s="1"/>
  <c r="R76" i="15" s="1"/>
  <c r="S76" i="15" s="1"/>
  <c r="T76" i="15" s="1"/>
  <c r="U76" i="15" s="1"/>
  <c r="V76" i="15" s="1"/>
  <c r="W76" i="15" s="1"/>
  <c r="X76" i="15" s="1"/>
  <c r="Y76" i="15" s="1"/>
  <c r="B68" i="15"/>
  <c r="D74" i="15"/>
  <c r="F96" i="15"/>
  <c r="G96" i="15" s="1"/>
  <c r="H96" i="15" s="1"/>
  <c r="D96" i="15"/>
  <c r="G75" i="15"/>
  <c r="C102" i="15"/>
  <c r="F90" i="15"/>
  <c r="E117" i="15"/>
  <c r="B129" i="15"/>
  <c r="E90" i="15"/>
  <c r="F67" i="15"/>
  <c r="P8" i="15"/>
  <c r="Q8" i="15" s="1"/>
  <c r="J69" i="15"/>
  <c r="C154" i="15"/>
  <c r="F142" i="15"/>
  <c r="E118" i="15"/>
  <c r="I68" i="15"/>
  <c r="M69" i="15"/>
  <c r="P87" i="15"/>
  <c r="Q87" i="15" s="1"/>
  <c r="R87" i="15" s="1"/>
  <c r="C120" i="15"/>
  <c r="S78" i="15"/>
  <c r="T78" i="15" s="1"/>
  <c r="U78" i="15" s="1"/>
  <c r="V78" i="15" s="1"/>
  <c r="W78" i="15" s="1"/>
  <c r="X78" i="15" s="1"/>
  <c r="Y78" i="15" s="1"/>
  <c r="B116" i="15"/>
  <c r="E104" i="15"/>
  <c r="B115" i="15"/>
  <c r="D103" i="15"/>
  <c r="E103" i="15"/>
  <c r="F124" i="15"/>
  <c r="C136" i="15"/>
  <c r="E105" i="15"/>
  <c r="D105" i="15"/>
  <c r="N84" i="15"/>
  <c r="O84" i="15" s="1"/>
  <c r="P84" i="15" s="1"/>
  <c r="Q84" i="15" s="1"/>
  <c r="R84" i="15" s="1"/>
  <c r="S84" i="15" s="1"/>
  <c r="T84" i="15" s="1"/>
  <c r="U84" i="15" s="1"/>
  <c r="V84" i="15" s="1"/>
  <c r="W84" i="15" s="1"/>
  <c r="X84" i="15" s="1"/>
  <c r="Y84" i="15" s="1"/>
  <c r="P15" i="15"/>
  <c r="F66" i="15"/>
  <c r="E107" i="15"/>
  <c r="D107" i="15"/>
  <c r="B119" i="15"/>
  <c r="F86" i="15"/>
  <c r="G86" i="15" s="1"/>
  <c r="H86" i="15" s="1"/>
  <c r="C98" i="15"/>
  <c r="G103" i="15"/>
  <c r="H103" i="15" s="1"/>
  <c r="P9" i="15"/>
  <c r="Q9" i="15" s="1"/>
  <c r="E67" i="15"/>
  <c r="P14" i="15"/>
  <c r="O81" i="15"/>
  <c r="P81" i="15" s="1"/>
  <c r="Q81" i="15" s="1"/>
  <c r="R81" i="15" s="1"/>
  <c r="S81" i="15" s="1"/>
  <c r="T81" i="15" s="1"/>
  <c r="U81" i="15" s="1"/>
  <c r="V81" i="15" s="1"/>
  <c r="W81" i="15" s="1"/>
  <c r="X81" i="15" s="1"/>
  <c r="Y81" i="15" s="1"/>
  <c r="D80" i="15"/>
  <c r="F107" i="15"/>
  <c r="C119" i="15"/>
  <c r="B111" i="15"/>
  <c r="F118" i="15"/>
  <c r="G118" i="15" s="1"/>
  <c r="H118" i="15" s="1"/>
  <c r="E97" i="15"/>
  <c r="D97" i="15"/>
  <c r="D68" i="15"/>
  <c r="C104" i="15"/>
  <c r="D77" i="15"/>
  <c r="E68" i="15"/>
  <c r="G97" i="15"/>
  <c r="H97" i="15" s="1"/>
  <c r="F68" i="15"/>
  <c r="D91" i="15"/>
  <c r="K69" i="15"/>
  <c r="D92" i="15"/>
  <c r="D106" i="15"/>
  <c r="D99" i="15"/>
  <c r="D67" i="15"/>
  <c r="E93" i="15"/>
  <c r="G93" i="15" s="1"/>
  <c r="H93" i="15" s="1"/>
  <c r="D93" i="15"/>
  <c r="C115" i="15"/>
  <c r="D79" i="15"/>
  <c r="D88" i="15"/>
  <c r="M67" i="15"/>
  <c r="C101" i="15"/>
  <c r="C105" i="15"/>
  <c r="C109" i="15"/>
  <c r="B150" i="7"/>
  <c r="E138" i="7"/>
  <c r="C120" i="7"/>
  <c r="F108" i="7"/>
  <c r="B110" i="7"/>
  <c r="E98" i="7"/>
  <c r="G113" i="7"/>
  <c r="H113" i="7" s="1"/>
  <c r="D104" i="7"/>
  <c r="B116" i="7"/>
  <c r="G87" i="7"/>
  <c r="H87" i="7" s="1"/>
  <c r="B143" i="7"/>
  <c r="E104" i="7"/>
  <c r="G104" i="7" s="1"/>
  <c r="H104" i="7" s="1"/>
  <c r="F93" i="7"/>
  <c r="C105" i="7"/>
  <c r="F99" i="7"/>
  <c r="G99" i="7" s="1"/>
  <c r="H99" i="7" s="1"/>
  <c r="C111" i="7"/>
  <c r="D99" i="7"/>
  <c r="D88" i="7"/>
  <c r="B100" i="7"/>
  <c r="E88" i="7"/>
  <c r="G88" i="7" s="1"/>
  <c r="H88" i="7" s="1"/>
  <c r="C125" i="7"/>
  <c r="G94" i="7"/>
  <c r="H94" i="7" s="1"/>
  <c r="C56" i="7"/>
  <c r="P18" i="7"/>
  <c r="C20" i="7"/>
  <c r="C18" i="14"/>
  <c r="N87" i="14" s="1"/>
  <c r="C18" i="19"/>
  <c r="N87" i="19" s="1"/>
  <c r="C116" i="7"/>
  <c r="G95" i="7"/>
  <c r="H95" i="7" s="1"/>
  <c r="F107" i="7"/>
  <c r="C119" i="7"/>
  <c r="B125" i="7"/>
  <c r="C114" i="7"/>
  <c r="G18" i="25"/>
  <c r="F66" i="25" s="1"/>
  <c r="F66" i="7"/>
  <c r="G18" i="14"/>
  <c r="G18" i="22" s="1"/>
  <c r="G20" i="22" s="1"/>
  <c r="I85" i="7"/>
  <c r="D106" i="7"/>
  <c r="C118" i="7"/>
  <c r="G66" i="7"/>
  <c r="H20" i="7"/>
  <c r="F96" i="7"/>
  <c r="G96" i="7" s="1"/>
  <c r="H96" i="7" s="1"/>
  <c r="D107" i="7"/>
  <c r="H66" i="7"/>
  <c r="I20" i="7"/>
  <c r="I66" i="7"/>
  <c r="J18" i="14"/>
  <c r="I66" i="14" s="1"/>
  <c r="E131" i="7"/>
  <c r="E107" i="7"/>
  <c r="I86" i="7"/>
  <c r="D90" i="7"/>
  <c r="I95" i="7" s="1"/>
  <c r="D119" i="7"/>
  <c r="D96" i="7"/>
  <c r="B108" i="7"/>
  <c r="E119" i="7"/>
  <c r="N87" i="7"/>
  <c r="O87" i="7" s="1"/>
  <c r="P87" i="7" s="1"/>
  <c r="Q87" i="7" s="1"/>
  <c r="R87" i="7" s="1"/>
  <c r="S87" i="7" s="1"/>
  <c r="T87" i="7" s="1"/>
  <c r="U87" i="7" s="1"/>
  <c r="V87" i="7" s="1"/>
  <c r="W87" i="7" s="1"/>
  <c r="X87" i="7" s="1"/>
  <c r="Y87" i="7" s="1"/>
  <c r="B115" i="7"/>
  <c r="E103" i="7"/>
  <c r="D103" i="7"/>
  <c r="F103" i="7"/>
  <c r="G103" i="7" s="1"/>
  <c r="H103" i="7" s="1"/>
  <c r="C115" i="7"/>
  <c r="C98" i="7"/>
  <c r="F102" i="7"/>
  <c r="G102" i="7" s="1"/>
  <c r="H102" i="7" s="1"/>
  <c r="F100" i="7"/>
  <c r="C112" i="7"/>
  <c r="G78" i="7"/>
  <c r="E101" i="7"/>
  <c r="D101" i="7"/>
  <c r="D113" i="7"/>
  <c r="G101" i="7"/>
  <c r="H101" i="7" s="1"/>
  <c r="E86" i="7"/>
  <c r="G86" i="7" s="1"/>
  <c r="H86" i="7" s="1"/>
  <c r="D86" i="7"/>
  <c r="I88" i="7" s="1"/>
  <c r="E93" i="7"/>
  <c r="B105" i="7"/>
  <c r="D93" i="7"/>
  <c r="B118" i="7"/>
  <c r="G89" i="7"/>
  <c r="H89" i="7" s="1"/>
  <c r="F18" i="25"/>
  <c r="F20" i="25" s="1"/>
  <c r="F20" i="7"/>
  <c r="E66" i="7"/>
  <c r="G80" i="7"/>
  <c r="G91" i="7"/>
  <c r="H91" i="7" s="1"/>
  <c r="Q8" i="7"/>
  <c r="B109" i="7"/>
  <c r="C121" i="7"/>
  <c r="P19" i="7"/>
  <c r="G97" i="7"/>
  <c r="H97" i="7" s="1"/>
  <c r="Q11" i="7"/>
  <c r="D18" i="25"/>
  <c r="C66" i="25" s="1"/>
  <c r="E18" i="25"/>
  <c r="I18" i="25"/>
  <c r="J18" i="25"/>
  <c r="E106" i="6"/>
  <c r="D106" i="6"/>
  <c r="B118" i="6"/>
  <c r="C126" i="6"/>
  <c r="F114" i="6"/>
  <c r="G114" i="6" s="1"/>
  <c r="H114" i="6" s="1"/>
  <c r="D114" i="6"/>
  <c r="B126" i="6"/>
  <c r="E114" i="6"/>
  <c r="E98" i="6"/>
  <c r="D98" i="6"/>
  <c r="B110" i="6"/>
  <c r="F98" i="6"/>
  <c r="G98" i="6" s="1"/>
  <c r="H98" i="6" s="1"/>
  <c r="C110" i="6"/>
  <c r="F106" i="6"/>
  <c r="C118" i="6"/>
  <c r="L67" i="6"/>
  <c r="M20" i="6"/>
  <c r="M17" i="25"/>
  <c r="N17" i="13"/>
  <c r="N17" i="18" s="1"/>
  <c r="D56" i="6"/>
  <c r="F56" i="6" s="1"/>
  <c r="T9" i="6"/>
  <c r="T19" i="6"/>
  <c r="T18" i="6"/>
  <c r="T17" i="6"/>
  <c r="T16" i="6"/>
  <c r="T15" i="6"/>
  <c r="T14" i="6"/>
  <c r="T13" i="6"/>
  <c r="T12" i="6"/>
  <c r="T11" i="6"/>
  <c r="T10" i="6"/>
  <c r="T8" i="6"/>
  <c r="Q10" i="6"/>
  <c r="D86" i="6"/>
  <c r="D94" i="6"/>
  <c r="E86" i="6"/>
  <c r="E94" i="6"/>
  <c r="Q9" i="6"/>
  <c r="F86" i="6"/>
  <c r="F94" i="6"/>
  <c r="G94" i="6" s="1"/>
  <c r="H94" i="6" s="1"/>
  <c r="E102" i="6"/>
  <c r="Q8" i="6"/>
  <c r="I69" i="25"/>
  <c r="I89" i="6"/>
  <c r="I88" i="6"/>
  <c r="I86" i="6"/>
  <c r="F131" i="6"/>
  <c r="F195" i="6"/>
  <c r="G93" i="6"/>
  <c r="H93" i="6" s="1"/>
  <c r="M67" i="6"/>
  <c r="N20" i="6"/>
  <c r="N17" i="25"/>
  <c r="M67" i="25" s="1"/>
  <c r="F119" i="6"/>
  <c r="F183" i="6"/>
  <c r="T7" i="6"/>
  <c r="L68" i="6"/>
  <c r="F107" i="6"/>
  <c r="F171" i="6"/>
  <c r="M68" i="6"/>
  <c r="F102" i="6"/>
  <c r="K67" i="6"/>
  <c r="L17" i="13"/>
  <c r="L17" i="18" s="1"/>
  <c r="K69" i="18" s="1"/>
  <c r="L20" i="6"/>
  <c r="L17" i="25"/>
  <c r="L20" i="25" s="1"/>
  <c r="D102" i="6"/>
  <c r="G92" i="6"/>
  <c r="H92" i="6" s="1"/>
  <c r="G89" i="6"/>
  <c r="H89" i="6" s="1"/>
  <c r="G97" i="6"/>
  <c r="H97" i="6" s="1"/>
  <c r="F147" i="6"/>
  <c r="T86" i="6"/>
  <c r="U86" i="6" s="1"/>
  <c r="V86" i="6" s="1"/>
  <c r="W86" i="6" s="1"/>
  <c r="X86" i="6" s="1"/>
  <c r="Y86" i="6" s="1"/>
  <c r="F135" i="6"/>
  <c r="F199" i="6"/>
  <c r="I92" i="6"/>
  <c r="L17" i="14"/>
  <c r="L20" i="14" s="1"/>
  <c r="N17" i="14"/>
  <c r="M68" i="14" s="1"/>
  <c r="F111" i="6"/>
  <c r="S6" i="6"/>
  <c r="I20" i="6"/>
  <c r="I17" i="25"/>
  <c r="H69" i="25" s="1"/>
  <c r="H67" i="6"/>
  <c r="P17" i="6"/>
  <c r="Q17" i="6" s="1"/>
  <c r="J17" i="13"/>
  <c r="I68" i="13" s="1"/>
  <c r="I67" i="6"/>
  <c r="J20" i="6"/>
  <c r="J17" i="25"/>
  <c r="J20" i="25" s="1"/>
  <c r="F99" i="6"/>
  <c r="E19" i="14"/>
  <c r="J67" i="6"/>
  <c r="K20" i="6"/>
  <c r="K17" i="25"/>
  <c r="J67" i="25" s="1"/>
  <c r="I85" i="6"/>
  <c r="F151" i="6"/>
  <c r="F215" i="6"/>
  <c r="J19" i="13"/>
  <c r="B99" i="6"/>
  <c r="B103" i="6"/>
  <c r="B107" i="6"/>
  <c r="I66" i="6"/>
  <c r="C20" i="6"/>
  <c r="D87" i="6"/>
  <c r="D91" i="6"/>
  <c r="D95" i="6"/>
  <c r="M19" i="14"/>
  <c r="D20" i="6"/>
  <c r="B100" i="6"/>
  <c r="B104" i="6"/>
  <c r="B108" i="6"/>
  <c r="C100" i="6"/>
  <c r="C104" i="6"/>
  <c r="C108" i="6"/>
  <c r="D88" i="6"/>
  <c r="D92" i="6"/>
  <c r="D96" i="6"/>
  <c r="C18" i="25"/>
  <c r="F19" i="25"/>
  <c r="U10" i="4"/>
  <c r="B101" i="6"/>
  <c r="B105" i="6"/>
  <c r="B109" i="6"/>
  <c r="M69" i="25"/>
  <c r="G19" i="25"/>
  <c r="C101" i="6"/>
  <c r="C105" i="6"/>
  <c r="C109" i="6"/>
  <c r="H19" i="25"/>
  <c r="D89" i="6"/>
  <c r="D93" i="6"/>
  <c r="D97" i="6"/>
  <c r="I19" i="25"/>
  <c r="N87" i="13"/>
  <c r="L66" i="14"/>
  <c r="L19" i="25"/>
  <c r="M19" i="25"/>
  <c r="E103" i="5"/>
  <c r="B115" i="5"/>
  <c r="D103" i="5"/>
  <c r="I114" i="5" s="1"/>
  <c r="E110" i="5"/>
  <c r="B122" i="5"/>
  <c r="F103" i="5"/>
  <c r="G103" i="5" s="1"/>
  <c r="H103" i="5" s="1"/>
  <c r="C115" i="5"/>
  <c r="F109" i="5"/>
  <c r="C121" i="5"/>
  <c r="F97" i="5"/>
  <c r="G97" i="5" s="1"/>
  <c r="H97" i="5" s="1"/>
  <c r="E19" i="13"/>
  <c r="E19" i="19" s="1"/>
  <c r="E19" i="23" s="1"/>
  <c r="C159" i="5"/>
  <c r="P88" i="5"/>
  <c r="Q88" i="5" s="1"/>
  <c r="R88" i="5" s="1"/>
  <c r="S88" i="5" s="1"/>
  <c r="T88" i="5" s="1"/>
  <c r="U88" i="5" s="1"/>
  <c r="V88" i="5" s="1"/>
  <c r="W88" i="5" s="1"/>
  <c r="X88" i="5" s="1"/>
  <c r="Y88" i="5" s="1"/>
  <c r="Q16" i="5"/>
  <c r="D97" i="5"/>
  <c r="I108" i="5" s="1"/>
  <c r="D91" i="5"/>
  <c r="I102" i="5" s="1"/>
  <c r="G99" i="5"/>
  <c r="H99" i="5" s="1"/>
  <c r="B147" i="5"/>
  <c r="P19" i="5"/>
  <c r="E135" i="5"/>
  <c r="G135" i="5" s="1"/>
  <c r="H135" i="5" s="1"/>
  <c r="D111" i="5"/>
  <c r="E120" i="5"/>
  <c r="B132" i="5"/>
  <c r="E98" i="5"/>
  <c r="D98" i="5"/>
  <c r="I109" i="5" s="1"/>
  <c r="D92" i="5"/>
  <c r="I103" i="5" s="1"/>
  <c r="E92" i="5"/>
  <c r="E86" i="5"/>
  <c r="G86" i="5" s="1"/>
  <c r="H86" i="5" s="1"/>
  <c r="D86" i="5"/>
  <c r="I97" i="5" s="1"/>
  <c r="B109" i="5"/>
  <c r="D93" i="5"/>
  <c r="I104" i="5" s="1"/>
  <c r="G111" i="5"/>
  <c r="H111" i="5" s="1"/>
  <c r="E124" i="5"/>
  <c r="B136" i="5"/>
  <c r="U12" i="4"/>
  <c r="U11" i="4"/>
  <c r="F98" i="5"/>
  <c r="C110" i="5"/>
  <c r="E87" i="5"/>
  <c r="G87" i="5" s="1"/>
  <c r="H87" i="5" s="1"/>
  <c r="F106" i="5"/>
  <c r="G106" i="5" s="1"/>
  <c r="H106" i="5" s="1"/>
  <c r="C118" i="5"/>
  <c r="E114" i="5"/>
  <c r="D114" i="5"/>
  <c r="B126" i="5"/>
  <c r="F92" i="5"/>
  <c r="G92" i="5" s="1"/>
  <c r="H92" i="5" s="1"/>
  <c r="C104" i="5"/>
  <c r="G75" i="5"/>
  <c r="B104" i="5"/>
  <c r="E105" i="5"/>
  <c r="G105" i="5" s="1"/>
  <c r="H105" i="5" s="1"/>
  <c r="B117" i="5"/>
  <c r="N18" i="14"/>
  <c r="M66" i="14" s="1"/>
  <c r="C56" i="5"/>
  <c r="N20" i="5"/>
  <c r="N18" i="25"/>
  <c r="N20" i="25" s="1"/>
  <c r="D105" i="5"/>
  <c r="I116" i="5" s="1"/>
  <c r="C117" i="5"/>
  <c r="F88" i="5"/>
  <c r="C100" i="5"/>
  <c r="F96" i="5"/>
  <c r="C108" i="5"/>
  <c r="E106" i="5"/>
  <c r="D106" i="5"/>
  <c r="I117" i="5" s="1"/>
  <c r="B118" i="5"/>
  <c r="D19" i="25"/>
  <c r="U8" i="4"/>
  <c r="E19" i="25"/>
  <c r="D220" i="25" s="1"/>
  <c r="U9" i="4"/>
  <c r="U15" i="4"/>
  <c r="J19" i="25"/>
  <c r="K19" i="25"/>
  <c r="U16" i="4"/>
  <c r="D88" i="5"/>
  <c r="I99" i="5" s="1"/>
  <c r="E88" i="5"/>
  <c r="E94" i="5"/>
  <c r="G94" i="5" s="1"/>
  <c r="H94" i="5" s="1"/>
  <c r="D94" i="5"/>
  <c r="I105" i="5" s="1"/>
  <c r="B167" i="5"/>
  <c r="E112" i="5"/>
  <c r="E155" i="5"/>
  <c r="G77" i="5"/>
  <c r="D89" i="5"/>
  <c r="I100" i="5" s="1"/>
  <c r="N19" i="25"/>
  <c r="E100" i="5"/>
  <c r="B101" i="5"/>
  <c r="C107" i="5"/>
  <c r="C113" i="5"/>
  <c r="E90" i="5"/>
  <c r="G90" i="5" s="1"/>
  <c r="H90" i="5" s="1"/>
  <c r="D90" i="5"/>
  <c r="I101" i="5" s="1"/>
  <c r="D95" i="5"/>
  <c r="I106" i="5" s="1"/>
  <c r="F102" i="5"/>
  <c r="C114" i="5"/>
  <c r="E102" i="5"/>
  <c r="D102" i="5"/>
  <c r="I113" i="5" s="1"/>
  <c r="D108" i="5"/>
  <c r="I119" i="5" s="1"/>
  <c r="E108" i="5"/>
  <c r="D96" i="5"/>
  <c r="I107" i="5" s="1"/>
  <c r="E96" i="5"/>
  <c r="B122" i="4"/>
  <c r="E110" i="4"/>
  <c r="D110" i="4"/>
  <c r="C122" i="4"/>
  <c r="F110" i="4"/>
  <c r="E115" i="4"/>
  <c r="B127" i="4"/>
  <c r="D115" i="4"/>
  <c r="I89" i="4"/>
  <c r="C102" i="4"/>
  <c r="F90" i="4"/>
  <c r="G90" i="4" s="1"/>
  <c r="H90" i="4" s="1"/>
  <c r="F100" i="4"/>
  <c r="C112" i="4"/>
  <c r="B114" i="4"/>
  <c r="E102" i="4"/>
  <c r="D102" i="4"/>
  <c r="I92" i="4"/>
  <c r="F132" i="4"/>
  <c r="C144" i="4"/>
  <c r="C116" i="4"/>
  <c r="F104" i="4"/>
  <c r="C127" i="4"/>
  <c r="F115" i="4"/>
  <c r="G115" i="4" s="1"/>
  <c r="H115" i="4" s="1"/>
  <c r="D103" i="4"/>
  <c r="P13" i="4"/>
  <c r="Q13" i="4" s="1"/>
  <c r="I68" i="4"/>
  <c r="T13" i="4"/>
  <c r="U13" i="4" s="1"/>
  <c r="J13" i="14"/>
  <c r="F92" i="4"/>
  <c r="G92" i="4" s="1"/>
  <c r="H92" i="4" s="1"/>
  <c r="F103" i="4"/>
  <c r="G103" i="4" s="1"/>
  <c r="H103" i="4" s="1"/>
  <c r="G93" i="4"/>
  <c r="H93" i="4" s="1"/>
  <c r="L19" i="14"/>
  <c r="F106" i="4"/>
  <c r="G106" i="4" s="1"/>
  <c r="H106" i="4" s="1"/>
  <c r="C118" i="4"/>
  <c r="E106" i="4"/>
  <c r="B118" i="4"/>
  <c r="D106" i="4"/>
  <c r="D93" i="4"/>
  <c r="B105" i="4"/>
  <c r="N18" i="18"/>
  <c r="Q15" i="4"/>
  <c r="U82" i="14"/>
  <c r="V82" i="14" s="1"/>
  <c r="W82" i="14" s="1"/>
  <c r="X82" i="14" s="1"/>
  <c r="Y82" i="14" s="1"/>
  <c r="Q16" i="4"/>
  <c r="G86" i="4"/>
  <c r="H86" i="4" s="1"/>
  <c r="G98" i="4"/>
  <c r="H98" i="4" s="1"/>
  <c r="I85" i="4"/>
  <c r="U17" i="4"/>
  <c r="C119" i="4"/>
  <c r="F107" i="4"/>
  <c r="D109" i="4"/>
  <c r="B121" i="4"/>
  <c r="G95" i="4"/>
  <c r="H95" i="4" s="1"/>
  <c r="E109" i="4"/>
  <c r="C19" i="25"/>
  <c r="N88" i="25" s="1"/>
  <c r="N88" i="4"/>
  <c r="O88" i="4" s="1"/>
  <c r="P88" i="4" s="1"/>
  <c r="Q88" i="4" s="1"/>
  <c r="R88" i="4" s="1"/>
  <c r="S88" i="4" s="1"/>
  <c r="T88" i="4" s="1"/>
  <c r="U88" i="4" s="1"/>
  <c r="V88" i="4" s="1"/>
  <c r="W88" i="4" s="1"/>
  <c r="X88" i="4" s="1"/>
  <c r="Y88" i="4" s="1"/>
  <c r="P19" i="4"/>
  <c r="C111" i="4"/>
  <c r="F99" i="4"/>
  <c r="G99" i="4" s="1"/>
  <c r="H99" i="4" s="1"/>
  <c r="D87" i="4"/>
  <c r="D94" i="4"/>
  <c r="E94" i="4"/>
  <c r="G94" i="4" s="1"/>
  <c r="H94" i="4" s="1"/>
  <c r="D99" i="4"/>
  <c r="E89" i="4"/>
  <c r="G89" i="4" s="1"/>
  <c r="H89" i="4" s="1"/>
  <c r="B111" i="4"/>
  <c r="L67" i="4"/>
  <c r="G84" i="4"/>
  <c r="G76" i="4"/>
  <c r="D90" i="4"/>
  <c r="D95" i="4"/>
  <c r="B101" i="4"/>
  <c r="G19" i="14"/>
  <c r="I88" i="4"/>
  <c r="H19" i="14"/>
  <c r="I19" i="14"/>
  <c r="I96" i="4"/>
  <c r="B107" i="4"/>
  <c r="M17" i="13"/>
  <c r="M17" i="19" s="1"/>
  <c r="P55" i="4"/>
  <c r="P57" i="4" s="1"/>
  <c r="P60" i="4" s="1"/>
  <c r="P62" i="4" s="1"/>
  <c r="L69" i="4"/>
  <c r="F19" i="14"/>
  <c r="J19" i="14"/>
  <c r="P8" i="4"/>
  <c r="M17" i="14"/>
  <c r="M20" i="14" s="1"/>
  <c r="D91" i="4"/>
  <c r="L19" i="13"/>
  <c r="L19" i="19" s="1"/>
  <c r="L19" i="23" s="1"/>
  <c r="K68" i="4"/>
  <c r="M19" i="13"/>
  <c r="M19" i="19" s="1"/>
  <c r="M19" i="23" s="1"/>
  <c r="C66" i="4"/>
  <c r="L68" i="4"/>
  <c r="D19" i="14"/>
  <c r="I86" i="4"/>
  <c r="G97" i="4"/>
  <c r="H97" i="4" s="1"/>
  <c r="B100" i="4"/>
  <c r="B104" i="4"/>
  <c r="B108" i="4"/>
  <c r="C101" i="4"/>
  <c r="C105" i="4"/>
  <c r="C109" i="4"/>
  <c r="K19" i="14"/>
  <c r="C130" i="3"/>
  <c r="D130" i="3" s="1"/>
  <c r="D118" i="3"/>
  <c r="F118" i="3"/>
  <c r="G118" i="3" s="1"/>
  <c r="H118" i="3" s="1"/>
  <c r="B131" i="3"/>
  <c r="E119" i="3"/>
  <c r="C141" i="3"/>
  <c r="F129" i="3"/>
  <c r="B142" i="3"/>
  <c r="E130" i="3"/>
  <c r="F17" i="13"/>
  <c r="F20" i="3"/>
  <c r="F106" i="3"/>
  <c r="G106" i="3" s="1"/>
  <c r="H106" i="3" s="1"/>
  <c r="F95" i="3"/>
  <c r="G95" i="3" s="1"/>
  <c r="H95" i="3" s="1"/>
  <c r="C160" i="3"/>
  <c r="I85" i="3"/>
  <c r="F117" i="3"/>
  <c r="J20" i="3"/>
  <c r="D106" i="3"/>
  <c r="H68" i="3"/>
  <c r="I17" i="13"/>
  <c r="H68" i="13" s="1"/>
  <c r="J67" i="3"/>
  <c r="J68" i="3"/>
  <c r="K17" i="13"/>
  <c r="K17" i="19" s="1"/>
  <c r="K20" i="3"/>
  <c r="G20" i="3"/>
  <c r="E108" i="3"/>
  <c r="B120" i="3"/>
  <c r="F96" i="3"/>
  <c r="G96" i="3" s="1"/>
  <c r="H96" i="3" s="1"/>
  <c r="F124" i="3"/>
  <c r="N87" i="18"/>
  <c r="B66" i="18"/>
  <c r="C20" i="18"/>
  <c r="G90" i="3"/>
  <c r="H90" i="3" s="1"/>
  <c r="G17" i="14"/>
  <c r="F68" i="14" s="1"/>
  <c r="E67" i="3"/>
  <c r="B126" i="3"/>
  <c r="E114" i="3"/>
  <c r="D114" i="3"/>
  <c r="H17" i="14"/>
  <c r="G69" i="14" s="1"/>
  <c r="F68" i="3"/>
  <c r="G17" i="13"/>
  <c r="N88" i="13"/>
  <c r="O88" i="13" s="1"/>
  <c r="P88" i="13" s="1"/>
  <c r="J17" i="14"/>
  <c r="F19" i="13"/>
  <c r="I67" i="3"/>
  <c r="D91" i="3"/>
  <c r="H19" i="13"/>
  <c r="F91" i="3"/>
  <c r="G91" i="3" s="1"/>
  <c r="H91" i="3" s="1"/>
  <c r="B115" i="3"/>
  <c r="E103" i="3"/>
  <c r="D103" i="3"/>
  <c r="C107" i="3"/>
  <c r="E97" i="3"/>
  <c r="B109" i="3"/>
  <c r="Q8" i="3"/>
  <c r="C121" i="3"/>
  <c r="F109" i="3"/>
  <c r="C115" i="3"/>
  <c r="F103" i="3"/>
  <c r="G103" i="3" s="1"/>
  <c r="H103" i="3" s="1"/>
  <c r="C108" i="3"/>
  <c r="K17" i="14"/>
  <c r="K20" i="14" s="1"/>
  <c r="G19" i="13"/>
  <c r="I19" i="13"/>
  <c r="C110" i="3"/>
  <c r="F98" i="3"/>
  <c r="G98" i="3" s="1"/>
  <c r="H98" i="3" s="1"/>
  <c r="G68" i="3"/>
  <c r="H17" i="13"/>
  <c r="G69" i="13" s="1"/>
  <c r="D18" i="13"/>
  <c r="O87" i="13" s="1"/>
  <c r="P87" i="13" s="1"/>
  <c r="Q87" i="13" s="1"/>
  <c r="R87" i="13" s="1"/>
  <c r="S87" i="13" s="1"/>
  <c r="T87" i="13" s="1"/>
  <c r="U87" i="13" s="1"/>
  <c r="V87" i="13" s="1"/>
  <c r="W87" i="13" s="1"/>
  <c r="X87" i="13" s="1"/>
  <c r="Y87" i="13" s="1"/>
  <c r="C66" i="3"/>
  <c r="D18" i="14"/>
  <c r="F17" i="14"/>
  <c r="E69" i="14" s="1"/>
  <c r="F97" i="3"/>
  <c r="G97" i="3" s="1"/>
  <c r="H97" i="3" s="1"/>
  <c r="I17" i="14"/>
  <c r="H67" i="3"/>
  <c r="B110" i="3"/>
  <c r="E98" i="3"/>
  <c r="D98" i="3"/>
  <c r="P17" i="3"/>
  <c r="D101" i="3"/>
  <c r="K19" i="13"/>
  <c r="C19" i="14"/>
  <c r="N88" i="14" s="1"/>
  <c r="N88" i="3"/>
  <c r="O88" i="3" s="1"/>
  <c r="P88" i="3" s="1"/>
  <c r="Q88" i="3" s="1"/>
  <c r="R88" i="3" s="1"/>
  <c r="S88" i="3" s="1"/>
  <c r="T88" i="3" s="1"/>
  <c r="U88" i="3" s="1"/>
  <c r="V88" i="3" s="1"/>
  <c r="W88" i="3" s="1"/>
  <c r="X88" i="3" s="1"/>
  <c r="Y88" i="3" s="1"/>
  <c r="P18" i="3"/>
  <c r="E104" i="3"/>
  <c r="B116" i="3"/>
  <c r="P19" i="3"/>
  <c r="G79" i="3"/>
  <c r="D92" i="3"/>
  <c r="C104" i="3"/>
  <c r="I86" i="3"/>
  <c r="C126" i="3"/>
  <c r="F114" i="3"/>
  <c r="B111" i="3"/>
  <c r="E99" i="3"/>
  <c r="D99" i="3"/>
  <c r="E93" i="3"/>
  <c r="B105" i="3"/>
  <c r="D93" i="3"/>
  <c r="D102" i="3"/>
  <c r="E113" i="3"/>
  <c r="G113" i="3" s="1"/>
  <c r="H113" i="3" s="1"/>
  <c r="B125" i="3"/>
  <c r="C111" i="3"/>
  <c r="F99" i="3"/>
  <c r="C137" i="3"/>
  <c r="F125" i="3"/>
  <c r="E69" i="3"/>
  <c r="D87" i="3"/>
  <c r="F102" i="3"/>
  <c r="G102" i="3" s="1"/>
  <c r="H102" i="3" s="1"/>
  <c r="D113" i="3"/>
  <c r="E100" i="3"/>
  <c r="G100" i="3" s="1"/>
  <c r="H100" i="3" s="1"/>
  <c r="D100" i="3"/>
  <c r="B112" i="3"/>
  <c r="E18" i="14"/>
  <c r="F18" i="14"/>
  <c r="E66" i="14" s="1"/>
  <c r="M67" i="3"/>
  <c r="F93" i="3"/>
  <c r="G93" i="3" s="1"/>
  <c r="H93" i="3" s="1"/>
  <c r="H20" i="3"/>
  <c r="H18" i="14"/>
  <c r="C56" i="3"/>
  <c r="D89" i="3"/>
  <c r="D94" i="3"/>
  <c r="I85" i="14"/>
  <c r="H18" i="13"/>
  <c r="I20" i="3"/>
  <c r="I18" i="14"/>
  <c r="E94" i="3"/>
  <c r="G94" i="3" s="1"/>
  <c r="H94" i="3" s="1"/>
  <c r="F18" i="13"/>
  <c r="I18" i="13"/>
  <c r="M66" i="13"/>
  <c r="H67" i="14"/>
  <c r="E139" i="25"/>
  <c r="B151" i="25"/>
  <c r="G86" i="25"/>
  <c r="H86" i="25" s="1"/>
  <c r="B134" i="25"/>
  <c r="E122" i="25"/>
  <c r="D91" i="25"/>
  <c r="D98" i="25"/>
  <c r="B150" i="25"/>
  <c r="E138" i="25"/>
  <c r="C127" i="25"/>
  <c r="F115" i="25"/>
  <c r="F91" i="25"/>
  <c r="G91" i="25" s="1"/>
  <c r="H91" i="25" s="1"/>
  <c r="D68" i="25"/>
  <c r="D67" i="25"/>
  <c r="L69" i="25"/>
  <c r="E20" i="25"/>
  <c r="D208" i="25"/>
  <c r="D66" i="25"/>
  <c r="E110" i="25"/>
  <c r="G110" i="25" s="1"/>
  <c r="H110" i="25" s="1"/>
  <c r="D110" i="25"/>
  <c r="F98" i="25"/>
  <c r="C122" i="25"/>
  <c r="E68" i="25"/>
  <c r="E67" i="25"/>
  <c r="P10" i="25"/>
  <c r="Q10" i="25" s="1"/>
  <c r="D103" i="25"/>
  <c r="N82" i="25"/>
  <c r="O82" i="25" s="1"/>
  <c r="P82" i="25" s="1"/>
  <c r="Q82" i="25" s="1"/>
  <c r="R82" i="25" s="1"/>
  <c r="S82" i="25" s="1"/>
  <c r="T82" i="25" s="1"/>
  <c r="U82" i="25" s="1"/>
  <c r="V82" i="25" s="1"/>
  <c r="W82" i="25" s="1"/>
  <c r="X82" i="25" s="1"/>
  <c r="Y82" i="25" s="1"/>
  <c r="B69" i="25"/>
  <c r="Q11" i="25"/>
  <c r="H20" i="25"/>
  <c r="G66" i="25"/>
  <c r="Q12" i="25"/>
  <c r="F103" i="25"/>
  <c r="G103" i="25" s="1"/>
  <c r="H103" i="25" s="1"/>
  <c r="H68" i="25"/>
  <c r="H67" i="25"/>
  <c r="P13" i="25"/>
  <c r="Q13" i="25" s="1"/>
  <c r="Q14" i="25"/>
  <c r="D86" i="25"/>
  <c r="I86" i="25" s="1"/>
  <c r="L68" i="25"/>
  <c r="L67" i="25"/>
  <c r="M68" i="25"/>
  <c r="J69" i="25"/>
  <c r="C119" i="25"/>
  <c r="F107" i="25"/>
  <c r="G107" i="25" s="1"/>
  <c r="H107" i="25" s="1"/>
  <c r="X81" i="25"/>
  <c r="Y81" i="25" s="1"/>
  <c r="B120" i="25"/>
  <c r="E108" i="25"/>
  <c r="D108" i="25"/>
  <c r="G112" i="25"/>
  <c r="H112" i="25" s="1"/>
  <c r="I20" i="25"/>
  <c r="H66" i="25"/>
  <c r="E127" i="25"/>
  <c r="L66" i="25"/>
  <c r="M20" i="25"/>
  <c r="D148" i="25"/>
  <c r="B119" i="25"/>
  <c r="E107" i="25"/>
  <c r="N80" i="25"/>
  <c r="O80" i="25" s="1"/>
  <c r="P80" i="25" s="1"/>
  <c r="Q80" i="25" s="1"/>
  <c r="R80" i="25" s="1"/>
  <c r="S80" i="25" s="1"/>
  <c r="T80" i="25" s="1"/>
  <c r="U80" i="25" s="1"/>
  <c r="V80" i="25" s="1"/>
  <c r="W80" i="25" s="1"/>
  <c r="X80" i="25" s="1"/>
  <c r="Y80" i="25" s="1"/>
  <c r="B68" i="25"/>
  <c r="G172" i="25"/>
  <c r="H172" i="25" s="1"/>
  <c r="D107" i="25"/>
  <c r="D112" i="25"/>
  <c r="B67" i="25"/>
  <c r="C120" i="25"/>
  <c r="F108" i="25"/>
  <c r="G108" i="25" s="1"/>
  <c r="H108" i="25" s="1"/>
  <c r="E113" i="25"/>
  <c r="B125" i="25"/>
  <c r="D113" i="25"/>
  <c r="G220" i="25"/>
  <c r="H220" i="25" s="1"/>
  <c r="E98" i="25"/>
  <c r="C67" i="25"/>
  <c r="F113" i="25"/>
  <c r="G113" i="25" s="1"/>
  <c r="H113" i="25" s="1"/>
  <c r="C125" i="25"/>
  <c r="F67" i="25"/>
  <c r="E126" i="25"/>
  <c r="G67" i="25"/>
  <c r="G81" i="25"/>
  <c r="F102" i="25"/>
  <c r="G102" i="25" s="1"/>
  <c r="H102" i="25" s="1"/>
  <c r="C114" i="25"/>
  <c r="T84" i="25"/>
  <c r="U84" i="25" s="1"/>
  <c r="V84" i="25" s="1"/>
  <c r="W84" i="25" s="1"/>
  <c r="X84" i="25" s="1"/>
  <c r="Y84" i="25" s="1"/>
  <c r="D90" i="25"/>
  <c r="I67" i="25"/>
  <c r="I68" i="25"/>
  <c r="G96" i="25"/>
  <c r="H96" i="25" s="1"/>
  <c r="P16" i="25"/>
  <c r="Q16" i="25" s="1"/>
  <c r="D104" i="25"/>
  <c r="G97" i="25"/>
  <c r="H97" i="25" s="1"/>
  <c r="E104" i="25"/>
  <c r="E115" i="25"/>
  <c r="G148" i="25"/>
  <c r="H148" i="25" s="1"/>
  <c r="B128" i="25"/>
  <c r="E116" i="25"/>
  <c r="C116" i="25"/>
  <c r="F104" i="25"/>
  <c r="G104" i="25" s="1"/>
  <c r="H104" i="25" s="1"/>
  <c r="G124" i="25"/>
  <c r="H124" i="25" s="1"/>
  <c r="D87" i="25"/>
  <c r="E87" i="25"/>
  <c r="G101" i="25"/>
  <c r="H101" i="25" s="1"/>
  <c r="F93" i="25"/>
  <c r="C105" i="25"/>
  <c r="D101" i="25"/>
  <c r="E106" i="25"/>
  <c r="B118" i="25"/>
  <c r="C109" i="25"/>
  <c r="G94" i="25"/>
  <c r="H94" i="25" s="1"/>
  <c r="D102" i="25"/>
  <c r="G82" i="25"/>
  <c r="D115" i="25"/>
  <c r="F99" i="25"/>
  <c r="C111" i="25"/>
  <c r="G74" i="25"/>
  <c r="G92" i="25"/>
  <c r="H92" i="25" s="1"/>
  <c r="E93" i="25"/>
  <c r="B105" i="25"/>
  <c r="D93" i="25"/>
  <c r="B109" i="25"/>
  <c r="G184" i="25"/>
  <c r="H184" i="25" s="1"/>
  <c r="I85" i="25"/>
  <c r="D99" i="25"/>
  <c r="B111" i="25"/>
  <c r="E99" i="25"/>
  <c r="G100" i="25"/>
  <c r="H100" i="25" s="1"/>
  <c r="F87" i="25"/>
  <c r="G87" i="25" s="1"/>
  <c r="H87" i="25" s="1"/>
  <c r="G208" i="25"/>
  <c r="H208" i="25" s="1"/>
  <c r="I66" i="25"/>
  <c r="G160" i="25"/>
  <c r="H160" i="25" s="1"/>
  <c r="C68" i="25"/>
  <c r="D20" i="25"/>
  <c r="E94" i="25"/>
  <c r="C106" i="25"/>
  <c r="D106" i="25" s="1"/>
  <c r="G89" i="25"/>
  <c r="H89" i="25" s="1"/>
  <c r="D94" i="25"/>
  <c r="D89" i="25"/>
  <c r="D100" i="25"/>
  <c r="Q11" i="14"/>
  <c r="G106" i="14"/>
  <c r="H106" i="14" s="1"/>
  <c r="G118" i="14"/>
  <c r="H118" i="14" s="1"/>
  <c r="Q12" i="14"/>
  <c r="G94" i="14"/>
  <c r="H94" i="14" s="1"/>
  <c r="Q15" i="14"/>
  <c r="C154" i="14"/>
  <c r="F142" i="14"/>
  <c r="C110" i="14"/>
  <c r="D110" i="14" s="1"/>
  <c r="F98" i="14"/>
  <c r="G98" i="14" s="1"/>
  <c r="H98" i="14" s="1"/>
  <c r="D98" i="14"/>
  <c r="D86" i="14"/>
  <c r="F86" i="14"/>
  <c r="G86" i="14" s="1"/>
  <c r="H86" i="14" s="1"/>
  <c r="I67" i="14"/>
  <c r="B122" i="14"/>
  <c r="E130" i="14"/>
  <c r="E105" i="14"/>
  <c r="G105" i="14" s="1"/>
  <c r="H105" i="14" s="1"/>
  <c r="B117" i="14"/>
  <c r="F130" i="14"/>
  <c r="G130" i="14" s="1"/>
  <c r="H130" i="14" s="1"/>
  <c r="B68" i="14"/>
  <c r="C114" i="14"/>
  <c r="Q9" i="14"/>
  <c r="F161" i="14"/>
  <c r="N81" i="14"/>
  <c r="O81" i="14" s="1"/>
  <c r="P81" i="14" s="1"/>
  <c r="Q81" i="14" s="1"/>
  <c r="R81" i="14" s="1"/>
  <c r="S81" i="14" s="1"/>
  <c r="T81" i="14" s="1"/>
  <c r="U81" i="14" s="1"/>
  <c r="V81" i="14" s="1"/>
  <c r="W81" i="14" s="1"/>
  <c r="X81" i="14" s="1"/>
  <c r="Y81" i="14" s="1"/>
  <c r="G88" i="14"/>
  <c r="H88" i="14" s="1"/>
  <c r="B99" i="14"/>
  <c r="F213" i="14"/>
  <c r="G91" i="14"/>
  <c r="H91" i="14" s="1"/>
  <c r="F104" i="14"/>
  <c r="C116" i="14"/>
  <c r="P10" i="14"/>
  <c r="Q10" i="14" s="1"/>
  <c r="B142" i="14"/>
  <c r="O83" i="14"/>
  <c r="P83" i="14" s="1"/>
  <c r="Q83" i="14" s="1"/>
  <c r="R83" i="14" s="1"/>
  <c r="S83" i="14" s="1"/>
  <c r="T83" i="14" s="1"/>
  <c r="U83" i="14" s="1"/>
  <c r="V83" i="14" s="1"/>
  <c r="W83" i="14" s="1"/>
  <c r="X83" i="14" s="1"/>
  <c r="Y83" i="14" s="1"/>
  <c r="E67" i="14"/>
  <c r="D94" i="14"/>
  <c r="F67" i="14"/>
  <c r="F201" i="14"/>
  <c r="F123" i="14"/>
  <c r="C135" i="14"/>
  <c r="H68" i="14"/>
  <c r="F107" i="14"/>
  <c r="F125" i="14"/>
  <c r="F153" i="14"/>
  <c r="B114" i="14"/>
  <c r="F141" i="14"/>
  <c r="E87" i="14"/>
  <c r="G87" i="14" s="1"/>
  <c r="H87" i="14" s="1"/>
  <c r="P13" i="14"/>
  <c r="Q13" i="14" s="1"/>
  <c r="E101" i="14"/>
  <c r="B113" i="14"/>
  <c r="F99" i="14"/>
  <c r="F173" i="14"/>
  <c r="M67" i="14"/>
  <c r="D106" i="14"/>
  <c r="Q8" i="14"/>
  <c r="B107" i="14"/>
  <c r="F101" i="14"/>
  <c r="F117" i="14"/>
  <c r="F119" i="14"/>
  <c r="C131" i="14"/>
  <c r="E95" i="14"/>
  <c r="G95" i="14"/>
  <c r="H95" i="14" s="1"/>
  <c r="E90" i="14"/>
  <c r="G90" i="14" s="1"/>
  <c r="H90" i="14" s="1"/>
  <c r="E109" i="14"/>
  <c r="G109" i="14" s="1"/>
  <c r="H109" i="14" s="1"/>
  <c r="B121" i="14"/>
  <c r="E102" i="14"/>
  <c r="G102" i="14" s="1"/>
  <c r="H102" i="14" s="1"/>
  <c r="D118" i="14"/>
  <c r="B67" i="14"/>
  <c r="B103" i="14"/>
  <c r="F157" i="14"/>
  <c r="F165" i="14"/>
  <c r="G96" i="14"/>
  <c r="H96" i="14" s="1"/>
  <c r="F197" i="14"/>
  <c r="C67" i="14"/>
  <c r="K69" i="14"/>
  <c r="F129" i="14"/>
  <c r="F177" i="14"/>
  <c r="F137" i="14"/>
  <c r="D67" i="14"/>
  <c r="F127" i="14"/>
  <c r="C139" i="14"/>
  <c r="F103" i="14"/>
  <c r="P16" i="14"/>
  <c r="Q16" i="14" s="1"/>
  <c r="B100" i="14"/>
  <c r="B104" i="14"/>
  <c r="B108" i="14"/>
  <c r="D88" i="14"/>
  <c r="D92" i="14"/>
  <c r="D96" i="14"/>
  <c r="C100" i="14"/>
  <c r="C108" i="14"/>
  <c r="F92" i="14"/>
  <c r="G92" i="14" s="1"/>
  <c r="H92" i="14" s="1"/>
  <c r="B123" i="13"/>
  <c r="E111" i="13"/>
  <c r="I67" i="13"/>
  <c r="J10" i="18"/>
  <c r="P10" i="13"/>
  <c r="Q10" i="13" s="1"/>
  <c r="J10" i="19"/>
  <c r="I68" i="19" s="1"/>
  <c r="N15" i="19"/>
  <c r="N15" i="23" s="1"/>
  <c r="N15" i="18"/>
  <c r="M69" i="13"/>
  <c r="I66" i="13"/>
  <c r="L10" i="19"/>
  <c r="L10" i="23" s="1"/>
  <c r="L10" i="18"/>
  <c r="K66" i="13"/>
  <c r="M18" i="19"/>
  <c r="M18" i="23" s="1"/>
  <c r="L66" i="23" s="1"/>
  <c r="L66" i="13"/>
  <c r="M18" i="18"/>
  <c r="Q15" i="13"/>
  <c r="F13" i="18"/>
  <c r="F13" i="19"/>
  <c r="F13" i="23" s="1"/>
  <c r="P13" i="13"/>
  <c r="E67" i="13"/>
  <c r="H13" i="19"/>
  <c r="H13" i="23" s="1"/>
  <c r="H13" i="18"/>
  <c r="D16" i="19"/>
  <c r="P16" i="19" s="1"/>
  <c r="D16" i="18"/>
  <c r="M10" i="19"/>
  <c r="M10" i="18"/>
  <c r="I13" i="19"/>
  <c r="I13" i="18"/>
  <c r="E16" i="19"/>
  <c r="E16" i="18"/>
  <c r="P16" i="18" s="1"/>
  <c r="D67" i="13"/>
  <c r="E98" i="13"/>
  <c r="D98" i="13"/>
  <c r="B110" i="13"/>
  <c r="G98" i="13"/>
  <c r="H98" i="13" s="1"/>
  <c r="Q14" i="13"/>
  <c r="I86" i="13"/>
  <c r="F87" i="13"/>
  <c r="G87" i="13" s="1"/>
  <c r="H87" i="13" s="1"/>
  <c r="C99" i="13"/>
  <c r="E88" i="13"/>
  <c r="B100" i="13"/>
  <c r="D88" i="13"/>
  <c r="G88" i="13"/>
  <c r="H88" i="13" s="1"/>
  <c r="L16" i="23"/>
  <c r="U79" i="13"/>
  <c r="V79" i="13" s="1"/>
  <c r="W79" i="13" s="1"/>
  <c r="X79" i="13" s="1"/>
  <c r="Y79" i="13" s="1"/>
  <c r="N10" i="19"/>
  <c r="M67" i="19" s="1"/>
  <c r="M68" i="13"/>
  <c r="M67" i="13"/>
  <c r="N10" i="18"/>
  <c r="J13" i="19"/>
  <c r="J13" i="23" s="1"/>
  <c r="J13" i="18"/>
  <c r="F16" i="19"/>
  <c r="F16" i="23" s="1"/>
  <c r="F16" i="18"/>
  <c r="C14" i="23"/>
  <c r="N83" i="23" s="1"/>
  <c r="N83" i="19"/>
  <c r="O83" i="19" s="1"/>
  <c r="P83" i="19" s="1"/>
  <c r="Q83" i="19" s="1"/>
  <c r="R83" i="19" s="1"/>
  <c r="S83" i="19" s="1"/>
  <c r="T83" i="19" s="1"/>
  <c r="U83" i="19" s="1"/>
  <c r="B129" i="13"/>
  <c r="C69" i="19"/>
  <c r="I87" i="19"/>
  <c r="F114" i="13"/>
  <c r="G114" i="13" s="1"/>
  <c r="H114" i="13" s="1"/>
  <c r="C126" i="13"/>
  <c r="E99" i="13"/>
  <c r="C127" i="13"/>
  <c r="F115" i="13"/>
  <c r="C146" i="13"/>
  <c r="F134" i="13"/>
  <c r="E92" i="13"/>
  <c r="G92" i="13" s="1"/>
  <c r="H92" i="13" s="1"/>
  <c r="B104" i="13"/>
  <c r="H68" i="19"/>
  <c r="I11" i="23"/>
  <c r="E93" i="13"/>
  <c r="G93" i="13" s="1"/>
  <c r="H93" i="13" s="1"/>
  <c r="D93" i="13"/>
  <c r="E121" i="13"/>
  <c r="B133" i="13"/>
  <c r="E114" i="13"/>
  <c r="B126" i="13"/>
  <c r="D114" i="13"/>
  <c r="E15" i="19"/>
  <c r="E15" i="23" s="1"/>
  <c r="D69" i="13"/>
  <c r="D15" i="18"/>
  <c r="C69" i="18" s="1"/>
  <c r="E94" i="13"/>
  <c r="E101" i="13"/>
  <c r="B113" i="13"/>
  <c r="D101" i="13"/>
  <c r="K10" i="23"/>
  <c r="D118" i="23" s="1"/>
  <c r="G12" i="19"/>
  <c r="G12" i="23" s="1"/>
  <c r="N84" i="13"/>
  <c r="O84" i="13" s="1"/>
  <c r="P84" i="13" s="1"/>
  <c r="Q84" i="13" s="1"/>
  <c r="R84" i="13" s="1"/>
  <c r="S84" i="13" s="1"/>
  <c r="T84" i="13" s="1"/>
  <c r="U84" i="13" s="1"/>
  <c r="V84" i="13" s="1"/>
  <c r="W84" i="13" s="1"/>
  <c r="X84" i="13" s="1"/>
  <c r="Y84" i="13" s="1"/>
  <c r="B67" i="13"/>
  <c r="B69" i="13"/>
  <c r="B68" i="13"/>
  <c r="E105" i="13"/>
  <c r="C106" i="13"/>
  <c r="F94" i="13"/>
  <c r="B106" i="13"/>
  <c r="C15" i="18"/>
  <c r="B67" i="18" s="1"/>
  <c r="E15" i="18"/>
  <c r="D69" i="18" s="1"/>
  <c r="Q81" i="13"/>
  <c r="R81" i="13" s="1"/>
  <c r="S81" i="13" s="1"/>
  <c r="T81" i="13" s="1"/>
  <c r="U81" i="13" s="1"/>
  <c r="V81" i="13" s="1"/>
  <c r="W81" i="13" s="1"/>
  <c r="X81" i="13" s="1"/>
  <c r="Y81" i="13" s="1"/>
  <c r="F109" i="13"/>
  <c r="G109" i="13" s="1"/>
  <c r="H109" i="13" s="1"/>
  <c r="C121" i="13"/>
  <c r="G91" i="13"/>
  <c r="H91" i="13" s="1"/>
  <c r="I85" i="13"/>
  <c r="G83" i="13"/>
  <c r="E96" i="13"/>
  <c r="B108" i="13"/>
  <c r="D96" i="13"/>
  <c r="P12" i="13"/>
  <c r="Q12" i="13" s="1"/>
  <c r="G96" i="13"/>
  <c r="H96" i="13" s="1"/>
  <c r="F12" i="18"/>
  <c r="D87" i="13"/>
  <c r="I87" i="13" s="1"/>
  <c r="D121" i="19"/>
  <c r="D102" i="13"/>
  <c r="D95" i="13"/>
  <c r="B107" i="13"/>
  <c r="D12" i="19"/>
  <c r="D12" i="23" s="1"/>
  <c r="C69" i="13"/>
  <c r="L14" i="19"/>
  <c r="C119" i="13"/>
  <c r="F107" i="13"/>
  <c r="E95" i="13"/>
  <c r="C105" i="13"/>
  <c r="J68" i="13"/>
  <c r="B66" i="13"/>
  <c r="O83" i="18"/>
  <c r="P83" i="18" s="1"/>
  <c r="Q83" i="18" s="1"/>
  <c r="R83" i="18" s="1"/>
  <c r="S83" i="18" s="1"/>
  <c r="T83" i="18" s="1"/>
  <c r="U83" i="18" s="1"/>
  <c r="V83" i="18" s="1"/>
  <c r="W83" i="18" s="1"/>
  <c r="X83" i="18" s="1"/>
  <c r="Y83" i="18" s="1"/>
  <c r="D68" i="13"/>
  <c r="E10" i="18"/>
  <c r="M12" i="18"/>
  <c r="D66" i="13"/>
  <c r="C20" i="19"/>
  <c r="G102" i="13"/>
  <c r="H102" i="13" s="1"/>
  <c r="O82" i="13"/>
  <c r="P82" i="13" s="1"/>
  <c r="Q82" i="13" s="1"/>
  <c r="R82" i="13" s="1"/>
  <c r="S82" i="13" s="1"/>
  <c r="T82" i="13" s="1"/>
  <c r="U82" i="13" s="1"/>
  <c r="V82" i="13" s="1"/>
  <c r="W82" i="13" s="1"/>
  <c r="X82" i="13" s="1"/>
  <c r="Y82" i="13" s="1"/>
  <c r="F66" i="13"/>
  <c r="G18" i="19"/>
  <c r="G18" i="23" s="1"/>
  <c r="F90" i="13"/>
  <c r="G90" i="13" s="1"/>
  <c r="H90" i="13" s="1"/>
  <c r="G68" i="13"/>
  <c r="G67" i="13"/>
  <c r="H10" i="18"/>
  <c r="C67" i="13"/>
  <c r="C68" i="13"/>
  <c r="G89" i="13"/>
  <c r="H89" i="13" s="1"/>
  <c r="D90" i="13"/>
  <c r="F95" i="13"/>
  <c r="C101" i="13"/>
  <c r="N85" i="13"/>
  <c r="O85" i="13" s="1"/>
  <c r="P85" i="13" s="1"/>
  <c r="Q85" i="13" s="1"/>
  <c r="R85" i="13" s="1"/>
  <c r="S85" i="13" s="1"/>
  <c r="T85" i="13" s="1"/>
  <c r="U85" i="13" s="1"/>
  <c r="V85" i="13" s="1"/>
  <c r="W85" i="13" s="1"/>
  <c r="X85" i="13" s="1"/>
  <c r="Y85" i="13" s="1"/>
  <c r="P16" i="13"/>
  <c r="Q16" i="13" s="1"/>
  <c r="O80" i="23"/>
  <c r="P80" i="23" s="1"/>
  <c r="I10" i="18"/>
  <c r="E91" i="13"/>
  <c r="G97" i="13"/>
  <c r="H97" i="13" s="1"/>
  <c r="B103" i="13"/>
  <c r="C100" i="13"/>
  <c r="C104" i="13"/>
  <c r="C108" i="13"/>
  <c r="G88" i="19"/>
  <c r="H88" i="19" s="1"/>
  <c r="B116" i="19"/>
  <c r="E104" i="19"/>
  <c r="G97" i="19"/>
  <c r="H97" i="19" s="1"/>
  <c r="N86" i="19"/>
  <c r="O86" i="19" s="1"/>
  <c r="P86" i="19" s="1"/>
  <c r="B66" i="19"/>
  <c r="E90" i="19"/>
  <c r="B102" i="19"/>
  <c r="D90" i="19"/>
  <c r="G90" i="19"/>
  <c r="H90" i="19" s="1"/>
  <c r="D115" i="19"/>
  <c r="B127" i="19"/>
  <c r="E115" i="19"/>
  <c r="G115" i="19" s="1"/>
  <c r="H115" i="19" s="1"/>
  <c r="J115" i="19" s="1"/>
  <c r="E14" i="23"/>
  <c r="E111" i="19"/>
  <c r="B123" i="19"/>
  <c r="E121" i="19"/>
  <c r="B133" i="19"/>
  <c r="F127" i="19"/>
  <c r="C139" i="19"/>
  <c r="F111" i="19"/>
  <c r="G111" i="19" s="1"/>
  <c r="H111" i="19" s="1"/>
  <c r="J111" i="19" s="1"/>
  <c r="C123" i="19"/>
  <c r="D109" i="19"/>
  <c r="F141" i="19"/>
  <c r="C153" i="19"/>
  <c r="L14" i="23"/>
  <c r="H67" i="19"/>
  <c r="D99" i="19"/>
  <c r="E109" i="19"/>
  <c r="G109" i="19" s="1"/>
  <c r="H109" i="19" s="1"/>
  <c r="I85" i="19"/>
  <c r="P11" i="19"/>
  <c r="E94" i="19"/>
  <c r="G94" i="19" s="1"/>
  <c r="H94" i="19" s="1"/>
  <c r="B106" i="19"/>
  <c r="N13" i="23"/>
  <c r="D111" i="19"/>
  <c r="D92" i="19"/>
  <c r="G99" i="19"/>
  <c r="H99" i="19" s="1"/>
  <c r="E93" i="19"/>
  <c r="G93" i="19" s="1"/>
  <c r="H93" i="19" s="1"/>
  <c r="D93" i="19"/>
  <c r="B105" i="19"/>
  <c r="G82" i="19"/>
  <c r="G83" i="19"/>
  <c r="C119" i="19"/>
  <c r="F107" i="19"/>
  <c r="G107" i="19" s="1"/>
  <c r="H107" i="19" s="1"/>
  <c r="D14" i="23"/>
  <c r="O83" i="23" s="1"/>
  <c r="P83" i="23" s="1"/>
  <c r="Q83" i="23" s="1"/>
  <c r="R83" i="23" s="1"/>
  <c r="S83" i="23" s="1"/>
  <c r="T83" i="23" s="1"/>
  <c r="U83" i="23" s="1"/>
  <c r="D10" i="23"/>
  <c r="I86" i="19"/>
  <c r="B119" i="19"/>
  <c r="E107" i="19"/>
  <c r="D107" i="19"/>
  <c r="C104" i="19"/>
  <c r="D104" i="19" s="1"/>
  <c r="Q80" i="23"/>
  <c r="R80" i="23" s="1"/>
  <c r="S80" i="23" s="1"/>
  <c r="T80" i="23" s="1"/>
  <c r="U80" i="23" s="1"/>
  <c r="V80" i="23" s="1"/>
  <c r="W80" i="23" s="1"/>
  <c r="X80" i="23" s="1"/>
  <c r="Y80" i="23" s="1"/>
  <c r="E112" i="19"/>
  <c r="B124" i="19"/>
  <c r="D112" i="19"/>
  <c r="P10" i="19"/>
  <c r="Q10" i="19" s="1"/>
  <c r="N79" i="19"/>
  <c r="O79" i="19" s="1"/>
  <c r="P79" i="19" s="1"/>
  <c r="Q79" i="19" s="1"/>
  <c r="R79" i="19" s="1"/>
  <c r="S79" i="19" s="1"/>
  <c r="T79" i="19" s="1"/>
  <c r="U79" i="19" s="1"/>
  <c r="V79" i="19" s="1"/>
  <c r="W79" i="19" s="1"/>
  <c r="X79" i="19" s="1"/>
  <c r="Y79" i="19" s="1"/>
  <c r="C10" i="23"/>
  <c r="N79" i="23" s="1"/>
  <c r="B67" i="19"/>
  <c r="Q8" i="19"/>
  <c r="Q9" i="19"/>
  <c r="I16" i="23"/>
  <c r="E88" i="19"/>
  <c r="D88" i="19"/>
  <c r="C144" i="19"/>
  <c r="F67" i="19"/>
  <c r="E113" i="19"/>
  <c r="D113" i="19"/>
  <c r="B125" i="19"/>
  <c r="E86" i="19"/>
  <c r="G86" i="19" s="1"/>
  <c r="H86" i="19" s="1"/>
  <c r="B98" i="19"/>
  <c r="D101" i="19"/>
  <c r="B108" i="19"/>
  <c r="C136" i="19"/>
  <c r="F124" i="19"/>
  <c r="G67" i="19"/>
  <c r="F112" i="19"/>
  <c r="C137" i="19"/>
  <c r="N85" i="19"/>
  <c r="O85" i="19" s="1"/>
  <c r="P85" i="19" s="1"/>
  <c r="Q85" i="19" s="1"/>
  <c r="R85" i="19" s="1"/>
  <c r="S85" i="19" s="1"/>
  <c r="T85" i="19" s="1"/>
  <c r="U85" i="19" s="1"/>
  <c r="V85" i="19" s="1"/>
  <c r="W85" i="19" s="1"/>
  <c r="X85" i="19" s="1"/>
  <c r="Y85" i="19" s="1"/>
  <c r="C16" i="23"/>
  <c r="N85" i="23" s="1"/>
  <c r="N82" i="19"/>
  <c r="O82" i="19" s="1"/>
  <c r="P82" i="19" s="1"/>
  <c r="D91" i="19"/>
  <c r="D96" i="19"/>
  <c r="E101" i="19"/>
  <c r="E91" i="19"/>
  <c r="G91" i="19" s="1"/>
  <c r="H91" i="19" s="1"/>
  <c r="G101" i="19"/>
  <c r="H101" i="19" s="1"/>
  <c r="F113" i="19"/>
  <c r="G113" i="19" s="1"/>
  <c r="H113" i="19" s="1"/>
  <c r="J113" i="19" s="1"/>
  <c r="C133" i="19"/>
  <c r="F121" i="19"/>
  <c r="G121" i="19" s="1"/>
  <c r="H121" i="19" s="1"/>
  <c r="J121" i="19" s="1"/>
  <c r="G75" i="19"/>
  <c r="G68" i="19"/>
  <c r="C98" i="19"/>
  <c r="C102" i="19"/>
  <c r="C106" i="19"/>
  <c r="G92" i="18"/>
  <c r="H92" i="18" s="1"/>
  <c r="F119" i="18"/>
  <c r="C131" i="18"/>
  <c r="B121" i="18"/>
  <c r="D109" i="18"/>
  <c r="E109" i="18"/>
  <c r="C121" i="18"/>
  <c r="F109" i="18"/>
  <c r="G109" i="18" s="1"/>
  <c r="H109" i="18" s="1"/>
  <c r="B111" i="18"/>
  <c r="E99" i="18"/>
  <c r="D99" i="18"/>
  <c r="C111" i="18"/>
  <c r="F99" i="18"/>
  <c r="G99" i="18" s="1"/>
  <c r="H99" i="18" s="1"/>
  <c r="E105" i="18"/>
  <c r="D105" i="18"/>
  <c r="B117" i="18"/>
  <c r="D102" i="18"/>
  <c r="C106" i="18"/>
  <c r="F94" i="18"/>
  <c r="G94" i="18" s="1"/>
  <c r="H94" i="18" s="1"/>
  <c r="B112" i="18"/>
  <c r="D100" i="18"/>
  <c r="E100" i="18"/>
  <c r="G108" i="18"/>
  <c r="H108" i="18" s="1"/>
  <c r="D96" i="18"/>
  <c r="I86" i="18"/>
  <c r="G88" i="18"/>
  <c r="H88" i="18" s="1"/>
  <c r="B131" i="18"/>
  <c r="E119" i="18"/>
  <c r="F96" i="18"/>
  <c r="G96" i="18" s="1"/>
  <c r="H96" i="18" s="1"/>
  <c r="G86" i="18"/>
  <c r="H86" i="18" s="1"/>
  <c r="E103" i="18"/>
  <c r="G103" i="18" s="1"/>
  <c r="H103" i="18" s="1"/>
  <c r="D103" i="18"/>
  <c r="E87" i="18"/>
  <c r="N80" i="18"/>
  <c r="O80" i="18" s="1"/>
  <c r="P80" i="18" s="1"/>
  <c r="Q80" i="18" s="1"/>
  <c r="R80" i="18" s="1"/>
  <c r="S80" i="18" s="1"/>
  <c r="T80" i="18" s="1"/>
  <c r="U80" i="18" s="1"/>
  <c r="V80" i="18" s="1"/>
  <c r="W80" i="18" s="1"/>
  <c r="N85" i="18"/>
  <c r="B101" i="18"/>
  <c r="D89" i="18"/>
  <c r="E89" i="18"/>
  <c r="C101" i="18"/>
  <c r="F89" i="18"/>
  <c r="D97" i="18"/>
  <c r="B144" i="18"/>
  <c r="E132" i="18"/>
  <c r="E97" i="18"/>
  <c r="C120" i="18"/>
  <c r="G95" i="18"/>
  <c r="H95" i="18" s="1"/>
  <c r="G100" i="18"/>
  <c r="H100" i="18" s="1"/>
  <c r="G90" i="18"/>
  <c r="H90" i="18" s="1"/>
  <c r="F97" i="18"/>
  <c r="G97" i="18" s="1"/>
  <c r="H97" i="18" s="1"/>
  <c r="B115" i="18"/>
  <c r="G114" i="18"/>
  <c r="H114" i="18" s="1"/>
  <c r="J114" i="18" s="1"/>
  <c r="F102" i="18"/>
  <c r="G102" i="18" s="1"/>
  <c r="H102" i="18" s="1"/>
  <c r="D87" i="18"/>
  <c r="G104" i="18"/>
  <c r="H104" i="18" s="1"/>
  <c r="C126" i="18"/>
  <c r="B150" i="18"/>
  <c r="E138" i="18"/>
  <c r="E108" i="18"/>
  <c r="D108" i="18"/>
  <c r="C115" i="18"/>
  <c r="E120" i="18"/>
  <c r="F87" i="18"/>
  <c r="G98" i="18"/>
  <c r="H98" i="18" s="1"/>
  <c r="C68" i="18"/>
  <c r="E104" i="18"/>
  <c r="B116" i="18"/>
  <c r="D92" i="18"/>
  <c r="F105" i="18"/>
  <c r="G105" i="18" s="1"/>
  <c r="H105" i="18" s="1"/>
  <c r="C117" i="18"/>
  <c r="B106" i="18"/>
  <c r="E94" i="18"/>
  <c r="C124" i="18"/>
  <c r="F112" i="18"/>
  <c r="B110" i="18"/>
  <c r="E98" i="18"/>
  <c r="D98" i="18"/>
  <c r="G81" i="18"/>
  <c r="C116" i="18"/>
  <c r="C122" i="18"/>
  <c r="F110" i="18"/>
  <c r="E114" i="18"/>
  <c r="D114" i="18"/>
  <c r="I85" i="18"/>
  <c r="D93" i="18"/>
  <c r="N79" i="18"/>
  <c r="O79" i="18" s="1"/>
  <c r="D95" i="18"/>
  <c r="D90" i="18"/>
  <c r="N82" i="18"/>
  <c r="O82" i="18" s="1"/>
  <c r="P82" i="18" s="1"/>
  <c r="F93" i="22"/>
  <c r="G93" i="22" s="1"/>
  <c r="H93" i="22" s="1"/>
  <c r="D93" i="22"/>
  <c r="I104" i="22" s="1"/>
  <c r="C107" i="22"/>
  <c r="F95" i="22"/>
  <c r="E95" i="22"/>
  <c r="C105" i="22"/>
  <c r="E99" i="22"/>
  <c r="G99" i="22" s="1"/>
  <c r="H99" i="22" s="1"/>
  <c r="D99" i="22"/>
  <c r="D86" i="22"/>
  <c r="I97" i="22" s="1"/>
  <c r="C106" i="22"/>
  <c r="F94" i="22"/>
  <c r="G94" i="22" s="1"/>
  <c r="H94" i="22" s="1"/>
  <c r="B106" i="22"/>
  <c r="F110" i="22"/>
  <c r="C122" i="22"/>
  <c r="Q12" i="22"/>
  <c r="F101" i="22"/>
  <c r="C113" i="22"/>
  <c r="D94" i="22"/>
  <c r="I105" i="22" s="1"/>
  <c r="F133" i="22"/>
  <c r="C145" i="22"/>
  <c r="E102" i="22"/>
  <c r="D102" i="22"/>
  <c r="G87" i="22"/>
  <c r="H87" i="22" s="1"/>
  <c r="B111" i="22"/>
  <c r="E86" i="22"/>
  <c r="G86" i="22" s="1"/>
  <c r="H86" i="22" s="1"/>
  <c r="Q17" i="22"/>
  <c r="E101" i="22"/>
  <c r="D101" i="22"/>
  <c r="B113" i="22"/>
  <c r="D108" i="22"/>
  <c r="B120" i="22"/>
  <c r="E108" i="22"/>
  <c r="B107" i="22"/>
  <c r="B138" i="22"/>
  <c r="D98" i="22"/>
  <c r="F135" i="22"/>
  <c r="C147" i="22"/>
  <c r="E114" i="22"/>
  <c r="G81" i="22"/>
  <c r="B103" i="22"/>
  <c r="E91" i="22"/>
  <c r="E98" i="22"/>
  <c r="F102" i="22"/>
  <c r="C114" i="22"/>
  <c r="B122" i="22"/>
  <c r="E110" i="22"/>
  <c r="D110" i="22"/>
  <c r="E105" i="22"/>
  <c r="D105" i="22"/>
  <c r="B117" i="22"/>
  <c r="C115" i="22"/>
  <c r="F103" i="22"/>
  <c r="F98" i="22"/>
  <c r="G98" i="22" s="1"/>
  <c r="H98" i="22" s="1"/>
  <c r="G74" i="22"/>
  <c r="D91" i="22"/>
  <c r="I102" i="22" s="1"/>
  <c r="F111" i="22"/>
  <c r="F89" i="22"/>
  <c r="G89" i="22" s="1"/>
  <c r="H89" i="22" s="1"/>
  <c r="D89" i="22"/>
  <c r="I100" i="22" s="1"/>
  <c r="Q10" i="22"/>
  <c r="Q13" i="22"/>
  <c r="F108" i="22"/>
  <c r="G108" i="22" s="1"/>
  <c r="H108" i="22" s="1"/>
  <c r="C120" i="22"/>
  <c r="F91" i="22"/>
  <c r="E87" i="22"/>
  <c r="D104" i="22"/>
  <c r="B116" i="22"/>
  <c r="F104" i="22"/>
  <c r="G104" i="22" s="1"/>
  <c r="H104" i="22" s="1"/>
  <c r="C116" i="22"/>
  <c r="E109" i="22"/>
  <c r="G109" i="22" s="1"/>
  <c r="H109" i="22" s="1"/>
  <c r="D109" i="22"/>
  <c r="B121" i="22"/>
  <c r="F97" i="22"/>
  <c r="G97" i="22" s="1"/>
  <c r="H97" i="22" s="1"/>
  <c r="D97" i="22"/>
  <c r="I108" i="22" s="1"/>
  <c r="D100" i="22"/>
  <c r="B112" i="22"/>
  <c r="F100" i="22"/>
  <c r="G100" i="22" s="1"/>
  <c r="H100" i="22" s="1"/>
  <c r="C112" i="22"/>
  <c r="B122" i="23"/>
  <c r="E110" i="23"/>
  <c r="B139" i="23"/>
  <c r="E127" i="23"/>
  <c r="B123" i="23"/>
  <c r="E111" i="23"/>
  <c r="E118" i="23"/>
  <c r="B130" i="23"/>
  <c r="O82" i="23"/>
  <c r="P82" i="23" s="1"/>
  <c r="D98" i="23"/>
  <c r="I109" i="23" s="1"/>
  <c r="F118" i="23"/>
  <c r="G118" i="23" s="1"/>
  <c r="H118" i="23" s="1"/>
  <c r="B140" i="23"/>
  <c r="G86" i="23"/>
  <c r="H86" i="23" s="1"/>
  <c r="F117" i="23"/>
  <c r="C129" i="23"/>
  <c r="B119" i="23"/>
  <c r="E128" i="23"/>
  <c r="E98" i="23"/>
  <c r="G98" i="23" s="1"/>
  <c r="H98" i="23" s="1"/>
  <c r="E107" i="23"/>
  <c r="G107" i="23" s="1"/>
  <c r="H107" i="23" s="1"/>
  <c r="D87" i="23"/>
  <c r="I98" i="23" s="1"/>
  <c r="E87" i="23"/>
  <c r="C110" i="23"/>
  <c r="F93" i="23"/>
  <c r="D101" i="23"/>
  <c r="I112" i="23" s="1"/>
  <c r="E105" i="23"/>
  <c r="D105" i="23"/>
  <c r="I116" i="23" s="1"/>
  <c r="B117" i="23"/>
  <c r="E93" i="23"/>
  <c r="N86" i="23"/>
  <c r="O86" i="23" s="1"/>
  <c r="P86" i="23" s="1"/>
  <c r="G75" i="23"/>
  <c r="F87" i="23"/>
  <c r="C99" i="23"/>
  <c r="D93" i="23"/>
  <c r="I104" i="23" s="1"/>
  <c r="C119" i="23"/>
  <c r="P11" i="23"/>
  <c r="B102" i="23"/>
  <c r="E86" i="23"/>
  <c r="D86" i="23"/>
  <c r="I97" i="23" s="1"/>
  <c r="F126" i="23"/>
  <c r="C138" i="23"/>
  <c r="E113" i="23"/>
  <c r="D113" i="23"/>
  <c r="B125" i="23"/>
  <c r="C132" i="23"/>
  <c r="F113" i="23"/>
  <c r="G113" i="23" s="1"/>
  <c r="H113" i="23" s="1"/>
  <c r="C125" i="23"/>
  <c r="D106" i="23"/>
  <c r="I117" i="23" s="1"/>
  <c r="E106" i="23"/>
  <c r="G83" i="23"/>
  <c r="F114" i="23"/>
  <c r="E90" i="23"/>
  <c r="F106" i="23"/>
  <c r="G103" i="23"/>
  <c r="H103" i="23" s="1"/>
  <c r="F130" i="23"/>
  <c r="C142" i="23"/>
  <c r="E99" i="23"/>
  <c r="D99" i="23"/>
  <c r="I110" i="23" s="1"/>
  <c r="E109" i="23"/>
  <c r="D109" i="23"/>
  <c r="I120" i="23" s="1"/>
  <c r="B121" i="23"/>
  <c r="F105" i="23"/>
  <c r="G90" i="23"/>
  <c r="H90" i="23" s="1"/>
  <c r="G96" i="23"/>
  <c r="H96" i="23" s="1"/>
  <c r="F109" i="23"/>
  <c r="C121" i="23"/>
  <c r="C115" i="23"/>
  <c r="D103" i="23"/>
  <c r="I114" i="23" s="1"/>
  <c r="C116" i="23"/>
  <c r="D116" i="23"/>
  <c r="C112" i="23"/>
  <c r="B108" i="23"/>
  <c r="B100" i="23"/>
  <c r="D104" i="23"/>
  <c r="I115" i="23" s="1"/>
  <c r="D96" i="23"/>
  <c r="I107" i="23" s="1"/>
  <c r="D88" i="23"/>
  <c r="I99" i="23" s="1"/>
  <c r="K18" i="19" l="1"/>
  <c r="K18" i="23" s="1"/>
  <c r="J66" i="23" s="1"/>
  <c r="I96" i="8"/>
  <c r="L67" i="15"/>
  <c r="L69" i="15"/>
  <c r="I91" i="8"/>
  <c r="I91" i="3"/>
  <c r="B66" i="14"/>
  <c r="C20" i="14"/>
  <c r="F66" i="14"/>
  <c r="I99" i="3"/>
  <c r="S87" i="15"/>
  <c r="M69" i="14"/>
  <c r="U11" i="12"/>
  <c r="I92" i="8"/>
  <c r="L17" i="19"/>
  <c r="L17" i="23" s="1"/>
  <c r="K68" i="23" s="1"/>
  <c r="I95" i="3"/>
  <c r="U17" i="12"/>
  <c r="E20" i="16"/>
  <c r="I95" i="8"/>
  <c r="I89" i="3"/>
  <c r="E18" i="19"/>
  <c r="E18" i="23" s="1"/>
  <c r="D66" i="23" s="1"/>
  <c r="H20" i="15"/>
  <c r="E18" i="18"/>
  <c r="E20" i="18" s="1"/>
  <c r="R87" i="20"/>
  <c r="S87" i="20" s="1"/>
  <c r="T87" i="20" s="1"/>
  <c r="U87" i="20" s="1"/>
  <c r="V87" i="20" s="1"/>
  <c r="W87" i="20" s="1"/>
  <c r="X87" i="20" s="1"/>
  <c r="Y87" i="20" s="1"/>
  <c r="H20" i="16"/>
  <c r="I98" i="8"/>
  <c r="J20" i="15"/>
  <c r="I89" i="20"/>
  <c r="I96" i="20"/>
  <c r="I87" i="3"/>
  <c r="I87" i="20"/>
  <c r="U16" i="12"/>
  <c r="I94" i="3"/>
  <c r="I88" i="3"/>
  <c r="I101" i="3"/>
  <c r="E100" i="20"/>
  <c r="D100" i="20"/>
  <c r="B112" i="20"/>
  <c r="I92" i="20"/>
  <c r="U10" i="12"/>
  <c r="E99" i="20"/>
  <c r="B111" i="20"/>
  <c r="D99" i="20"/>
  <c r="F111" i="20"/>
  <c r="C123" i="20"/>
  <c r="I97" i="20"/>
  <c r="I98" i="20"/>
  <c r="G99" i="20"/>
  <c r="H99" i="20" s="1"/>
  <c r="U15" i="12"/>
  <c r="I91" i="20"/>
  <c r="G94" i="20"/>
  <c r="H94" i="20" s="1"/>
  <c r="F119" i="20"/>
  <c r="C131" i="20"/>
  <c r="F109" i="20"/>
  <c r="C121" i="20"/>
  <c r="E103" i="20"/>
  <c r="G103" i="20" s="1"/>
  <c r="H103" i="20" s="1"/>
  <c r="D103" i="20"/>
  <c r="B115" i="20"/>
  <c r="I88" i="20"/>
  <c r="F105" i="20"/>
  <c r="C117" i="20"/>
  <c r="E107" i="20"/>
  <c r="G107" i="20" s="1"/>
  <c r="H107" i="20" s="1"/>
  <c r="B119" i="20"/>
  <c r="D107" i="20"/>
  <c r="U18" i="12"/>
  <c r="F101" i="20"/>
  <c r="C113" i="20"/>
  <c r="F134" i="20"/>
  <c r="C146" i="20"/>
  <c r="E109" i="20"/>
  <c r="D109" i="20"/>
  <c r="B121" i="20"/>
  <c r="I85" i="20"/>
  <c r="E105" i="20"/>
  <c r="D105" i="20"/>
  <c r="B117" i="20"/>
  <c r="B122" i="20"/>
  <c r="E110" i="20"/>
  <c r="G110" i="20" s="1"/>
  <c r="H110" i="20" s="1"/>
  <c r="D110" i="20"/>
  <c r="E101" i="20"/>
  <c r="D101" i="20"/>
  <c r="B113" i="20"/>
  <c r="I94" i="20"/>
  <c r="G106" i="20"/>
  <c r="H106" i="20" s="1"/>
  <c r="I86" i="20"/>
  <c r="F118" i="20"/>
  <c r="G118" i="20" s="1"/>
  <c r="H118" i="20" s="1"/>
  <c r="C130" i="20"/>
  <c r="E104" i="20"/>
  <c r="D104" i="20"/>
  <c r="B116" i="20"/>
  <c r="E118" i="20"/>
  <c r="D118" i="20"/>
  <c r="B130" i="20"/>
  <c r="I90" i="20"/>
  <c r="Q13" i="20"/>
  <c r="C126" i="20"/>
  <c r="F114" i="20"/>
  <c r="G114" i="20" s="1"/>
  <c r="H114" i="20" s="1"/>
  <c r="I93" i="20"/>
  <c r="D56" i="20"/>
  <c r="F56" i="20" s="1"/>
  <c r="T19" i="20"/>
  <c r="T18" i="20"/>
  <c r="T17" i="20"/>
  <c r="T16" i="20"/>
  <c r="T15" i="20"/>
  <c r="T14" i="20"/>
  <c r="T13" i="20"/>
  <c r="T12" i="20"/>
  <c r="T11" i="20"/>
  <c r="T10" i="20"/>
  <c r="T9" i="20"/>
  <c r="T8" i="20"/>
  <c r="T7" i="20"/>
  <c r="S6" i="20"/>
  <c r="I95" i="20"/>
  <c r="B126" i="20"/>
  <c r="D114" i="20"/>
  <c r="E114" i="20"/>
  <c r="F108" i="20"/>
  <c r="G108" i="20" s="1"/>
  <c r="H108" i="20" s="1"/>
  <c r="C120" i="20"/>
  <c r="F104" i="20"/>
  <c r="C116" i="20"/>
  <c r="F115" i="20"/>
  <c r="C127" i="20"/>
  <c r="E108" i="20"/>
  <c r="D108" i="20"/>
  <c r="B120" i="20"/>
  <c r="F100" i="20"/>
  <c r="G100" i="20" s="1"/>
  <c r="H100" i="20" s="1"/>
  <c r="C112" i="20"/>
  <c r="I99" i="12"/>
  <c r="C118" i="12"/>
  <c r="F106" i="12"/>
  <c r="B126" i="12"/>
  <c r="E114" i="12"/>
  <c r="D114" i="12"/>
  <c r="I98" i="12"/>
  <c r="I94" i="12"/>
  <c r="E108" i="12"/>
  <c r="G108" i="12" s="1"/>
  <c r="H108" i="12" s="1"/>
  <c r="D108" i="12"/>
  <c r="B120" i="12"/>
  <c r="E104" i="12"/>
  <c r="G104" i="12" s="1"/>
  <c r="H104" i="12" s="1"/>
  <c r="D104" i="12"/>
  <c r="B116" i="12"/>
  <c r="E100" i="12"/>
  <c r="G100" i="12" s="1"/>
  <c r="H100" i="12" s="1"/>
  <c r="D100" i="12"/>
  <c r="I110" i="12" s="1"/>
  <c r="B112" i="12"/>
  <c r="B118" i="12"/>
  <c r="E106" i="12"/>
  <c r="D106" i="12"/>
  <c r="I95" i="12"/>
  <c r="I97" i="12"/>
  <c r="C151" i="12"/>
  <c r="F139" i="12"/>
  <c r="D131" i="12"/>
  <c r="B143" i="12"/>
  <c r="E131" i="12"/>
  <c r="L18" i="22"/>
  <c r="K66" i="22" s="1"/>
  <c r="F116" i="12"/>
  <c r="C128" i="12"/>
  <c r="I93" i="12"/>
  <c r="I91" i="12"/>
  <c r="I96" i="12"/>
  <c r="F112" i="12"/>
  <c r="C124" i="12"/>
  <c r="C123" i="12"/>
  <c r="F111" i="12"/>
  <c r="B139" i="12"/>
  <c r="E127" i="12"/>
  <c r="G127" i="12" s="1"/>
  <c r="H127" i="12" s="1"/>
  <c r="D127" i="12"/>
  <c r="E111" i="12"/>
  <c r="D111" i="12"/>
  <c r="B123" i="12"/>
  <c r="C126" i="12"/>
  <c r="F114" i="12"/>
  <c r="G114" i="12" s="1"/>
  <c r="H114" i="12" s="1"/>
  <c r="I92" i="12"/>
  <c r="I87" i="12"/>
  <c r="F122" i="12"/>
  <c r="G122" i="12" s="1"/>
  <c r="H122" i="12" s="1"/>
  <c r="C134" i="12"/>
  <c r="I89" i="12"/>
  <c r="U8" i="12"/>
  <c r="G110" i="12"/>
  <c r="H110" i="12" s="1"/>
  <c r="U9" i="12"/>
  <c r="E122" i="12"/>
  <c r="D122" i="12"/>
  <c r="B134" i="12"/>
  <c r="C19" i="19"/>
  <c r="N88" i="19" s="1"/>
  <c r="J19" i="18"/>
  <c r="F109" i="12"/>
  <c r="C121" i="12"/>
  <c r="U12" i="12"/>
  <c r="G107" i="12"/>
  <c r="H107" i="12" s="1"/>
  <c r="F120" i="12"/>
  <c r="C132" i="12"/>
  <c r="F105" i="12"/>
  <c r="G105" i="12" s="1"/>
  <c r="H105" i="12" s="1"/>
  <c r="C117" i="12"/>
  <c r="U14" i="12"/>
  <c r="C131" i="12"/>
  <c r="F119" i="12"/>
  <c r="G119" i="12" s="1"/>
  <c r="H119" i="12" s="1"/>
  <c r="M20" i="22"/>
  <c r="F101" i="12"/>
  <c r="C113" i="12"/>
  <c r="E109" i="12"/>
  <c r="D109" i="12"/>
  <c r="B121" i="12"/>
  <c r="G115" i="12"/>
  <c r="H115" i="12" s="1"/>
  <c r="U13" i="12"/>
  <c r="E105" i="12"/>
  <c r="D105" i="12"/>
  <c r="B117" i="12"/>
  <c r="I88" i="12"/>
  <c r="I90" i="12"/>
  <c r="E101" i="12"/>
  <c r="D101" i="12"/>
  <c r="B113" i="12"/>
  <c r="I101" i="12"/>
  <c r="I107" i="11"/>
  <c r="F109" i="11"/>
  <c r="G109" i="11" s="1"/>
  <c r="H109" i="11" s="1"/>
  <c r="C121" i="11"/>
  <c r="F105" i="11"/>
  <c r="G105" i="11" s="1"/>
  <c r="H105" i="11" s="1"/>
  <c r="C117" i="11"/>
  <c r="I97" i="11"/>
  <c r="I92" i="11"/>
  <c r="E120" i="11"/>
  <c r="D120" i="11"/>
  <c r="B132" i="11"/>
  <c r="E115" i="11"/>
  <c r="G115" i="11" s="1"/>
  <c r="H115" i="11" s="1"/>
  <c r="D115" i="11"/>
  <c r="B127" i="11"/>
  <c r="F101" i="11"/>
  <c r="G101" i="11" s="1"/>
  <c r="H101" i="11" s="1"/>
  <c r="C113" i="11"/>
  <c r="D113" i="11" s="1"/>
  <c r="I95" i="11"/>
  <c r="I106" i="11"/>
  <c r="F154" i="11"/>
  <c r="C166" i="11"/>
  <c r="I89" i="11"/>
  <c r="E142" i="11"/>
  <c r="G142" i="11" s="1"/>
  <c r="H142" i="11" s="1"/>
  <c r="D142" i="11"/>
  <c r="B154" i="11"/>
  <c r="I91" i="11"/>
  <c r="E117" i="11"/>
  <c r="D117" i="11"/>
  <c r="B129" i="11"/>
  <c r="N18" i="19"/>
  <c r="N18" i="23" s="1"/>
  <c r="M66" i="23" s="1"/>
  <c r="D105" i="11"/>
  <c r="E116" i="11"/>
  <c r="D116" i="11"/>
  <c r="B128" i="11"/>
  <c r="C19" i="18"/>
  <c r="N88" i="18" s="1"/>
  <c r="O88" i="18" s="1"/>
  <c r="D110" i="11"/>
  <c r="E110" i="11"/>
  <c r="B122" i="11"/>
  <c r="I102" i="11"/>
  <c r="F110" i="11"/>
  <c r="G110" i="11" s="1"/>
  <c r="H110" i="11" s="1"/>
  <c r="C122" i="11"/>
  <c r="I87" i="11"/>
  <c r="E121" i="11"/>
  <c r="D121" i="11"/>
  <c r="B133" i="11"/>
  <c r="I101" i="11"/>
  <c r="E112" i="11"/>
  <c r="D112" i="11"/>
  <c r="B124" i="11"/>
  <c r="D109" i="11"/>
  <c r="E114" i="11"/>
  <c r="D114" i="11"/>
  <c r="B126" i="11"/>
  <c r="I90" i="11"/>
  <c r="F116" i="11"/>
  <c r="G116" i="11" s="1"/>
  <c r="H116" i="11" s="1"/>
  <c r="C128" i="11"/>
  <c r="F107" i="11"/>
  <c r="G107" i="11" s="1"/>
  <c r="H107" i="11" s="1"/>
  <c r="C119" i="11"/>
  <c r="I103" i="11"/>
  <c r="E99" i="11"/>
  <c r="G99" i="11" s="1"/>
  <c r="H99" i="11" s="1"/>
  <c r="D99" i="11"/>
  <c r="I100" i="11" s="1"/>
  <c r="B111" i="11"/>
  <c r="G104" i="11"/>
  <c r="H104" i="11" s="1"/>
  <c r="F111" i="11"/>
  <c r="C123" i="11"/>
  <c r="F114" i="11"/>
  <c r="C126" i="11"/>
  <c r="I93" i="11"/>
  <c r="F127" i="11"/>
  <c r="C139" i="11"/>
  <c r="D56" i="11"/>
  <c r="F56" i="11" s="1"/>
  <c r="T19" i="11"/>
  <c r="T18" i="11"/>
  <c r="T17" i="11"/>
  <c r="T16" i="11"/>
  <c r="T15" i="11"/>
  <c r="T14" i="11"/>
  <c r="T13" i="11"/>
  <c r="T12" i="11"/>
  <c r="T11" i="11"/>
  <c r="S6" i="11"/>
  <c r="T10" i="11"/>
  <c r="T9" i="11"/>
  <c r="T8" i="11"/>
  <c r="T7" i="11"/>
  <c r="I96" i="11"/>
  <c r="E119" i="11"/>
  <c r="D119" i="11"/>
  <c r="B131" i="11"/>
  <c r="I108" i="11"/>
  <c r="I104" i="11"/>
  <c r="G108" i="11"/>
  <c r="H108" i="11" s="1"/>
  <c r="I98" i="11"/>
  <c r="G87" i="11"/>
  <c r="H87" i="11" s="1"/>
  <c r="F120" i="11"/>
  <c r="G120" i="11" s="1"/>
  <c r="H120" i="11" s="1"/>
  <c r="C132" i="11"/>
  <c r="U18" i="9"/>
  <c r="F112" i="11"/>
  <c r="G112" i="11" s="1"/>
  <c r="H112" i="11" s="1"/>
  <c r="C124" i="11"/>
  <c r="E113" i="11"/>
  <c r="B125" i="11"/>
  <c r="E99" i="10"/>
  <c r="G99" i="10" s="1"/>
  <c r="H99" i="10" s="1"/>
  <c r="D99" i="10"/>
  <c r="B111" i="10"/>
  <c r="J18" i="19"/>
  <c r="J18" i="23" s="1"/>
  <c r="I66" i="23" s="1"/>
  <c r="C123" i="10"/>
  <c r="F111" i="10"/>
  <c r="D102" i="10"/>
  <c r="C114" i="10"/>
  <c r="F102" i="10"/>
  <c r="G102" i="10" s="1"/>
  <c r="H102" i="10" s="1"/>
  <c r="J18" i="18"/>
  <c r="J20" i="18" s="1"/>
  <c r="J20" i="16"/>
  <c r="E101" i="10"/>
  <c r="D101" i="10"/>
  <c r="I101" i="10" s="1"/>
  <c r="B113" i="10"/>
  <c r="K18" i="22"/>
  <c r="K20" i="22" s="1"/>
  <c r="I100" i="10"/>
  <c r="G148" i="10"/>
  <c r="H148" i="10" s="1"/>
  <c r="B138" i="10"/>
  <c r="E126" i="10"/>
  <c r="D76" i="16"/>
  <c r="I87" i="16" s="1"/>
  <c r="F20" i="16"/>
  <c r="C131" i="10"/>
  <c r="F119" i="10"/>
  <c r="F105" i="10"/>
  <c r="C117" i="10"/>
  <c r="G180" i="10"/>
  <c r="H180" i="10" s="1"/>
  <c r="B131" i="10"/>
  <c r="E119" i="10"/>
  <c r="D119" i="10"/>
  <c r="G136" i="10"/>
  <c r="H136" i="10" s="1"/>
  <c r="B115" i="10"/>
  <c r="E103" i="10"/>
  <c r="D103" i="10"/>
  <c r="S6" i="10"/>
  <c r="D56" i="10"/>
  <c r="F56" i="10" s="1"/>
  <c r="T19" i="10"/>
  <c r="T18" i="10"/>
  <c r="T10" i="10"/>
  <c r="T8" i="10"/>
  <c r="T9" i="10"/>
  <c r="T17" i="10"/>
  <c r="T16" i="10"/>
  <c r="T13" i="10"/>
  <c r="T15" i="10"/>
  <c r="T14" i="10"/>
  <c r="T12" i="10"/>
  <c r="T11" i="10"/>
  <c r="T7" i="10"/>
  <c r="I99" i="10"/>
  <c r="F101" i="10"/>
  <c r="C113" i="10"/>
  <c r="G144" i="10"/>
  <c r="H144" i="10" s="1"/>
  <c r="G128" i="10"/>
  <c r="H128" i="10" s="1"/>
  <c r="B122" i="10"/>
  <c r="D110" i="10"/>
  <c r="E110" i="10"/>
  <c r="G120" i="10"/>
  <c r="H120" i="10" s="1"/>
  <c r="G184" i="10"/>
  <c r="H184" i="10" s="1"/>
  <c r="F109" i="10"/>
  <c r="C121" i="10"/>
  <c r="L18" i="18"/>
  <c r="L20" i="18" s="1"/>
  <c r="E109" i="10"/>
  <c r="D109" i="10"/>
  <c r="B121" i="10"/>
  <c r="B154" i="10"/>
  <c r="D142" i="10"/>
  <c r="E142" i="10"/>
  <c r="C56" i="16"/>
  <c r="S6" i="16" s="1"/>
  <c r="K27" i="16" s="1"/>
  <c r="I108" i="10"/>
  <c r="E68" i="16"/>
  <c r="E67" i="16"/>
  <c r="D77" i="16"/>
  <c r="I88" i="16" s="1"/>
  <c r="C115" i="10"/>
  <c r="F103" i="10"/>
  <c r="F18" i="19"/>
  <c r="F18" i="23" s="1"/>
  <c r="E66" i="23" s="1"/>
  <c r="E105" i="10"/>
  <c r="B117" i="10"/>
  <c r="D105" i="10"/>
  <c r="C122" i="10"/>
  <c r="F110" i="10"/>
  <c r="P18" i="16"/>
  <c r="I98" i="10"/>
  <c r="C154" i="10"/>
  <c r="F142" i="10"/>
  <c r="G142" i="10" s="1"/>
  <c r="H142" i="10" s="1"/>
  <c r="G112" i="10"/>
  <c r="H112" i="10" s="1"/>
  <c r="G160" i="10"/>
  <c r="H160" i="10" s="1"/>
  <c r="P7" i="16"/>
  <c r="Q8" i="16" s="1"/>
  <c r="B68" i="16"/>
  <c r="L20" i="16"/>
  <c r="G208" i="10"/>
  <c r="H208" i="10" s="1"/>
  <c r="C130" i="8"/>
  <c r="F118" i="8"/>
  <c r="G118" i="8" s="1"/>
  <c r="H118" i="8" s="1"/>
  <c r="E99" i="8"/>
  <c r="D99" i="8"/>
  <c r="I99" i="8" s="1"/>
  <c r="B111" i="8"/>
  <c r="P19" i="16"/>
  <c r="E109" i="8"/>
  <c r="D109" i="8"/>
  <c r="B121" i="8"/>
  <c r="I97" i="8"/>
  <c r="J66" i="16"/>
  <c r="K18" i="18"/>
  <c r="J66" i="18" s="1"/>
  <c r="L20" i="15"/>
  <c r="F117" i="8"/>
  <c r="C129" i="8"/>
  <c r="G67" i="15"/>
  <c r="G105" i="8"/>
  <c r="H105" i="8" s="1"/>
  <c r="I90" i="8"/>
  <c r="E143" i="8"/>
  <c r="G143" i="8" s="1"/>
  <c r="H143" i="8" s="1"/>
  <c r="D143" i="8"/>
  <c r="B155" i="8"/>
  <c r="F100" i="8"/>
  <c r="C112" i="8"/>
  <c r="F113" i="8"/>
  <c r="C125" i="8"/>
  <c r="F108" i="8"/>
  <c r="C120" i="8"/>
  <c r="K67" i="15"/>
  <c r="E108" i="8"/>
  <c r="D108" i="8"/>
  <c r="B120" i="8"/>
  <c r="G101" i="8"/>
  <c r="H101" i="8" s="1"/>
  <c r="E104" i="8"/>
  <c r="G104" i="8" s="1"/>
  <c r="H104" i="8" s="1"/>
  <c r="D104" i="8"/>
  <c r="B116" i="8"/>
  <c r="I93" i="8"/>
  <c r="E105" i="8"/>
  <c r="D105" i="8"/>
  <c r="B117" i="8"/>
  <c r="E100" i="8"/>
  <c r="D100" i="8"/>
  <c r="B112" i="8"/>
  <c r="P18" i="15"/>
  <c r="R88" i="16"/>
  <c r="S88" i="16" s="1"/>
  <c r="T88" i="16" s="1"/>
  <c r="U88" i="16" s="1"/>
  <c r="V88" i="16" s="1"/>
  <c r="W88" i="16" s="1"/>
  <c r="X88" i="16" s="1"/>
  <c r="Y88" i="16" s="1"/>
  <c r="C56" i="15"/>
  <c r="D56" i="15" s="1"/>
  <c r="F56" i="15" s="1"/>
  <c r="I97" i="16"/>
  <c r="S86" i="15"/>
  <c r="T86" i="15" s="1"/>
  <c r="U86" i="15" s="1"/>
  <c r="V86" i="15" s="1"/>
  <c r="W86" i="15" s="1"/>
  <c r="X86" i="15" s="1"/>
  <c r="Y86" i="15" s="1"/>
  <c r="F114" i="8"/>
  <c r="C126" i="8"/>
  <c r="D56" i="8"/>
  <c r="F56" i="8" s="1"/>
  <c r="T19" i="8"/>
  <c r="T15" i="8"/>
  <c r="T18" i="8"/>
  <c r="T17" i="8"/>
  <c r="T16" i="8"/>
  <c r="T12" i="8"/>
  <c r="T11" i="8"/>
  <c r="T10" i="8"/>
  <c r="T9" i="8"/>
  <c r="T7" i="8"/>
  <c r="T8" i="8"/>
  <c r="S6" i="8"/>
  <c r="T14" i="8"/>
  <c r="T13" i="8"/>
  <c r="I87" i="8"/>
  <c r="E114" i="8"/>
  <c r="D114" i="8"/>
  <c r="B126" i="8"/>
  <c r="E101" i="8"/>
  <c r="D101" i="8"/>
  <c r="B113" i="8"/>
  <c r="E110" i="8"/>
  <c r="D110" i="8"/>
  <c r="B122" i="8"/>
  <c r="L18" i="19"/>
  <c r="L18" i="23" s="1"/>
  <c r="K66" i="23" s="1"/>
  <c r="N19" i="19"/>
  <c r="N19" i="23" s="1"/>
  <c r="K20" i="15"/>
  <c r="N20" i="16"/>
  <c r="I88" i="8"/>
  <c r="I89" i="8"/>
  <c r="I94" i="8"/>
  <c r="D118" i="8"/>
  <c r="G99" i="8"/>
  <c r="H99" i="8" s="1"/>
  <c r="F121" i="8"/>
  <c r="C133" i="8"/>
  <c r="E142" i="8"/>
  <c r="B154" i="8"/>
  <c r="I20" i="16"/>
  <c r="G109" i="8"/>
  <c r="H109" i="8" s="1"/>
  <c r="I94" i="15"/>
  <c r="U10" i="9"/>
  <c r="F110" i="8"/>
  <c r="G110" i="8" s="1"/>
  <c r="H110" i="8" s="1"/>
  <c r="C122" i="8"/>
  <c r="T87" i="15"/>
  <c r="U87" i="15" s="1"/>
  <c r="V87" i="15" s="1"/>
  <c r="W87" i="15" s="1"/>
  <c r="X87" i="15" s="1"/>
  <c r="Y87" i="15" s="1"/>
  <c r="F116" i="8"/>
  <c r="C128" i="8"/>
  <c r="E115" i="8"/>
  <c r="G115" i="8" s="1"/>
  <c r="H115" i="8" s="1"/>
  <c r="D115" i="8"/>
  <c r="B127" i="8"/>
  <c r="CS43" i="17"/>
  <c r="DG47" i="17"/>
  <c r="DO49" i="17"/>
  <c r="DO48" i="17"/>
  <c r="BE49" i="17"/>
  <c r="BE48" i="17"/>
  <c r="BE50" i="17"/>
  <c r="M59" i="17"/>
  <c r="N59" i="17" s="1"/>
  <c r="O59" i="17" s="1"/>
  <c r="DN48" i="17"/>
  <c r="CH48" i="17"/>
  <c r="CX41" i="17"/>
  <c r="CH50" i="17"/>
  <c r="CH49" i="17"/>
  <c r="CQ60" i="17"/>
  <c r="CR60" i="17" s="1"/>
  <c r="CS60" i="17" s="1"/>
  <c r="CT60" i="17" s="1"/>
  <c r="CU60" i="17" s="1"/>
  <c r="CV60" i="17" s="1"/>
  <c r="CQ43" i="17"/>
  <c r="DE42" i="17"/>
  <c r="DF42" i="17" s="1"/>
  <c r="DE47" i="17"/>
  <c r="DN49" i="17"/>
  <c r="AA49" i="17"/>
  <c r="AA48" i="17"/>
  <c r="AA50" i="17"/>
  <c r="DM49" i="17"/>
  <c r="AQ59" i="17"/>
  <c r="AR59" i="17" s="1"/>
  <c r="AS59" i="17" s="1"/>
  <c r="DB58" i="17"/>
  <c r="DJ48" i="17"/>
  <c r="DP50" i="17"/>
  <c r="CV43" i="17"/>
  <c r="DF36" i="17"/>
  <c r="DF31" i="17"/>
  <c r="M69" i="18"/>
  <c r="G99" i="9"/>
  <c r="H99" i="9" s="1"/>
  <c r="U8" i="9"/>
  <c r="E103" i="9"/>
  <c r="B115" i="9"/>
  <c r="D103" i="9"/>
  <c r="B110" i="9"/>
  <c r="E98" i="9"/>
  <c r="D98" i="9"/>
  <c r="F111" i="9"/>
  <c r="C123" i="9"/>
  <c r="U9" i="9"/>
  <c r="H67" i="15"/>
  <c r="I90" i="15"/>
  <c r="E100" i="9"/>
  <c r="D100" i="9"/>
  <c r="B112" i="9"/>
  <c r="F98" i="9"/>
  <c r="G98" i="9" s="1"/>
  <c r="H98" i="9" s="1"/>
  <c r="C110" i="9"/>
  <c r="U16" i="9"/>
  <c r="I99" i="9"/>
  <c r="F116" i="9"/>
  <c r="C128" i="9"/>
  <c r="F112" i="9"/>
  <c r="C124" i="9"/>
  <c r="E104" i="9"/>
  <c r="G104" i="9" s="1"/>
  <c r="H104" i="9" s="1"/>
  <c r="D104" i="9"/>
  <c r="B116" i="9"/>
  <c r="Q86" i="16"/>
  <c r="R86" i="16" s="1"/>
  <c r="S86" i="16" s="1"/>
  <c r="T86" i="16" s="1"/>
  <c r="U86" i="16" s="1"/>
  <c r="V86" i="16" s="1"/>
  <c r="W86" i="16" s="1"/>
  <c r="X86" i="16" s="1"/>
  <c r="Y86" i="16" s="1"/>
  <c r="K27" i="9"/>
  <c r="AI2" i="9"/>
  <c r="U17" i="9"/>
  <c r="E69" i="16"/>
  <c r="H69" i="15"/>
  <c r="I90" i="9"/>
  <c r="E101" i="9"/>
  <c r="D101" i="9"/>
  <c r="B113" i="9"/>
  <c r="G100" i="9"/>
  <c r="H100" i="9" s="1"/>
  <c r="I92" i="9"/>
  <c r="I91" i="9"/>
  <c r="U11" i="9"/>
  <c r="U12" i="9"/>
  <c r="O88" i="19"/>
  <c r="P88" i="19" s="1"/>
  <c r="M67" i="18"/>
  <c r="U13" i="9"/>
  <c r="I87" i="9"/>
  <c r="C18" i="23"/>
  <c r="C20" i="23" s="1"/>
  <c r="N20" i="18"/>
  <c r="G108" i="9"/>
  <c r="H108" i="9" s="1"/>
  <c r="E105" i="9"/>
  <c r="D105" i="9"/>
  <c r="B117" i="9"/>
  <c r="L66" i="15"/>
  <c r="M20" i="15"/>
  <c r="E108" i="9"/>
  <c r="D108" i="9"/>
  <c r="B120" i="9"/>
  <c r="F120" i="9"/>
  <c r="C132" i="9"/>
  <c r="G68" i="15"/>
  <c r="G69" i="15"/>
  <c r="H68" i="15"/>
  <c r="I95" i="9"/>
  <c r="E99" i="9"/>
  <c r="D99" i="9"/>
  <c r="B111" i="9"/>
  <c r="F118" i="9"/>
  <c r="C130" i="9"/>
  <c r="N57" i="9"/>
  <c r="C126" i="9"/>
  <c r="F114" i="9"/>
  <c r="I102" i="9"/>
  <c r="Q18" i="9"/>
  <c r="I92" i="15"/>
  <c r="F115" i="9"/>
  <c r="C127" i="9"/>
  <c r="E107" i="9"/>
  <c r="G107" i="9" s="1"/>
  <c r="H107" i="9" s="1"/>
  <c r="D107" i="9"/>
  <c r="B119" i="9"/>
  <c r="P17" i="15"/>
  <c r="F109" i="9"/>
  <c r="C121" i="9"/>
  <c r="F119" i="9"/>
  <c r="C131" i="9"/>
  <c r="I87" i="15"/>
  <c r="F105" i="9"/>
  <c r="C117" i="9"/>
  <c r="B126" i="9"/>
  <c r="E114" i="9"/>
  <c r="D114" i="9"/>
  <c r="F101" i="9"/>
  <c r="G101" i="9" s="1"/>
  <c r="H101" i="9" s="1"/>
  <c r="C113" i="9"/>
  <c r="E118" i="9"/>
  <c r="D118" i="9"/>
  <c r="B130" i="9"/>
  <c r="G103" i="9"/>
  <c r="H103" i="9" s="1"/>
  <c r="I98" i="9"/>
  <c r="E109" i="9"/>
  <c r="D109" i="9"/>
  <c r="B121" i="9"/>
  <c r="C66" i="16"/>
  <c r="O87" i="16"/>
  <c r="P87" i="16" s="1"/>
  <c r="Q87" i="16" s="1"/>
  <c r="R87" i="16" s="1"/>
  <c r="S87" i="16" s="1"/>
  <c r="T87" i="16" s="1"/>
  <c r="U87" i="16" s="1"/>
  <c r="V87" i="16" s="1"/>
  <c r="W87" i="16" s="1"/>
  <c r="X87" i="16" s="1"/>
  <c r="Y87" i="16" s="1"/>
  <c r="D20" i="16"/>
  <c r="I101" i="9"/>
  <c r="I100" i="9"/>
  <c r="F112" i="16"/>
  <c r="C124" i="16"/>
  <c r="F118" i="16"/>
  <c r="C130" i="16"/>
  <c r="B68" i="18"/>
  <c r="J10" i="23"/>
  <c r="P14" i="19"/>
  <c r="B69" i="19"/>
  <c r="V83" i="19"/>
  <c r="W83" i="19" s="1"/>
  <c r="X83" i="19" s="1"/>
  <c r="Y83" i="19" s="1"/>
  <c r="O85" i="18"/>
  <c r="F99" i="16"/>
  <c r="G99" i="16" s="1"/>
  <c r="H99" i="16" s="1"/>
  <c r="C111" i="16"/>
  <c r="E112" i="16"/>
  <c r="D112" i="16"/>
  <c r="B124" i="16"/>
  <c r="C150" i="16"/>
  <c r="F138" i="16"/>
  <c r="J67" i="19"/>
  <c r="C67" i="18"/>
  <c r="X80" i="18"/>
  <c r="Y80" i="18" s="1"/>
  <c r="C68" i="19"/>
  <c r="F103" i="16"/>
  <c r="G103" i="16" s="1"/>
  <c r="H103" i="16" s="1"/>
  <c r="C115" i="16"/>
  <c r="E109" i="16"/>
  <c r="D109" i="16"/>
  <c r="B121" i="16"/>
  <c r="D101" i="16"/>
  <c r="B113" i="16"/>
  <c r="E101" i="16"/>
  <c r="B110" i="16"/>
  <c r="D98" i="16"/>
  <c r="I98" i="16" s="1"/>
  <c r="E98" i="16"/>
  <c r="G98" i="16" s="1"/>
  <c r="H98" i="16" s="1"/>
  <c r="C67" i="19"/>
  <c r="E99" i="16"/>
  <c r="D99" i="16"/>
  <c r="B111" i="16"/>
  <c r="G95" i="16"/>
  <c r="H95" i="16" s="1"/>
  <c r="C15" i="23"/>
  <c r="N84" i="23" s="1"/>
  <c r="O84" i="23" s="1"/>
  <c r="P84" i="23" s="1"/>
  <c r="Q84" i="23" s="1"/>
  <c r="R84" i="23" s="1"/>
  <c r="S84" i="23" s="1"/>
  <c r="T84" i="23" s="1"/>
  <c r="U84" i="23" s="1"/>
  <c r="V84" i="23" s="1"/>
  <c r="W84" i="23" s="1"/>
  <c r="X84" i="23" s="1"/>
  <c r="Y84" i="23" s="1"/>
  <c r="E138" i="16"/>
  <c r="D138" i="16"/>
  <c r="B150" i="16"/>
  <c r="G132" i="16"/>
  <c r="H132" i="16" s="1"/>
  <c r="E131" i="16"/>
  <c r="D131" i="16"/>
  <c r="B143" i="16"/>
  <c r="F101" i="16"/>
  <c r="G101" i="16" s="1"/>
  <c r="H101" i="16" s="1"/>
  <c r="C113" i="16"/>
  <c r="E105" i="16"/>
  <c r="D105" i="16"/>
  <c r="B117" i="16"/>
  <c r="G104" i="16"/>
  <c r="H104" i="16" s="1"/>
  <c r="L69" i="19"/>
  <c r="C19" i="23"/>
  <c r="N88" i="23" s="1"/>
  <c r="O88" i="23" s="1"/>
  <c r="P88" i="23" s="1"/>
  <c r="N10" i="23"/>
  <c r="F66" i="22"/>
  <c r="M68" i="18"/>
  <c r="C128" i="16"/>
  <c r="F116" i="16"/>
  <c r="G116" i="16" s="1"/>
  <c r="H116" i="16" s="1"/>
  <c r="D67" i="18"/>
  <c r="F68" i="19"/>
  <c r="P10" i="18"/>
  <c r="Q10" i="18" s="1"/>
  <c r="E103" i="16"/>
  <c r="D103" i="16"/>
  <c r="B115" i="16"/>
  <c r="F131" i="16"/>
  <c r="G131" i="16" s="1"/>
  <c r="H131" i="16" s="1"/>
  <c r="C143" i="16"/>
  <c r="P79" i="18"/>
  <c r="Q79" i="18" s="1"/>
  <c r="R79" i="18" s="1"/>
  <c r="S79" i="18" s="1"/>
  <c r="T79" i="18" s="1"/>
  <c r="U79" i="18" s="1"/>
  <c r="V79" i="18" s="1"/>
  <c r="W79" i="18" s="1"/>
  <c r="X79" i="18" s="1"/>
  <c r="Y79" i="18" s="1"/>
  <c r="P15" i="23"/>
  <c r="D67" i="19"/>
  <c r="K14" i="23"/>
  <c r="V83" i="23" s="1"/>
  <c r="W83" i="23" s="1"/>
  <c r="X83" i="23" s="1"/>
  <c r="Y83" i="23" s="1"/>
  <c r="G144" i="16"/>
  <c r="H144" i="16" s="1"/>
  <c r="F156" i="16"/>
  <c r="C168" i="16"/>
  <c r="E118" i="16"/>
  <c r="D118" i="16"/>
  <c r="B130" i="16"/>
  <c r="F109" i="16"/>
  <c r="G109" i="16" s="1"/>
  <c r="H109" i="16" s="1"/>
  <c r="C121" i="16"/>
  <c r="F105" i="16"/>
  <c r="C117" i="16"/>
  <c r="N81" i="19"/>
  <c r="C12" i="23"/>
  <c r="N81" i="23" s="1"/>
  <c r="O81" i="23" s="1"/>
  <c r="P81" i="23" s="1"/>
  <c r="Q81" i="23" s="1"/>
  <c r="R81" i="23" s="1"/>
  <c r="S81" i="23" s="1"/>
  <c r="T81" i="23" s="1"/>
  <c r="U81" i="23" s="1"/>
  <c r="V81" i="23" s="1"/>
  <c r="W81" i="23" s="1"/>
  <c r="X81" i="23" s="1"/>
  <c r="Y81" i="23" s="1"/>
  <c r="E116" i="16"/>
  <c r="B128" i="16"/>
  <c r="D116" i="16"/>
  <c r="E156" i="16"/>
  <c r="D156" i="16"/>
  <c r="B168" i="16"/>
  <c r="F110" i="16"/>
  <c r="C122" i="16"/>
  <c r="U13" i="6"/>
  <c r="B131" i="15"/>
  <c r="E119" i="15"/>
  <c r="D119" i="15"/>
  <c r="I86" i="15"/>
  <c r="E129" i="15"/>
  <c r="B141" i="15"/>
  <c r="I89" i="15"/>
  <c r="G90" i="15"/>
  <c r="H90" i="15" s="1"/>
  <c r="C114" i="15"/>
  <c r="F102" i="15"/>
  <c r="G102" i="15" s="1"/>
  <c r="H102" i="15" s="1"/>
  <c r="Q15" i="15"/>
  <c r="Q16" i="15"/>
  <c r="F98" i="15"/>
  <c r="C110" i="15"/>
  <c r="D98" i="15"/>
  <c r="I99" i="15" s="1"/>
  <c r="E98" i="15"/>
  <c r="B110" i="15"/>
  <c r="I97" i="15"/>
  <c r="I96" i="15"/>
  <c r="T8" i="15"/>
  <c r="T17" i="15"/>
  <c r="T7" i="15"/>
  <c r="I85" i="15"/>
  <c r="B132" i="15"/>
  <c r="E120" i="15"/>
  <c r="D120" i="15"/>
  <c r="F136" i="15"/>
  <c r="C148" i="15"/>
  <c r="B154" i="15"/>
  <c r="E142" i="15"/>
  <c r="G142" i="15" s="1"/>
  <c r="H142" i="15" s="1"/>
  <c r="D142" i="15"/>
  <c r="F115" i="15"/>
  <c r="C127" i="15"/>
  <c r="I93" i="15"/>
  <c r="I88" i="15"/>
  <c r="B127" i="15"/>
  <c r="E115" i="15"/>
  <c r="D115" i="15"/>
  <c r="F104" i="15"/>
  <c r="G104" i="15" s="1"/>
  <c r="H104" i="15" s="1"/>
  <c r="C116" i="15"/>
  <c r="D104" i="15"/>
  <c r="B124" i="15"/>
  <c r="D112" i="15"/>
  <c r="E112" i="15"/>
  <c r="G112" i="15" s="1"/>
  <c r="H112" i="15" s="1"/>
  <c r="B114" i="15"/>
  <c r="E102" i="15"/>
  <c r="D102" i="15"/>
  <c r="C166" i="15"/>
  <c r="F154" i="15"/>
  <c r="Q10" i="15"/>
  <c r="D111" i="15"/>
  <c r="E111" i="15"/>
  <c r="B123" i="15"/>
  <c r="F120" i="15"/>
  <c r="C132" i="15"/>
  <c r="E121" i="15"/>
  <c r="D121" i="15"/>
  <c r="B133" i="15"/>
  <c r="B128" i="15"/>
  <c r="D116" i="15"/>
  <c r="E116" i="15"/>
  <c r="F119" i="15"/>
  <c r="G119" i="15" s="1"/>
  <c r="H119" i="15" s="1"/>
  <c r="C131" i="15"/>
  <c r="E101" i="15"/>
  <c r="D101" i="15"/>
  <c r="B113" i="15"/>
  <c r="F109" i="15"/>
  <c r="G109" i="15" s="1"/>
  <c r="H109" i="15" s="1"/>
  <c r="C121" i="15"/>
  <c r="D109" i="15"/>
  <c r="F105" i="15"/>
  <c r="G105" i="15" s="1"/>
  <c r="H105" i="15" s="1"/>
  <c r="C117" i="15"/>
  <c r="G107" i="15"/>
  <c r="H107" i="15" s="1"/>
  <c r="F101" i="15"/>
  <c r="C113" i="15"/>
  <c r="I91" i="15"/>
  <c r="F99" i="15"/>
  <c r="G99" i="15" s="1"/>
  <c r="H99" i="15" s="1"/>
  <c r="C111" i="15"/>
  <c r="Q14" i="15"/>
  <c r="I95" i="15"/>
  <c r="I106" i="7"/>
  <c r="E118" i="7"/>
  <c r="B130" i="7"/>
  <c r="D118" i="7"/>
  <c r="O88" i="14"/>
  <c r="P88" i="14" s="1"/>
  <c r="J18" i="22"/>
  <c r="J20" i="22" s="1"/>
  <c r="F111" i="7"/>
  <c r="G111" i="7" s="1"/>
  <c r="H111" i="7" s="1"/>
  <c r="C123" i="7"/>
  <c r="D111" i="7"/>
  <c r="D56" i="7"/>
  <c r="F56" i="7" s="1"/>
  <c r="S6" i="7"/>
  <c r="T15" i="7"/>
  <c r="T14" i="7"/>
  <c r="T12" i="7"/>
  <c r="T11" i="7"/>
  <c r="T9" i="7"/>
  <c r="T10" i="7"/>
  <c r="T19" i="7"/>
  <c r="T18" i="7"/>
  <c r="T17" i="7"/>
  <c r="T16" i="7"/>
  <c r="T13" i="7"/>
  <c r="T8" i="7"/>
  <c r="T7" i="7"/>
  <c r="F125" i="7"/>
  <c r="C137" i="7"/>
  <c r="I101" i="7"/>
  <c r="I100" i="7"/>
  <c r="F20" i="14"/>
  <c r="G93" i="7"/>
  <c r="H93" i="7" s="1"/>
  <c r="F112" i="7"/>
  <c r="C124" i="7"/>
  <c r="J20" i="14"/>
  <c r="I91" i="7"/>
  <c r="I94" i="7"/>
  <c r="B155" i="7"/>
  <c r="E143" i="7"/>
  <c r="I96" i="7"/>
  <c r="I89" i="7"/>
  <c r="I104" i="7"/>
  <c r="F118" i="7"/>
  <c r="G118" i="7" s="1"/>
  <c r="H118" i="7" s="1"/>
  <c r="C130" i="7"/>
  <c r="D116" i="7"/>
  <c r="B128" i="7"/>
  <c r="E116" i="7"/>
  <c r="I99" i="7"/>
  <c r="F105" i="7"/>
  <c r="C117" i="7"/>
  <c r="E66" i="25"/>
  <c r="O87" i="14"/>
  <c r="P87" i="14" s="1"/>
  <c r="Q87" i="14" s="1"/>
  <c r="R87" i="14" s="1"/>
  <c r="S87" i="14" s="1"/>
  <c r="T87" i="14" s="1"/>
  <c r="U87" i="14" s="1"/>
  <c r="V87" i="14" s="1"/>
  <c r="W87" i="14" s="1"/>
  <c r="X87" i="14" s="1"/>
  <c r="Y87" i="14" s="1"/>
  <c r="U14" i="6"/>
  <c r="I102" i="7"/>
  <c r="C110" i="7"/>
  <c r="D110" i="7" s="1"/>
  <c r="F98" i="7"/>
  <c r="G98" i="7" s="1"/>
  <c r="H98" i="7" s="1"/>
  <c r="E105" i="7"/>
  <c r="D105" i="7"/>
  <c r="B117" i="7"/>
  <c r="I90" i="7"/>
  <c r="U16" i="6"/>
  <c r="F115" i="7"/>
  <c r="G115" i="7" s="1"/>
  <c r="H115" i="7" s="1"/>
  <c r="C127" i="7"/>
  <c r="C126" i="7"/>
  <c r="F114" i="7"/>
  <c r="G114" i="7" s="1"/>
  <c r="H114" i="7" s="1"/>
  <c r="D114" i="7"/>
  <c r="D98" i="7"/>
  <c r="D100" i="7"/>
  <c r="E100" i="7"/>
  <c r="G100" i="7" s="1"/>
  <c r="H100" i="7" s="1"/>
  <c r="B112" i="7"/>
  <c r="F121" i="7"/>
  <c r="C133" i="7"/>
  <c r="I93" i="7"/>
  <c r="B122" i="7"/>
  <c r="E110" i="7"/>
  <c r="I87" i="7"/>
  <c r="G20" i="25"/>
  <c r="U9" i="6"/>
  <c r="G107" i="7"/>
  <c r="H107" i="7" s="1"/>
  <c r="B137" i="7"/>
  <c r="E125" i="7"/>
  <c r="D125" i="7"/>
  <c r="E109" i="7"/>
  <c r="G109" i="7" s="1"/>
  <c r="H109" i="7" s="1"/>
  <c r="D109" i="7"/>
  <c r="B121" i="7"/>
  <c r="F119" i="7"/>
  <c r="G119" i="7" s="1"/>
  <c r="H119" i="7" s="1"/>
  <c r="C131" i="7"/>
  <c r="G20" i="14"/>
  <c r="B127" i="7"/>
  <c r="E115" i="7"/>
  <c r="D115" i="7"/>
  <c r="C128" i="7"/>
  <c r="F116" i="7"/>
  <c r="I97" i="7"/>
  <c r="I92" i="7"/>
  <c r="F120" i="7"/>
  <c r="C132" i="7"/>
  <c r="E150" i="7"/>
  <c r="B162" i="7"/>
  <c r="D108" i="7"/>
  <c r="B120" i="7"/>
  <c r="E108" i="7"/>
  <c r="G108" i="7" s="1"/>
  <c r="H108" i="7" s="1"/>
  <c r="I107" i="7"/>
  <c r="I105" i="7"/>
  <c r="E103" i="6"/>
  <c r="G103" i="6" s="1"/>
  <c r="H103" i="6" s="1"/>
  <c r="B115" i="6"/>
  <c r="D103" i="6"/>
  <c r="C130" i="6"/>
  <c r="F118" i="6"/>
  <c r="M66" i="25"/>
  <c r="C56" i="25"/>
  <c r="S6" i="25" s="1"/>
  <c r="E99" i="6"/>
  <c r="D99" i="6"/>
  <c r="B111" i="6"/>
  <c r="F109" i="6"/>
  <c r="G109" i="6" s="1"/>
  <c r="H109" i="6" s="1"/>
  <c r="C121" i="6"/>
  <c r="G106" i="6"/>
  <c r="H106" i="6" s="1"/>
  <c r="N20" i="13"/>
  <c r="F105" i="6"/>
  <c r="C117" i="6"/>
  <c r="G86" i="6"/>
  <c r="H86" i="6" s="1"/>
  <c r="E107" i="6"/>
  <c r="G107" i="6" s="1"/>
  <c r="H107" i="6" s="1"/>
  <c r="D107" i="6"/>
  <c r="B119" i="6"/>
  <c r="F101" i="6"/>
  <c r="G101" i="6" s="1"/>
  <c r="H101" i="6" s="1"/>
  <c r="C113" i="6"/>
  <c r="E109" i="6"/>
  <c r="D109" i="6"/>
  <c r="B121" i="6"/>
  <c r="P18" i="25"/>
  <c r="L68" i="14"/>
  <c r="E105" i="6"/>
  <c r="D105" i="6"/>
  <c r="B117" i="6"/>
  <c r="K68" i="25"/>
  <c r="E101" i="6"/>
  <c r="D101" i="6"/>
  <c r="B113" i="6"/>
  <c r="L20" i="13"/>
  <c r="G99" i="6"/>
  <c r="H99" i="6" s="1"/>
  <c r="G102" i="6"/>
  <c r="H102" i="6" s="1"/>
  <c r="U10" i="6"/>
  <c r="I97" i="6"/>
  <c r="I96" i="6"/>
  <c r="I95" i="6"/>
  <c r="I94" i="6"/>
  <c r="K67" i="14"/>
  <c r="P17" i="25"/>
  <c r="Q17" i="25" s="1"/>
  <c r="I88" i="13"/>
  <c r="U8" i="6"/>
  <c r="K67" i="13"/>
  <c r="N87" i="25"/>
  <c r="O87" i="25" s="1"/>
  <c r="P87" i="25" s="1"/>
  <c r="Q87" i="25" s="1"/>
  <c r="R87" i="25" s="1"/>
  <c r="S87" i="25" s="1"/>
  <c r="T87" i="25" s="1"/>
  <c r="U87" i="25" s="1"/>
  <c r="V87" i="25" s="1"/>
  <c r="W87" i="25" s="1"/>
  <c r="X87" i="25" s="1"/>
  <c r="Y87" i="25" s="1"/>
  <c r="C20" i="25"/>
  <c r="B66" i="25"/>
  <c r="U11" i="6"/>
  <c r="K20" i="13"/>
  <c r="K68" i="13"/>
  <c r="U12" i="6"/>
  <c r="I103" i="6"/>
  <c r="I90" i="6"/>
  <c r="F110" i="6"/>
  <c r="C122" i="6"/>
  <c r="C56" i="13"/>
  <c r="T9" i="13" s="1"/>
  <c r="K67" i="25"/>
  <c r="F108" i="6"/>
  <c r="C120" i="6"/>
  <c r="U15" i="6"/>
  <c r="E110" i="6"/>
  <c r="D110" i="6"/>
  <c r="B122" i="6"/>
  <c r="Q88" i="14"/>
  <c r="R88" i="14" s="1"/>
  <c r="S88" i="14" s="1"/>
  <c r="T88" i="14" s="1"/>
  <c r="U88" i="14" s="1"/>
  <c r="V88" i="14" s="1"/>
  <c r="W88" i="14" s="1"/>
  <c r="X88" i="14" s="1"/>
  <c r="Y88" i="14" s="1"/>
  <c r="F104" i="6"/>
  <c r="G104" i="6" s="1"/>
  <c r="H104" i="6" s="1"/>
  <c r="C116" i="6"/>
  <c r="K20" i="25"/>
  <c r="I69" i="13"/>
  <c r="P18" i="13"/>
  <c r="F18" i="22"/>
  <c r="F20" i="22" s="1"/>
  <c r="J17" i="19"/>
  <c r="I66" i="19" s="1"/>
  <c r="F100" i="6"/>
  <c r="G100" i="6" s="1"/>
  <c r="H100" i="6" s="1"/>
  <c r="C112" i="6"/>
  <c r="U17" i="6"/>
  <c r="J17" i="18"/>
  <c r="E108" i="6"/>
  <c r="D108" i="6"/>
  <c r="B120" i="6"/>
  <c r="AI2" i="6"/>
  <c r="K27" i="6"/>
  <c r="U18" i="6"/>
  <c r="J20" i="13"/>
  <c r="N17" i="19"/>
  <c r="M69" i="19" s="1"/>
  <c r="I69" i="14"/>
  <c r="E104" i="6"/>
  <c r="D104" i="6"/>
  <c r="B116" i="6"/>
  <c r="E126" i="6"/>
  <c r="D126" i="6"/>
  <c r="B138" i="6"/>
  <c r="E100" i="6"/>
  <c r="D100" i="6"/>
  <c r="B112" i="6"/>
  <c r="I93" i="6"/>
  <c r="K68" i="14"/>
  <c r="K69" i="13"/>
  <c r="J68" i="25"/>
  <c r="T86" i="25"/>
  <c r="U86" i="25" s="1"/>
  <c r="V86" i="25" s="1"/>
  <c r="W86" i="25" s="1"/>
  <c r="X86" i="25" s="1"/>
  <c r="Y86" i="25" s="1"/>
  <c r="I20" i="14"/>
  <c r="O88" i="25"/>
  <c r="P88" i="25" s="1"/>
  <c r="Q88" i="25" s="1"/>
  <c r="R88" i="25" s="1"/>
  <c r="S88" i="25" s="1"/>
  <c r="T88" i="25" s="1"/>
  <c r="U88" i="25" s="1"/>
  <c r="V88" i="25" s="1"/>
  <c r="W88" i="25" s="1"/>
  <c r="X88" i="25" s="1"/>
  <c r="Y88" i="25" s="1"/>
  <c r="C138" i="6"/>
  <c r="F126" i="6"/>
  <c r="E118" i="6"/>
  <c r="B130" i="6"/>
  <c r="D118" i="6"/>
  <c r="I102" i="6"/>
  <c r="K69" i="25"/>
  <c r="I98" i="6"/>
  <c r="I91" i="6"/>
  <c r="I87" i="6"/>
  <c r="D104" i="5"/>
  <c r="I115" i="5" s="1"/>
  <c r="E104" i="5"/>
  <c r="B116" i="5"/>
  <c r="T18" i="5"/>
  <c r="T19" i="5"/>
  <c r="S6" i="5"/>
  <c r="D56" i="5"/>
  <c r="F56" i="5" s="1"/>
  <c r="T16" i="5"/>
  <c r="T15" i="5"/>
  <c r="T13" i="5"/>
  <c r="T14" i="5"/>
  <c r="T17" i="5"/>
  <c r="T12" i="5"/>
  <c r="T11" i="5"/>
  <c r="T10" i="5"/>
  <c r="U10" i="5" s="1"/>
  <c r="E117" i="5"/>
  <c r="B129" i="5"/>
  <c r="D117" i="5"/>
  <c r="N18" i="22"/>
  <c r="E132" i="5"/>
  <c r="B144" i="5"/>
  <c r="F104" i="5"/>
  <c r="C116" i="5"/>
  <c r="E167" i="5"/>
  <c r="B179" i="5"/>
  <c r="E147" i="5"/>
  <c r="G147" i="5" s="1"/>
  <c r="H147" i="5" s="1"/>
  <c r="D147" i="5"/>
  <c r="B159" i="5"/>
  <c r="F159" i="5"/>
  <c r="C171" i="5"/>
  <c r="F110" i="5"/>
  <c r="G110" i="5" s="1"/>
  <c r="H110" i="5" s="1"/>
  <c r="C122" i="5"/>
  <c r="D122" i="5" s="1"/>
  <c r="G98" i="5"/>
  <c r="H98" i="5" s="1"/>
  <c r="C133" i="5"/>
  <c r="F121" i="5"/>
  <c r="E136" i="5"/>
  <c r="B148" i="5"/>
  <c r="G102" i="5"/>
  <c r="H102" i="5" s="1"/>
  <c r="C127" i="5"/>
  <c r="F115" i="5"/>
  <c r="G115" i="5" s="1"/>
  <c r="H115" i="5" s="1"/>
  <c r="F108" i="5"/>
  <c r="G108" i="5" s="1"/>
  <c r="H108" i="5" s="1"/>
  <c r="C120" i="5"/>
  <c r="F118" i="5"/>
  <c r="C130" i="5"/>
  <c r="G96" i="5"/>
  <c r="H96" i="5" s="1"/>
  <c r="E122" i="5"/>
  <c r="B134" i="5"/>
  <c r="F100" i="5"/>
  <c r="G100" i="5" s="1"/>
  <c r="H100" i="5" s="1"/>
  <c r="C112" i="5"/>
  <c r="D110" i="5"/>
  <c r="E126" i="5"/>
  <c r="D126" i="5"/>
  <c r="B138" i="5"/>
  <c r="N20" i="14"/>
  <c r="F113" i="5"/>
  <c r="C125" i="5"/>
  <c r="G88" i="5"/>
  <c r="H88" i="5" s="1"/>
  <c r="D107" i="5"/>
  <c r="I118" i="5" s="1"/>
  <c r="F107" i="5"/>
  <c r="G107" i="5" s="1"/>
  <c r="H107" i="5" s="1"/>
  <c r="C119" i="5"/>
  <c r="E109" i="5"/>
  <c r="G109" i="5" s="1"/>
  <c r="H109" i="5" s="1"/>
  <c r="B121" i="5"/>
  <c r="D109" i="5"/>
  <c r="I120" i="5" s="1"/>
  <c r="C56" i="14"/>
  <c r="T9" i="14" s="1"/>
  <c r="F114" i="5"/>
  <c r="G114" i="5" s="1"/>
  <c r="H114" i="5" s="1"/>
  <c r="C126" i="5"/>
  <c r="E101" i="5"/>
  <c r="G101" i="5" s="1"/>
  <c r="H101" i="5" s="1"/>
  <c r="D101" i="5"/>
  <c r="I112" i="5" s="1"/>
  <c r="B113" i="5"/>
  <c r="C129" i="5"/>
  <c r="F117" i="5"/>
  <c r="G117" i="5" s="1"/>
  <c r="H117" i="5" s="1"/>
  <c r="P19" i="25"/>
  <c r="M19" i="18"/>
  <c r="B127" i="5"/>
  <c r="D115" i="5"/>
  <c r="E115" i="5"/>
  <c r="E118" i="5"/>
  <c r="D118" i="5"/>
  <c r="B130" i="5"/>
  <c r="E19" i="18"/>
  <c r="D100" i="5"/>
  <c r="I111" i="5" s="1"/>
  <c r="C131" i="4"/>
  <c r="F119" i="4"/>
  <c r="B133" i="4"/>
  <c r="E121" i="4"/>
  <c r="F127" i="4"/>
  <c r="C139" i="4"/>
  <c r="L67" i="13"/>
  <c r="F105" i="4"/>
  <c r="C117" i="4"/>
  <c r="F101" i="4"/>
  <c r="G101" i="4" s="1"/>
  <c r="H101" i="4" s="1"/>
  <c r="C113" i="4"/>
  <c r="C124" i="4"/>
  <c r="F112" i="4"/>
  <c r="C156" i="4"/>
  <c r="F144" i="4"/>
  <c r="D104" i="4"/>
  <c r="B116" i="4"/>
  <c r="E104" i="4"/>
  <c r="D100" i="4"/>
  <c r="I109" i="4" s="1"/>
  <c r="B112" i="4"/>
  <c r="E100" i="4"/>
  <c r="G100" i="4" s="1"/>
  <c r="H100" i="4" s="1"/>
  <c r="I104" i="4"/>
  <c r="F102" i="4"/>
  <c r="G102" i="4" s="1"/>
  <c r="H102" i="4" s="1"/>
  <c r="C114" i="4"/>
  <c r="E111" i="4"/>
  <c r="D111" i="4"/>
  <c r="B123" i="4"/>
  <c r="B130" i="4"/>
  <c r="E118" i="4"/>
  <c r="D118" i="4"/>
  <c r="I90" i="4"/>
  <c r="L67" i="14"/>
  <c r="I101" i="25"/>
  <c r="I91" i="4"/>
  <c r="B126" i="4"/>
  <c r="E114" i="4"/>
  <c r="C130" i="4"/>
  <c r="F118" i="4"/>
  <c r="G118" i="4" s="1"/>
  <c r="H118" i="4" s="1"/>
  <c r="L66" i="19"/>
  <c r="M17" i="23"/>
  <c r="L69" i="23" s="1"/>
  <c r="E127" i="4"/>
  <c r="B139" i="4"/>
  <c r="D127" i="4"/>
  <c r="I93" i="25"/>
  <c r="L69" i="13"/>
  <c r="P13" i="18"/>
  <c r="Q14" i="18" s="1"/>
  <c r="I105" i="4"/>
  <c r="M20" i="19"/>
  <c r="I100" i="4"/>
  <c r="G110" i="4"/>
  <c r="H110" i="4" s="1"/>
  <c r="G104" i="4"/>
  <c r="H104" i="4" s="1"/>
  <c r="F109" i="4"/>
  <c r="G109" i="4" s="1"/>
  <c r="H109" i="4" s="1"/>
  <c r="C121" i="4"/>
  <c r="D121" i="4" s="1"/>
  <c r="L68" i="13"/>
  <c r="D105" i="4"/>
  <c r="B117" i="4"/>
  <c r="E105" i="4"/>
  <c r="I95" i="14"/>
  <c r="I68" i="14"/>
  <c r="I95" i="4"/>
  <c r="C134" i="4"/>
  <c r="F122" i="4"/>
  <c r="I99" i="25"/>
  <c r="I94" i="4"/>
  <c r="I98" i="4"/>
  <c r="I93" i="4"/>
  <c r="I87" i="4"/>
  <c r="I97" i="4"/>
  <c r="U14" i="4"/>
  <c r="G107" i="4"/>
  <c r="H107" i="4" s="1"/>
  <c r="M66" i="18"/>
  <c r="I67" i="19"/>
  <c r="M20" i="13"/>
  <c r="I102" i="4"/>
  <c r="I107" i="4"/>
  <c r="B134" i="4"/>
  <c r="E122" i="4"/>
  <c r="D122" i="4"/>
  <c r="C128" i="4"/>
  <c r="F116" i="4"/>
  <c r="C123" i="4"/>
  <c r="F111" i="4"/>
  <c r="I99" i="4"/>
  <c r="Q9" i="4"/>
  <c r="Q8" i="4"/>
  <c r="M17" i="18"/>
  <c r="L69" i="18" s="1"/>
  <c r="E107" i="4"/>
  <c r="B119" i="4"/>
  <c r="D107" i="4"/>
  <c r="D101" i="4"/>
  <c r="B113" i="4"/>
  <c r="E101" i="4"/>
  <c r="D108" i="4"/>
  <c r="B120" i="4"/>
  <c r="E108" i="4"/>
  <c r="G108" i="4" s="1"/>
  <c r="H108" i="4" s="1"/>
  <c r="L69" i="14"/>
  <c r="Q14" i="4"/>
  <c r="F17" i="19"/>
  <c r="Q86" i="19" s="1"/>
  <c r="P17" i="13"/>
  <c r="C122" i="3"/>
  <c r="F110" i="3"/>
  <c r="G19" i="19"/>
  <c r="G19" i="23" s="1"/>
  <c r="G19" i="18"/>
  <c r="B138" i="3"/>
  <c r="E126" i="3"/>
  <c r="D126" i="3"/>
  <c r="F121" i="3"/>
  <c r="C133" i="3"/>
  <c r="E116" i="3"/>
  <c r="B128" i="3"/>
  <c r="G17" i="19"/>
  <c r="G20" i="13"/>
  <c r="C172" i="3"/>
  <c r="F160" i="3"/>
  <c r="F104" i="3"/>
  <c r="G104" i="3" s="1"/>
  <c r="H104" i="3" s="1"/>
  <c r="C116" i="3"/>
  <c r="I103" i="3"/>
  <c r="F69" i="13"/>
  <c r="H66" i="13"/>
  <c r="I18" i="19"/>
  <c r="I18" i="23" s="1"/>
  <c r="I20" i="13"/>
  <c r="I18" i="18"/>
  <c r="J67" i="14"/>
  <c r="F68" i="13"/>
  <c r="G125" i="3"/>
  <c r="H125" i="3" s="1"/>
  <c r="G17" i="18"/>
  <c r="E66" i="13"/>
  <c r="F18" i="18"/>
  <c r="E66" i="18" s="1"/>
  <c r="F20" i="13"/>
  <c r="F137" i="3"/>
  <c r="C149" i="3"/>
  <c r="D104" i="3"/>
  <c r="I104" i="3" s="1"/>
  <c r="E109" i="3"/>
  <c r="D109" i="3"/>
  <c r="B121" i="3"/>
  <c r="I17" i="18"/>
  <c r="H67" i="18" s="1"/>
  <c r="I17" i="19"/>
  <c r="H69" i="19" s="1"/>
  <c r="D66" i="14"/>
  <c r="E18" i="22"/>
  <c r="E20" i="14"/>
  <c r="E112" i="3"/>
  <c r="G112" i="3" s="1"/>
  <c r="H112" i="3" s="1"/>
  <c r="D112" i="3"/>
  <c r="B124" i="3"/>
  <c r="H66" i="14"/>
  <c r="I18" i="22"/>
  <c r="F17" i="18"/>
  <c r="E69" i="18" s="1"/>
  <c r="C123" i="3"/>
  <c r="F111" i="3"/>
  <c r="G111" i="3" s="1"/>
  <c r="H111" i="3" s="1"/>
  <c r="C153" i="3"/>
  <c r="F141" i="3"/>
  <c r="I19" i="19"/>
  <c r="I19" i="23" s="1"/>
  <c r="I19" i="18"/>
  <c r="C127" i="3"/>
  <c r="F115" i="3"/>
  <c r="G115" i="3" s="1"/>
  <c r="H115" i="3" s="1"/>
  <c r="G109" i="3"/>
  <c r="H109" i="3" s="1"/>
  <c r="B154" i="3"/>
  <c r="E142" i="3"/>
  <c r="G99" i="3"/>
  <c r="H99" i="3" s="1"/>
  <c r="C119" i="3"/>
  <c r="D107" i="3"/>
  <c r="F107" i="3"/>
  <c r="G107" i="3" s="1"/>
  <c r="H107" i="3" s="1"/>
  <c r="E125" i="3"/>
  <c r="D125" i="3"/>
  <c r="B137" i="3"/>
  <c r="K19" i="19"/>
  <c r="K19" i="23" s="1"/>
  <c r="K19" i="18"/>
  <c r="B127" i="3"/>
  <c r="E115" i="3"/>
  <c r="D115" i="3"/>
  <c r="I92" i="14"/>
  <c r="I97" i="13"/>
  <c r="I88" i="14"/>
  <c r="C120" i="3"/>
  <c r="F108" i="3"/>
  <c r="G108" i="3" s="1"/>
  <c r="H108" i="3" s="1"/>
  <c r="I98" i="3"/>
  <c r="P18" i="14"/>
  <c r="H18" i="19"/>
  <c r="H18" i="23" s="1"/>
  <c r="H20" i="13"/>
  <c r="H18" i="18"/>
  <c r="I90" i="3"/>
  <c r="F69" i="14"/>
  <c r="I93" i="3"/>
  <c r="P17" i="14"/>
  <c r="G67" i="14"/>
  <c r="G68" i="14"/>
  <c r="I87" i="14"/>
  <c r="I100" i="3"/>
  <c r="J68" i="14"/>
  <c r="H18" i="22"/>
  <c r="G66" i="14"/>
  <c r="P19" i="13"/>
  <c r="H19" i="19"/>
  <c r="H19" i="23" s="1"/>
  <c r="H19" i="18"/>
  <c r="J69" i="14"/>
  <c r="P19" i="14"/>
  <c r="B122" i="3"/>
  <c r="E110" i="3"/>
  <c r="D110" i="3"/>
  <c r="E120" i="3"/>
  <c r="B132" i="3"/>
  <c r="I91" i="14"/>
  <c r="E69" i="13"/>
  <c r="T15" i="3"/>
  <c r="T9" i="3"/>
  <c r="T8" i="3"/>
  <c r="S6" i="3"/>
  <c r="D56" i="3"/>
  <c r="F56" i="3" s="1"/>
  <c r="T19" i="3"/>
  <c r="T17" i="3"/>
  <c r="T16" i="3"/>
  <c r="T14" i="3"/>
  <c r="T18" i="3"/>
  <c r="T13" i="3"/>
  <c r="T12" i="3"/>
  <c r="T10" i="3"/>
  <c r="T11" i="3"/>
  <c r="T7" i="3"/>
  <c r="I95" i="19"/>
  <c r="E105" i="3"/>
  <c r="G105" i="3" s="1"/>
  <c r="H105" i="3" s="1"/>
  <c r="D105" i="3"/>
  <c r="B117" i="3"/>
  <c r="D108" i="3"/>
  <c r="H20" i="14"/>
  <c r="I102" i="3"/>
  <c r="C142" i="3"/>
  <c r="D142" i="3" s="1"/>
  <c r="F130" i="3"/>
  <c r="G130" i="3" s="1"/>
  <c r="H130" i="3" s="1"/>
  <c r="B123" i="3"/>
  <c r="E111" i="3"/>
  <c r="D111" i="3"/>
  <c r="B143" i="3"/>
  <c r="E131" i="3"/>
  <c r="F19" i="19"/>
  <c r="F19" i="18"/>
  <c r="H69" i="13"/>
  <c r="I86" i="14"/>
  <c r="C138" i="3"/>
  <c r="F126" i="3"/>
  <c r="G126" i="3" s="1"/>
  <c r="H126" i="3" s="1"/>
  <c r="D18" i="22"/>
  <c r="C66" i="14"/>
  <c r="D20" i="14"/>
  <c r="J67" i="13"/>
  <c r="K17" i="18"/>
  <c r="I96" i="3"/>
  <c r="J69" i="13"/>
  <c r="Q86" i="14"/>
  <c r="R86" i="14" s="1"/>
  <c r="S86" i="14" s="1"/>
  <c r="T86" i="14" s="1"/>
  <c r="U86" i="14" s="1"/>
  <c r="V86" i="14" s="1"/>
  <c r="W86" i="14" s="1"/>
  <c r="X86" i="14" s="1"/>
  <c r="Y86" i="14" s="1"/>
  <c r="I92" i="3"/>
  <c r="I97" i="3"/>
  <c r="F67" i="13"/>
  <c r="H69" i="14"/>
  <c r="H67" i="13"/>
  <c r="G114" i="3"/>
  <c r="H114" i="3" s="1"/>
  <c r="E68" i="14"/>
  <c r="D18" i="19"/>
  <c r="D18" i="23" s="1"/>
  <c r="D20" i="13"/>
  <c r="D18" i="18"/>
  <c r="O87" i="18" s="1"/>
  <c r="C66" i="13"/>
  <c r="Q88" i="13"/>
  <c r="R88" i="13" s="1"/>
  <c r="S88" i="13" s="1"/>
  <c r="T88" i="13" s="1"/>
  <c r="U88" i="13" s="1"/>
  <c r="V88" i="13" s="1"/>
  <c r="W88" i="13" s="1"/>
  <c r="X88" i="13" s="1"/>
  <c r="Y88" i="13" s="1"/>
  <c r="E68" i="13"/>
  <c r="G66" i="13"/>
  <c r="Q86" i="13"/>
  <c r="R86" i="13" s="1"/>
  <c r="S86" i="13" s="1"/>
  <c r="T86" i="13" s="1"/>
  <c r="U86" i="13" s="1"/>
  <c r="V86" i="13" s="1"/>
  <c r="W86" i="13" s="1"/>
  <c r="X86" i="13" s="1"/>
  <c r="Y86" i="13" s="1"/>
  <c r="H17" i="19"/>
  <c r="H17" i="18"/>
  <c r="G69" i="18" s="1"/>
  <c r="B132" i="25"/>
  <c r="E120" i="25"/>
  <c r="D120" i="25"/>
  <c r="D111" i="25"/>
  <c r="B123" i="25"/>
  <c r="E111" i="25"/>
  <c r="E119" i="25"/>
  <c r="D119" i="25"/>
  <c r="B131" i="25"/>
  <c r="E150" i="25"/>
  <c r="B162" i="25"/>
  <c r="C128" i="25"/>
  <c r="F116" i="25"/>
  <c r="G116" i="25" s="1"/>
  <c r="H116" i="25" s="1"/>
  <c r="G98" i="25"/>
  <c r="H98" i="25" s="1"/>
  <c r="E125" i="25"/>
  <c r="D125" i="25"/>
  <c r="B137" i="25"/>
  <c r="E109" i="25"/>
  <c r="D109" i="25"/>
  <c r="B121" i="25"/>
  <c r="I90" i="25"/>
  <c r="F111" i="25"/>
  <c r="G111" i="25" s="1"/>
  <c r="H111" i="25" s="1"/>
  <c r="C123" i="25"/>
  <c r="G99" i="25"/>
  <c r="H99" i="25" s="1"/>
  <c r="F127" i="25"/>
  <c r="G127" i="25" s="1"/>
  <c r="H127" i="25" s="1"/>
  <c r="C139" i="25"/>
  <c r="I89" i="25"/>
  <c r="C126" i="25"/>
  <c r="F114" i="25"/>
  <c r="G114" i="25" s="1"/>
  <c r="H114" i="25" s="1"/>
  <c r="D114" i="25"/>
  <c r="I87" i="25"/>
  <c r="F119" i="25"/>
  <c r="G119" i="25" s="1"/>
  <c r="H119" i="25" s="1"/>
  <c r="C131" i="25"/>
  <c r="C132" i="25"/>
  <c r="F120" i="25"/>
  <c r="G120" i="25" s="1"/>
  <c r="H120" i="25" s="1"/>
  <c r="T18" i="25"/>
  <c r="T17" i="25"/>
  <c r="F106" i="25"/>
  <c r="G106" i="25" s="1"/>
  <c r="H106" i="25" s="1"/>
  <c r="C118" i="25"/>
  <c r="B130" i="25"/>
  <c r="D118" i="25"/>
  <c r="E118" i="25"/>
  <c r="I102" i="25"/>
  <c r="D116" i="25"/>
  <c r="I104" i="25"/>
  <c r="I103" i="25"/>
  <c r="I96" i="25"/>
  <c r="I97" i="25"/>
  <c r="F105" i="25"/>
  <c r="C117" i="25"/>
  <c r="B146" i="25"/>
  <c r="E134" i="25"/>
  <c r="G93" i="25"/>
  <c r="H93" i="25" s="1"/>
  <c r="I91" i="25"/>
  <c r="D127" i="25"/>
  <c r="C134" i="25"/>
  <c r="F122" i="25"/>
  <c r="G122" i="25" s="1"/>
  <c r="H122" i="25" s="1"/>
  <c r="B140" i="25"/>
  <c r="D128" i="25"/>
  <c r="E128" i="25"/>
  <c r="E105" i="25"/>
  <c r="B117" i="25"/>
  <c r="D105" i="25"/>
  <c r="I94" i="25"/>
  <c r="B163" i="25"/>
  <c r="E151" i="25"/>
  <c r="I95" i="25"/>
  <c r="G115" i="25"/>
  <c r="H115" i="25" s="1"/>
  <c r="I100" i="25"/>
  <c r="F109" i="25"/>
  <c r="C121" i="25"/>
  <c r="D122" i="25"/>
  <c r="I88" i="25"/>
  <c r="I92" i="25"/>
  <c r="I98" i="25"/>
  <c r="F125" i="25"/>
  <c r="G125" i="25" s="1"/>
  <c r="H125" i="25" s="1"/>
  <c r="C137" i="25"/>
  <c r="F154" i="14"/>
  <c r="C166" i="14"/>
  <c r="F116" i="14"/>
  <c r="C128" i="14"/>
  <c r="F108" i="14"/>
  <c r="G108" i="14" s="1"/>
  <c r="H108" i="14" s="1"/>
  <c r="C120" i="14"/>
  <c r="F100" i="14"/>
  <c r="G100" i="14" s="1"/>
  <c r="H100" i="14" s="1"/>
  <c r="C112" i="14"/>
  <c r="E113" i="14"/>
  <c r="G113" i="14" s="1"/>
  <c r="H113" i="14" s="1"/>
  <c r="B125" i="14"/>
  <c r="D113" i="14"/>
  <c r="E121" i="14"/>
  <c r="G121" i="14" s="1"/>
  <c r="H121" i="14" s="1"/>
  <c r="B133" i="14"/>
  <c r="D121" i="14"/>
  <c r="E108" i="14"/>
  <c r="D108" i="14"/>
  <c r="B120" i="14"/>
  <c r="D99" i="14"/>
  <c r="B111" i="14"/>
  <c r="E99" i="14"/>
  <c r="G99" i="14" s="1"/>
  <c r="H99" i="14" s="1"/>
  <c r="E104" i="14"/>
  <c r="G104" i="14" s="1"/>
  <c r="H104" i="14" s="1"/>
  <c r="D104" i="14"/>
  <c r="B116" i="14"/>
  <c r="B126" i="14"/>
  <c r="D114" i="14"/>
  <c r="E114" i="14"/>
  <c r="I90" i="14"/>
  <c r="E100" i="14"/>
  <c r="D100" i="14"/>
  <c r="B112" i="14"/>
  <c r="F114" i="14"/>
  <c r="G114" i="14" s="1"/>
  <c r="H114" i="14" s="1"/>
  <c r="C126" i="14"/>
  <c r="E117" i="14"/>
  <c r="G117" i="14" s="1"/>
  <c r="H117" i="14" s="1"/>
  <c r="B129" i="14"/>
  <c r="D117" i="14"/>
  <c r="G107" i="14"/>
  <c r="H107" i="14" s="1"/>
  <c r="F131" i="14"/>
  <c r="C143" i="14"/>
  <c r="B134" i="14"/>
  <c r="E122" i="14"/>
  <c r="D103" i="14"/>
  <c r="E103" i="14"/>
  <c r="G103" i="14" s="1"/>
  <c r="H103" i="14" s="1"/>
  <c r="B115" i="14"/>
  <c r="F139" i="14"/>
  <c r="C151" i="14"/>
  <c r="F135" i="14"/>
  <c r="C147" i="14"/>
  <c r="G101" i="14"/>
  <c r="H101" i="14" s="1"/>
  <c r="I89" i="14"/>
  <c r="I97" i="14"/>
  <c r="I94" i="14"/>
  <c r="D107" i="14"/>
  <c r="B119" i="14"/>
  <c r="E107" i="14"/>
  <c r="F110" i="14"/>
  <c r="G110" i="14" s="1"/>
  <c r="H110" i="14" s="1"/>
  <c r="C122" i="14"/>
  <c r="D122" i="14" s="1"/>
  <c r="Q14" i="14"/>
  <c r="I98" i="14"/>
  <c r="G142" i="14"/>
  <c r="H142" i="14" s="1"/>
  <c r="I96" i="14"/>
  <c r="B154" i="14"/>
  <c r="E142" i="14"/>
  <c r="D142" i="14"/>
  <c r="I93" i="14"/>
  <c r="F105" i="13"/>
  <c r="G105" i="13" s="1"/>
  <c r="H105" i="13" s="1"/>
  <c r="C117" i="13"/>
  <c r="N84" i="18"/>
  <c r="O84" i="18" s="1"/>
  <c r="P84" i="18" s="1"/>
  <c r="Q84" i="18" s="1"/>
  <c r="R84" i="18" s="1"/>
  <c r="S84" i="18" s="1"/>
  <c r="T84" i="18" s="1"/>
  <c r="U84" i="18" s="1"/>
  <c r="V84" i="18" s="1"/>
  <c r="W84" i="18" s="1"/>
  <c r="X84" i="18" s="1"/>
  <c r="Y84" i="18" s="1"/>
  <c r="P15" i="18"/>
  <c r="Q15" i="18" s="1"/>
  <c r="F100" i="13"/>
  <c r="C112" i="13"/>
  <c r="I95" i="13"/>
  <c r="G94" i="13"/>
  <c r="H94" i="13" s="1"/>
  <c r="E110" i="13"/>
  <c r="G110" i="13" s="1"/>
  <c r="H110" i="13" s="1"/>
  <c r="D110" i="13"/>
  <c r="B122" i="13"/>
  <c r="I90" i="13"/>
  <c r="F121" i="13"/>
  <c r="G121" i="13" s="1"/>
  <c r="H121" i="13" s="1"/>
  <c r="C133" i="13"/>
  <c r="F119" i="13"/>
  <c r="C131" i="13"/>
  <c r="D107" i="13"/>
  <c r="E107" i="13"/>
  <c r="G107" i="13" s="1"/>
  <c r="H107" i="13" s="1"/>
  <c r="B119" i="13"/>
  <c r="O81" i="19"/>
  <c r="P81" i="19" s="1"/>
  <c r="Q81" i="19" s="1"/>
  <c r="R81" i="19" s="1"/>
  <c r="S81" i="19" s="1"/>
  <c r="T81" i="19" s="1"/>
  <c r="U81" i="19" s="1"/>
  <c r="V81" i="19" s="1"/>
  <c r="W81" i="19" s="1"/>
  <c r="X81" i="19" s="1"/>
  <c r="Y81" i="19" s="1"/>
  <c r="L66" i="18"/>
  <c r="F104" i="13"/>
  <c r="G104" i="13" s="1"/>
  <c r="H104" i="13" s="1"/>
  <c r="C116" i="13"/>
  <c r="I89" i="13"/>
  <c r="E20" i="23"/>
  <c r="I93" i="13"/>
  <c r="D121" i="13"/>
  <c r="F99" i="13"/>
  <c r="G99" i="13" s="1"/>
  <c r="H99" i="13" s="1"/>
  <c r="C111" i="13"/>
  <c r="F108" i="13"/>
  <c r="G108" i="13" s="1"/>
  <c r="H108" i="13" s="1"/>
  <c r="C120" i="13"/>
  <c r="D105" i="13"/>
  <c r="P13" i="19"/>
  <c r="K20" i="19"/>
  <c r="J66" i="19"/>
  <c r="K17" i="23"/>
  <c r="K20" i="23" s="1"/>
  <c r="I99" i="18"/>
  <c r="I94" i="13"/>
  <c r="E129" i="13"/>
  <c r="B141" i="13"/>
  <c r="I13" i="23"/>
  <c r="P13" i="23" s="1"/>
  <c r="Q82" i="19"/>
  <c r="R82" i="19" s="1"/>
  <c r="S82" i="19" s="1"/>
  <c r="T82" i="19" s="1"/>
  <c r="U82" i="19" s="1"/>
  <c r="V82" i="19" s="1"/>
  <c r="W82" i="19" s="1"/>
  <c r="X82" i="19" s="1"/>
  <c r="Y82" i="19" s="1"/>
  <c r="E106" i="13"/>
  <c r="B118" i="13"/>
  <c r="D106" i="13"/>
  <c r="J69" i="19"/>
  <c r="I93" i="19"/>
  <c r="D68" i="18"/>
  <c r="P12" i="18"/>
  <c r="Q12" i="18" s="1"/>
  <c r="D68" i="19"/>
  <c r="I96" i="13"/>
  <c r="I89" i="19"/>
  <c r="I91" i="13"/>
  <c r="I98" i="13"/>
  <c r="E113" i="13"/>
  <c r="B125" i="13"/>
  <c r="D113" i="13"/>
  <c r="E100" i="13"/>
  <c r="D100" i="13"/>
  <c r="B112" i="13"/>
  <c r="F126" i="13"/>
  <c r="C138" i="13"/>
  <c r="K67" i="18"/>
  <c r="K68" i="18"/>
  <c r="I90" i="18"/>
  <c r="P12" i="19"/>
  <c r="Q12" i="19" s="1"/>
  <c r="L67" i="19"/>
  <c r="M10" i="23"/>
  <c r="L68" i="19"/>
  <c r="E104" i="13"/>
  <c r="B116" i="13"/>
  <c r="D104" i="13"/>
  <c r="I92" i="13"/>
  <c r="Q82" i="18"/>
  <c r="R82" i="18" s="1"/>
  <c r="S82" i="18" s="1"/>
  <c r="T82" i="18" s="1"/>
  <c r="U82" i="18" s="1"/>
  <c r="V82" i="18" s="1"/>
  <c r="W82" i="18" s="1"/>
  <c r="X82" i="18" s="1"/>
  <c r="Y82" i="18" s="1"/>
  <c r="D103" i="13"/>
  <c r="E103" i="13"/>
  <c r="G103" i="13" s="1"/>
  <c r="H103" i="13" s="1"/>
  <c r="B115" i="13"/>
  <c r="M68" i="19"/>
  <c r="I91" i="19"/>
  <c r="E126" i="13"/>
  <c r="B138" i="13"/>
  <c r="D126" i="13"/>
  <c r="E133" i="13"/>
  <c r="B145" i="13"/>
  <c r="D133" i="13"/>
  <c r="E20" i="19"/>
  <c r="E16" i="23"/>
  <c r="D67" i="23" s="1"/>
  <c r="B69" i="18"/>
  <c r="I88" i="19"/>
  <c r="D119" i="18"/>
  <c r="E108" i="13"/>
  <c r="B120" i="13"/>
  <c r="D108" i="13"/>
  <c r="D16" i="23"/>
  <c r="C67" i="23" s="1"/>
  <c r="D20" i="19"/>
  <c r="F66" i="23"/>
  <c r="Q11" i="19"/>
  <c r="F101" i="13"/>
  <c r="G101" i="13" s="1"/>
  <c r="H101" i="13" s="1"/>
  <c r="C113" i="13"/>
  <c r="Q11" i="13"/>
  <c r="F127" i="13"/>
  <c r="C139" i="13"/>
  <c r="E67" i="19"/>
  <c r="D99" i="13"/>
  <c r="K68" i="19"/>
  <c r="G95" i="13"/>
  <c r="H95" i="13" s="1"/>
  <c r="E68" i="19"/>
  <c r="K67" i="19"/>
  <c r="F146" i="13"/>
  <c r="C158" i="13"/>
  <c r="F106" i="13"/>
  <c r="C118" i="13"/>
  <c r="P85" i="18"/>
  <c r="Q85" i="18" s="1"/>
  <c r="R85" i="18" s="1"/>
  <c r="S85" i="18" s="1"/>
  <c r="T85" i="18" s="1"/>
  <c r="U85" i="18" s="1"/>
  <c r="V85" i="18" s="1"/>
  <c r="W85" i="18" s="1"/>
  <c r="X85" i="18" s="1"/>
  <c r="Y85" i="18" s="1"/>
  <c r="D69" i="19"/>
  <c r="Q82" i="23"/>
  <c r="R82" i="23" s="1"/>
  <c r="S82" i="23" s="1"/>
  <c r="I89" i="18"/>
  <c r="P84" i="19"/>
  <c r="Q84" i="19" s="1"/>
  <c r="R84" i="19" s="1"/>
  <c r="S84" i="19" s="1"/>
  <c r="T84" i="19" s="1"/>
  <c r="U84" i="19" s="1"/>
  <c r="V84" i="19" s="1"/>
  <c r="W84" i="19" s="1"/>
  <c r="X84" i="19" s="1"/>
  <c r="Y84" i="19" s="1"/>
  <c r="I90" i="19"/>
  <c r="P15" i="19"/>
  <c r="Q16" i="19" s="1"/>
  <c r="B135" i="13"/>
  <c r="E123" i="13"/>
  <c r="D120" i="18"/>
  <c r="Q13" i="13"/>
  <c r="C148" i="19"/>
  <c r="F136" i="19"/>
  <c r="F98" i="19"/>
  <c r="C110" i="19"/>
  <c r="F133" i="19"/>
  <c r="C145" i="19"/>
  <c r="O79" i="23"/>
  <c r="P79" i="23" s="1"/>
  <c r="Q79" i="23" s="1"/>
  <c r="R79" i="23" s="1"/>
  <c r="S79" i="23" s="1"/>
  <c r="T79" i="23" s="1"/>
  <c r="U79" i="23" s="1"/>
  <c r="V79" i="23" s="1"/>
  <c r="W79" i="23" s="1"/>
  <c r="B136" i="19"/>
  <c r="E124" i="19"/>
  <c r="D124" i="19"/>
  <c r="F123" i="19"/>
  <c r="G123" i="19" s="1"/>
  <c r="H123" i="19" s="1"/>
  <c r="J123" i="19" s="1"/>
  <c r="C135" i="19"/>
  <c r="B117" i="19"/>
  <c r="D105" i="19"/>
  <c r="E105" i="19"/>
  <c r="G105" i="19" s="1"/>
  <c r="H105" i="19" s="1"/>
  <c r="F102" i="19"/>
  <c r="C114" i="19"/>
  <c r="E98" i="19"/>
  <c r="B110" i="19"/>
  <c r="D98" i="19"/>
  <c r="I100" i="19" s="1"/>
  <c r="F119" i="19"/>
  <c r="C131" i="19"/>
  <c r="I96" i="19"/>
  <c r="E125" i="19"/>
  <c r="G125" i="19" s="1"/>
  <c r="H125" i="19" s="1"/>
  <c r="J125" i="19" s="1"/>
  <c r="D125" i="19"/>
  <c r="B137" i="19"/>
  <c r="C151" i="19"/>
  <c r="F139" i="19"/>
  <c r="B135" i="19"/>
  <c r="E123" i="19"/>
  <c r="D123" i="19"/>
  <c r="D116" i="19"/>
  <c r="B128" i="19"/>
  <c r="E116" i="19"/>
  <c r="C156" i="19"/>
  <c r="F144" i="19"/>
  <c r="G124" i="19"/>
  <c r="H124" i="19" s="1"/>
  <c r="J124" i="19" s="1"/>
  <c r="E106" i="19"/>
  <c r="B118" i="19"/>
  <c r="D106" i="19"/>
  <c r="E108" i="19"/>
  <c r="G108" i="19" s="1"/>
  <c r="H108" i="19" s="1"/>
  <c r="D108" i="19"/>
  <c r="B120" i="19"/>
  <c r="C165" i="19"/>
  <c r="F153" i="19"/>
  <c r="E102" i="19"/>
  <c r="D102" i="19"/>
  <c r="B114" i="19"/>
  <c r="B67" i="23"/>
  <c r="C116" i="19"/>
  <c r="F104" i="19"/>
  <c r="G104" i="19" s="1"/>
  <c r="H104" i="19" s="1"/>
  <c r="B68" i="23"/>
  <c r="B145" i="19"/>
  <c r="D133" i="19"/>
  <c r="E133" i="19"/>
  <c r="I92" i="19"/>
  <c r="F137" i="19"/>
  <c r="C149" i="19"/>
  <c r="E119" i="19"/>
  <c r="D119" i="19"/>
  <c r="B131" i="19"/>
  <c r="G112" i="19"/>
  <c r="H112" i="19" s="1"/>
  <c r="J112" i="19" s="1"/>
  <c r="B139" i="19"/>
  <c r="E127" i="19"/>
  <c r="G127" i="19" s="1"/>
  <c r="H127" i="19" s="1"/>
  <c r="J127" i="19" s="1"/>
  <c r="D127" i="19"/>
  <c r="I97" i="19"/>
  <c r="P14" i="23"/>
  <c r="I94" i="19"/>
  <c r="F106" i="19"/>
  <c r="C118" i="19"/>
  <c r="D131" i="18"/>
  <c r="B143" i="18"/>
  <c r="E131" i="18"/>
  <c r="E101" i="18"/>
  <c r="D101" i="18"/>
  <c r="I104" i="18" s="1"/>
  <c r="B113" i="18"/>
  <c r="I87" i="18"/>
  <c r="Q11" i="18"/>
  <c r="I96" i="18"/>
  <c r="I93" i="18"/>
  <c r="I95" i="18"/>
  <c r="C138" i="18"/>
  <c r="D126" i="18"/>
  <c r="F126" i="18"/>
  <c r="G126" i="18" s="1"/>
  <c r="H126" i="18" s="1"/>
  <c r="J126" i="18" s="1"/>
  <c r="B128" i="18"/>
  <c r="E116" i="18"/>
  <c r="D116" i="18"/>
  <c r="I92" i="18"/>
  <c r="C123" i="18"/>
  <c r="F111" i="18"/>
  <c r="I98" i="18"/>
  <c r="E111" i="18"/>
  <c r="D111" i="18"/>
  <c r="B123" i="18"/>
  <c r="F120" i="18"/>
  <c r="G120" i="18" s="1"/>
  <c r="H120" i="18" s="1"/>
  <c r="J120" i="18" s="1"/>
  <c r="C132" i="18"/>
  <c r="I88" i="18"/>
  <c r="C133" i="18"/>
  <c r="F121" i="18"/>
  <c r="E112" i="18"/>
  <c r="G112" i="18" s="1"/>
  <c r="H112" i="18" s="1"/>
  <c r="J112" i="18" s="1"/>
  <c r="B124" i="18"/>
  <c r="D112" i="18"/>
  <c r="E121" i="18"/>
  <c r="D121" i="18"/>
  <c r="B133" i="18"/>
  <c r="C128" i="18"/>
  <c r="F116" i="18"/>
  <c r="G116" i="18" s="1"/>
  <c r="H116" i="18" s="1"/>
  <c r="J116" i="18" s="1"/>
  <c r="F106" i="18"/>
  <c r="G106" i="18" s="1"/>
  <c r="H106" i="18" s="1"/>
  <c r="C118" i="18"/>
  <c r="E110" i="18"/>
  <c r="G110" i="18" s="1"/>
  <c r="H110" i="18" s="1"/>
  <c r="J110" i="18" s="1"/>
  <c r="D110" i="18"/>
  <c r="B122" i="18"/>
  <c r="B162" i="18"/>
  <c r="E150" i="18"/>
  <c r="E144" i="18"/>
  <c r="B156" i="18"/>
  <c r="I91" i="18"/>
  <c r="G89" i="18"/>
  <c r="H89" i="18" s="1"/>
  <c r="B129" i="18"/>
  <c r="E117" i="18"/>
  <c r="D117" i="18"/>
  <c r="D106" i="18"/>
  <c r="B118" i="18"/>
  <c r="E106" i="18"/>
  <c r="C129" i="18"/>
  <c r="F117" i="18"/>
  <c r="C127" i="18"/>
  <c r="F115" i="18"/>
  <c r="I97" i="18"/>
  <c r="B127" i="18"/>
  <c r="E115" i="18"/>
  <c r="D115" i="18"/>
  <c r="I94" i="18"/>
  <c r="F101" i="18"/>
  <c r="G101" i="18" s="1"/>
  <c r="H101" i="18" s="1"/>
  <c r="C113" i="18"/>
  <c r="C143" i="18"/>
  <c r="F131" i="18"/>
  <c r="G131" i="18" s="1"/>
  <c r="H131" i="18" s="1"/>
  <c r="J131" i="18" s="1"/>
  <c r="C136" i="18"/>
  <c r="F124" i="18"/>
  <c r="G119" i="18"/>
  <c r="H119" i="18" s="1"/>
  <c r="J119" i="18" s="1"/>
  <c r="G87" i="18"/>
  <c r="H87" i="18" s="1"/>
  <c r="C134" i="18"/>
  <c r="F122" i="18"/>
  <c r="I100" i="18"/>
  <c r="E113" i="22"/>
  <c r="D113" i="22"/>
  <c r="B125" i="22"/>
  <c r="B123" i="22"/>
  <c r="E111" i="22"/>
  <c r="D111" i="22"/>
  <c r="F114" i="22"/>
  <c r="G114" i="22" s="1"/>
  <c r="H114" i="22" s="1"/>
  <c r="C126" i="22"/>
  <c r="F113" i="22"/>
  <c r="G113" i="22" s="1"/>
  <c r="H113" i="22" s="1"/>
  <c r="C125" i="22"/>
  <c r="E121" i="22"/>
  <c r="G121" i="22" s="1"/>
  <c r="H121" i="22" s="1"/>
  <c r="D121" i="22"/>
  <c r="B133" i="22"/>
  <c r="G102" i="22"/>
  <c r="H102" i="22" s="1"/>
  <c r="G101" i="22"/>
  <c r="H101" i="22" s="1"/>
  <c r="E117" i="22"/>
  <c r="D117" i="22"/>
  <c r="B129" i="22"/>
  <c r="B115" i="22"/>
  <c r="E103" i="22"/>
  <c r="D103" i="22"/>
  <c r="F116" i="22"/>
  <c r="C128" i="22"/>
  <c r="F106" i="22"/>
  <c r="G106" i="22" s="1"/>
  <c r="H106" i="22" s="1"/>
  <c r="C118" i="22"/>
  <c r="F105" i="22"/>
  <c r="G105" i="22" s="1"/>
  <c r="H105" i="22" s="1"/>
  <c r="C117" i="22"/>
  <c r="F120" i="22"/>
  <c r="C132" i="22"/>
  <c r="G95" i="22"/>
  <c r="H95" i="22" s="1"/>
  <c r="G111" i="22"/>
  <c r="H111" i="22" s="1"/>
  <c r="F115" i="22"/>
  <c r="C127" i="22"/>
  <c r="F145" i="22"/>
  <c r="C157" i="22"/>
  <c r="F122" i="22"/>
  <c r="G122" i="22" s="1"/>
  <c r="H122" i="22" s="1"/>
  <c r="C134" i="22"/>
  <c r="D116" i="22"/>
  <c r="B128" i="22"/>
  <c r="E116" i="22"/>
  <c r="D114" i="22"/>
  <c r="G103" i="22"/>
  <c r="H103" i="22" s="1"/>
  <c r="F112" i="22"/>
  <c r="G112" i="22" s="1"/>
  <c r="H112" i="22" s="1"/>
  <c r="C124" i="22"/>
  <c r="D112" i="22"/>
  <c r="B124" i="22"/>
  <c r="E112" i="22"/>
  <c r="E122" i="22"/>
  <c r="D122" i="22"/>
  <c r="B134" i="22"/>
  <c r="G110" i="22"/>
  <c r="H110" i="22" s="1"/>
  <c r="E106" i="22"/>
  <c r="D106" i="22"/>
  <c r="B118" i="22"/>
  <c r="C159" i="22"/>
  <c r="F147" i="22"/>
  <c r="G91" i="22"/>
  <c r="H91" i="22" s="1"/>
  <c r="F107" i="22"/>
  <c r="C119" i="22"/>
  <c r="E138" i="22"/>
  <c r="B150" i="22"/>
  <c r="B119" i="22"/>
  <c r="D107" i="22"/>
  <c r="E107" i="22"/>
  <c r="D120" i="22"/>
  <c r="B132" i="22"/>
  <c r="E120" i="22"/>
  <c r="F125" i="23"/>
  <c r="G125" i="23" s="1"/>
  <c r="H125" i="23" s="1"/>
  <c r="C137" i="23"/>
  <c r="E125" i="23"/>
  <c r="D125" i="23"/>
  <c r="B137" i="23"/>
  <c r="B152" i="23"/>
  <c r="E140" i="23"/>
  <c r="F132" i="23"/>
  <c r="C144" i="23"/>
  <c r="B135" i="23"/>
  <c r="E123" i="23"/>
  <c r="F129" i="23"/>
  <c r="C141" i="23"/>
  <c r="F138" i="23"/>
  <c r="C150" i="23"/>
  <c r="C122" i="23"/>
  <c r="F110" i="23"/>
  <c r="G110" i="23" s="1"/>
  <c r="H110" i="23" s="1"/>
  <c r="F142" i="23"/>
  <c r="C154" i="23"/>
  <c r="E139" i="23"/>
  <c r="B151" i="23"/>
  <c r="B131" i="23"/>
  <c r="E119" i="23"/>
  <c r="D119" i="23"/>
  <c r="E117" i="23"/>
  <c r="G117" i="23" s="1"/>
  <c r="H117" i="23" s="1"/>
  <c r="D117" i="23"/>
  <c r="B129" i="23"/>
  <c r="G105" i="23"/>
  <c r="H105" i="23" s="1"/>
  <c r="E121" i="23"/>
  <c r="D121" i="23"/>
  <c r="B133" i="23"/>
  <c r="E100" i="23"/>
  <c r="G100" i="23" s="1"/>
  <c r="H100" i="23" s="1"/>
  <c r="D100" i="23"/>
  <c r="I111" i="23" s="1"/>
  <c r="B112" i="23"/>
  <c r="B114" i="23"/>
  <c r="E102" i="23"/>
  <c r="G102" i="23" s="1"/>
  <c r="H102" i="23" s="1"/>
  <c r="D102" i="23"/>
  <c r="I113" i="23" s="1"/>
  <c r="F116" i="23"/>
  <c r="G116" i="23" s="1"/>
  <c r="H116" i="23" s="1"/>
  <c r="C128" i="23"/>
  <c r="C131" i="23"/>
  <c r="F119" i="23"/>
  <c r="D110" i="23"/>
  <c r="G106" i="23"/>
  <c r="H106" i="23" s="1"/>
  <c r="G93" i="23"/>
  <c r="H93" i="23" s="1"/>
  <c r="E130" i="23"/>
  <c r="D130" i="23"/>
  <c r="B142" i="23"/>
  <c r="G130" i="23"/>
  <c r="H130" i="23" s="1"/>
  <c r="E108" i="23"/>
  <c r="G108" i="23" s="1"/>
  <c r="H108" i="23" s="1"/>
  <c r="D108" i="23"/>
  <c r="I119" i="23" s="1"/>
  <c r="B120" i="23"/>
  <c r="F112" i="23"/>
  <c r="C124" i="23"/>
  <c r="C127" i="23"/>
  <c r="F115" i="23"/>
  <c r="G115" i="23" s="1"/>
  <c r="H115" i="23" s="1"/>
  <c r="D115" i="23"/>
  <c r="F99" i="23"/>
  <c r="G99" i="23" s="1"/>
  <c r="H99" i="23" s="1"/>
  <c r="C111" i="23"/>
  <c r="E122" i="23"/>
  <c r="B134" i="23"/>
  <c r="F121" i="23"/>
  <c r="G121" i="23" s="1"/>
  <c r="H121" i="23" s="1"/>
  <c r="C133" i="23"/>
  <c r="G87" i="23"/>
  <c r="H87" i="23" s="1"/>
  <c r="G109" i="23"/>
  <c r="H109" i="23" s="1"/>
  <c r="L20" i="22" l="1"/>
  <c r="T12" i="15"/>
  <c r="T16" i="15"/>
  <c r="U17" i="15" s="1"/>
  <c r="T13" i="15"/>
  <c r="T9" i="15"/>
  <c r="T15" i="15"/>
  <c r="T18" i="15"/>
  <c r="L20" i="19"/>
  <c r="K69" i="19"/>
  <c r="K67" i="23"/>
  <c r="K66" i="19"/>
  <c r="T13" i="14"/>
  <c r="I114" i="3"/>
  <c r="U17" i="20"/>
  <c r="P87" i="18"/>
  <c r="I109" i="8"/>
  <c r="E69" i="19"/>
  <c r="S6" i="15"/>
  <c r="K27" i="15" s="1"/>
  <c r="T10" i="15"/>
  <c r="T10" i="16"/>
  <c r="T11" i="15"/>
  <c r="I105" i="3"/>
  <c r="T14" i="15"/>
  <c r="U15" i="15" s="1"/>
  <c r="T10" i="14"/>
  <c r="U10" i="14" s="1"/>
  <c r="T19" i="15"/>
  <c r="D66" i="18"/>
  <c r="T18" i="14"/>
  <c r="K69" i="23"/>
  <c r="T14" i="14"/>
  <c r="I106" i="3"/>
  <c r="T17" i="14"/>
  <c r="T16" i="14"/>
  <c r="T8" i="13"/>
  <c r="U9" i="13" s="1"/>
  <c r="T17" i="13"/>
  <c r="T19" i="13"/>
  <c r="T11" i="13"/>
  <c r="T15" i="13"/>
  <c r="S6" i="14"/>
  <c r="AI2" i="14" s="1"/>
  <c r="T18" i="13"/>
  <c r="U8" i="8"/>
  <c r="T12" i="13"/>
  <c r="U11" i="20"/>
  <c r="I106" i="20"/>
  <c r="T14" i="13"/>
  <c r="T10" i="13"/>
  <c r="U10" i="13" s="1"/>
  <c r="T16" i="13"/>
  <c r="I111" i="3"/>
  <c r="U14" i="20"/>
  <c r="U14" i="11"/>
  <c r="U13" i="20"/>
  <c r="D56" i="13"/>
  <c r="F56" i="13" s="1"/>
  <c r="T13" i="13"/>
  <c r="U8" i="20"/>
  <c r="F121" i="20"/>
  <c r="C133" i="20"/>
  <c r="G109" i="20"/>
  <c r="H109" i="20" s="1"/>
  <c r="U9" i="20"/>
  <c r="I109" i="20"/>
  <c r="F131" i="20"/>
  <c r="C143" i="20"/>
  <c r="U10" i="20"/>
  <c r="G119" i="20"/>
  <c r="H119" i="20" s="1"/>
  <c r="E115" i="20"/>
  <c r="D115" i="20"/>
  <c r="B127" i="20"/>
  <c r="E113" i="20"/>
  <c r="D113" i="20"/>
  <c r="B125" i="20"/>
  <c r="U12" i="20"/>
  <c r="I100" i="20"/>
  <c r="U15" i="20"/>
  <c r="U16" i="20"/>
  <c r="E122" i="20"/>
  <c r="G122" i="20" s="1"/>
  <c r="H122" i="20" s="1"/>
  <c r="D122" i="20"/>
  <c r="B134" i="20"/>
  <c r="E117" i="20"/>
  <c r="D117" i="20"/>
  <c r="B129" i="20"/>
  <c r="I104" i="20"/>
  <c r="C142" i="20"/>
  <c r="F130" i="20"/>
  <c r="F123" i="20"/>
  <c r="C135" i="20"/>
  <c r="E126" i="20"/>
  <c r="B138" i="20"/>
  <c r="D126" i="20"/>
  <c r="K27" i="20"/>
  <c r="AI2" i="20"/>
  <c r="G111" i="20"/>
  <c r="H111" i="20" s="1"/>
  <c r="U8" i="10"/>
  <c r="E121" i="20"/>
  <c r="D121" i="20"/>
  <c r="B133" i="20"/>
  <c r="I102" i="20"/>
  <c r="F112" i="20"/>
  <c r="G112" i="20" s="1"/>
  <c r="H112" i="20" s="1"/>
  <c r="C124" i="20"/>
  <c r="I108" i="20"/>
  <c r="C138" i="20"/>
  <c r="F126" i="20"/>
  <c r="G126" i="20" s="1"/>
  <c r="H126" i="20" s="1"/>
  <c r="I110" i="20"/>
  <c r="U14" i="5"/>
  <c r="I99" i="20"/>
  <c r="C158" i="20"/>
  <c r="F146" i="20"/>
  <c r="E111" i="20"/>
  <c r="D111" i="20"/>
  <c r="B123" i="20"/>
  <c r="E120" i="20"/>
  <c r="D120" i="20"/>
  <c r="B132" i="20"/>
  <c r="F127" i="20"/>
  <c r="C139" i="20"/>
  <c r="I103" i="20"/>
  <c r="F113" i="20"/>
  <c r="C125" i="20"/>
  <c r="G115" i="20"/>
  <c r="H115" i="20" s="1"/>
  <c r="G101" i="20"/>
  <c r="H101" i="20" s="1"/>
  <c r="I101" i="20"/>
  <c r="F116" i="20"/>
  <c r="G116" i="20" s="1"/>
  <c r="H116" i="20" s="1"/>
  <c r="C128" i="20"/>
  <c r="I107" i="20"/>
  <c r="G104" i="20"/>
  <c r="H104" i="20" s="1"/>
  <c r="B142" i="20"/>
  <c r="E130" i="20"/>
  <c r="D130" i="20"/>
  <c r="E119" i="20"/>
  <c r="B131" i="20"/>
  <c r="D119" i="20"/>
  <c r="I105" i="20"/>
  <c r="F120" i="20"/>
  <c r="G120" i="20" s="1"/>
  <c r="H120" i="20" s="1"/>
  <c r="C132" i="20"/>
  <c r="E112" i="20"/>
  <c r="D112" i="20"/>
  <c r="B124" i="20"/>
  <c r="E116" i="20"/>
  <c r="D116" i="20"/>
  <c r="B128" i="20"/>
  <c r="F117" i="20"/>
  <c r="C129" i="20"/>
  <c r="G105" i="20"/>
  <c r="H105" i="20" s="1"/>
  <c r="I114" i="12"/>
  <c r="I108" i="12"/>
  <c r="E121" i="12"/>
  <c r="D121" i="12"/>
  <c r="B133" i="12"/>
  <c r="C146" i="12"/>
  <c r="F134" i="12"/>
  <c r="G134" i="12" s="1"/>
  <c r="H134" i="12" s="1"/>
  <c r="B155" i="12"/>
  <c r="E143" i="12"/>
  <c r="U11" i="10"/>
  <c r="F113" i="12"/>
  <c r="C125" i="12"/>
  <c r="C163" i="12"/>
  <c r="F151" i="12"/>
  <c r="U14" i="10"/>
  <c r="G101" i="12"/>
  <c r="H101" i="12" s="1"/>
  <c r="I118" i="12"/>
  <c r="C143" i="12"/>
  <c r="F131" i="12"/>
  <c r="G131" i="12" s="1"/>
  <c r="H131" i="12" s="1"/>
  <c r="C138" i="12"/>
  <c r="F126" i="12"/>
  <c r="B135" i="12"/>
  <c r="E123" i="12"/>
  <c r="D123" i="12"/>
  <c r="U9" i="10"/>
  <c r="F117" i="12"/>
  <c r="C129" i="12"/>
  <c r="I122" i="12"/>
  <c r="B130" i="12"/>
  <c r="E118" i="12"/>
  <c r="D118" i="12"/>
  <c r="E112" i="12"/>
  <c r="G112" i="12" s="1"/>
  <c r="H112" i="12" s="1"/>
  <c r="D112" i="12"/>
  <c r="I113" i="12" s="1"/>
  <c r="B124" i="12"/>
  <c r="F132" i="12"/>
  <c r="C144" i="12"/>
  <c r="I111" i="12"/>
  <c r="E116" i="12"/>
  <c r="D116" i="12"/>
  <c r="B128" i="12"/>
  <c r="D139" i="12"/>
  <c r="E139" i="12"/>
  <c r="G139" i="12" s="1"/>
  <c r="H139" i="12" s="1"/>
  <c r="B151" i="12"/>
  <c r="I115" i="12"/>
  <c r="F121" i="12"/>
  <c r="G121" i="12" s="1"/>
  <c r="H121" i="12" s="1"/>
  <c r="C133" i="12"/>
  <c r="G109" i="12"/>
  <c r="H109" i="12" s="1"/>
  <c r="E120" i="12"/>
  <c r="G120" i="12" s="1"/>
  <c r="H120" i="12" s="1"/>
  <c r="D120" i="12"/>
  <c r="B132" i="12"/>
  <c r="I119" i="12"/>
  <c r="I107" i="12"/>
  <c r="I102" i="12"/>
  <c r="I109" i="12"/>
  <c r="G111" i="12"/>
  <c r="H111" i="12" s="1"/>
  <c r="T17" i="16"/>
  <c r="E113" i="12"/>
  <c r="D113" i="12"/>
  <c r="B125" i="12"/>
  <c r="I100" i="12"/>
  <c r="F124" i="12"/>
  <c r="C136" i="12"/>
  <c r="U13" i="8"/>
  <c r="I112" i="12"/>
  <c r="B146" i="12"/>
  <c r="E134" i="12"/>
  <c r="D134" i="12"/>
  <c r="D126" i="12"/>
  <c r="B138" i="12"/>
  <c r="E126" i="12"/>
  <c r="G106" i="12"/>
  <c r="H106" i="12" s="1"/>
  <c r="I106" i="12"/>
  <c r="C135" i="12"/>
  <c r="F123" i="12"/>
  <c r="G123" i="12" s="1"/>
  <c r="H123" i="12" s="1"/>
  <c r="C130" i="12"/>
  <c r="F118" i="12"/>
  <c r="G118" i="12" s="1"/>
  <c r="H118" i="12" s="1"/>
  <c r="E117" i="12"/>
  <c r="D117" i="12"/>
  <c r="B129" i="12"/>
  <c r="I116" i="12"/>
  <c r="I104" i="12"/>
  <c r="F128" i="12"/>
  <c r="C140" i="12"/>
  <c r="I103" i="12"/>
  <c r="I105" i="12"/>
  <c r="G116" i="12"/>
  <c r="H116" i="12" s="1"/>
  <c r="F128" i="11"/>
  <c r="C140" i="11"/>
  <c r="U17" i="10"/>
  <c r="K27" i="11"/>
  <c r="AI2" i="11"/>
  <c r="E154" i="11"/>
  <c r="D154" i="11"/>
  <c r="B166" i="11"/>
  <c r="U10" i="11"/>
  <c r="U11" i="11"/>
  <c r="F166" i="11"/>
  <c r="C178" i="11"/>
  <c r="U12" i="11"/>
  <c r="E124" i="11"/>
  <c r="D124" i="11"/>
  <c r="B136" i="11"/>
  <c r="G154" i="11"/>
  <c r="H154" i="11" s="1"/>
  <c r="U13" i="11"/>
  <c r="I109" i="11"/>
  <c r="U8" i="11"/>
  <c r="U9" i="11"/>
  <c r="U15" i="11"/>
  <c r="E125" i="11"/>
  <c r="D125" i="11"/>
  <c r="B137" i="11"/>
  <c r="E133" i="11"/>
  <c r="B145" i="11"/>
  <c r="D56" i="16"/>
  <c r="F56" i="16" s="1"/>
  <c r="U17" i="11"/>
  <c r="U18" i="11"/>
  <c r="E127" i="11"/>
  <c r="D127" i="11"/>
  <c r="B139" i="11"/>
  <c r="E126" i="11"/>
  <c r="D126" i="11"/>
  <c r="B138" i="11"/>
  <c r="U16" i="11"/>
  <c r="F113" i="11"/>
  <c r="G113" i="11" s="1"/>
  <c r="H113" i="11" s="1"/>
  <c r="C125" i="11"/>
  <c r="F124" i="11"/>
  <c r="C136" i="11"/>
  <c r="E132" i="11"/>
  <c r="D132" i="11"/>
  <c r="B144" i="11"/>
  <c r="F132" i="11"/>
  <c r="G132" i="11" s="1"/>
  <c r="H132" i="11" s="1"/>
  <c r="C144" i="11"/>
  <c r="G127" i="11"/>
  <c r="H127" i="11" s="1"/>
  <c r="T8" i="16"/>
  <c r="F126" i="11"/>
  <c r="G126" i="11" s="1"/>
  <c r="H126" i="11" s="1"/>
  <c r="C138" i="11"/>
  <c r="I112" i="11"/>
  <c r="G114" i="11"/>
  <c r="H114" i="11" s="1"/>
  <c r="F123" i="11"/>
  <c r="C135" i="11"/>
  <c r="F122" i="11"/>
  <c r="C134" i="11"/>
  <c r="E122" i="11"/>
  <c r="D122" i="11"/>
  <c r="B134" i="11"/>
  <c r="E128" i="11"/>
  <c r="D128" i="11"/>
  <c r="B140" i="11"/>
  <c r="F119" i="11"/>
  <c r="G119" i="11" s="1"/>
  <c r="H119" i="11" s="1"/>
  <c r="C131" i="11"/>
  <c r="F139" i="11"/>
  <c r="C151" i="11"/>
  <c r="F117" i="11"/>
  <c r="G117" i="11" s="1"/>
  <c r="H117" i="11" s="1"/>
  <c r="C129" i="11"/>
  <c r="E111" i="11"/>
  <c r="G111" i="11" s="1"/>
  <c r="H111" i="11" s="1"/>
  <c r="D111" i="11"/>
  <c r="I122" i="11" s="1"/>
  <c r="B123" i="11"/>
  <c r="T7" i="16"/>
  <c r="I110" i="11"/>
  <c r="F121" i="11"/>
  <c r="G121" i="11" s="1"/>
  <c r="H121" i="11" s="1"/>
  <c r="C133" i="11"/>
  <c r="I105" i="11"/>
  <c r="E131" i="11"/>
  <c r="B143" i="11"/>
  <c r="E129" i="11"/>
  <c r="B141" i="11"/>
  <c r="I99" i="11"/>
  <c r="E66" i="22"/>
  <c r="U12" i="10"/>
  <c r="U15" i="10"/>
  <c r="U13" i="10"/>
  <c r="U16" i="10"/>
  <c r="B166" i="10"/>
  <c r="E154" i="10"/>
  <c r="D154" i="10"/>
  <c r="U18" i="10"/>
  <c r="E113" i="10"/>
  <c r="D113" i="10"/>
  <c r="B125" i="10"/>
  <c r="T16" i="16"/>
  <c r="T11" i="16"/>
  <c r="F114" i="10"/>
  <c r="G114" i="10" s="1"/>
  <c r="H114" i="10" s="1"/>
  <c r="C126" i="10"/>
  <c r="D114" i="10"/>
  <c r="E138" i="10"/>
  <c r="B150" i="10"/>
  <c r="U10" i="10"/>
  <c r="AI2" i="10"/>
  <c r="K27" i="10"/>
  <c r="I114" i="10"/>
  <c r="E115" i="10"/>
  <c r="D115" i="10"/>
  <c r="B127" i="10"/>
  <c r="G110" i="10"/>
  <c r="H110" i="10" s="1"/>
  <c r="I104" i="10"/>
  <c r="I109" i="10"/>
  <c r="F122" i="10"/>
  <c r="C134" i="10"/>
  <c r="F121" i="10"/>
  <c r="G121" i="10" s="1"/>
  <c r="H121" i="10" s="1"/>
  <c r="C133" i="10"/>
  <c r="K66" i="18"/>
  <c r="T18" i="16"/>
  <c r="E131" i="10"/>
  <c r="D131" i="10"/>
  <c r="B143" i="10"/>
  <c r="C135" i="10"/>
  <c r="F123" i="10"/>
  <c r="E121" i="10"/>
  <c r="B133" i="10"/>
  <c r="D121" i="10"/>
  <c r="I66" i="18"/>
  <c r="E117" i="10"/>
  <c r="D117" i="10"/>
  <c r="B129" i="10"/>
  <c r="E122" i="10"/>
  <c r="D122" i="10"/>
  <c r="B134" i="10"/>
  <c r="U9" i="8"/>
  <c r="F117" i="10"/>
  <c r="G117" i="10" s="1"/>
  <c r="H117" i="10" s="1"/>
  <c r="C129" i="10"/>
  <c r="G109" i="10"/>
  <c r="H109" i="10" s="1"/>
  <c r="T15" i="16"/>
  <c r="T14" i="16"/>
  <c r="G105" i="10"/>
  <c r="H105" i="10" s="1"/>
  <c r="J66" i="22"/>
  <c r="AI2" i="16"/>
  <c r="F113" i="10"/>
  <c r="C125" i="10"/>
  <c r="G119" i="10"/>
  <c r="H119" i="10" s="1"/>
  <c r="B123" i="10"/>
  <c r="E111" i="10"/>
  <c r="G111" i="10" s="1"/>
  <c r="H111" i="10" s="1"/>
  <c r="D111" i="10"/>
  <c r="I116" i="10" s="1"/>
  <c r="T19" i="16"/>
  <c r="G103" i="10"/>
  <c r="H103" i="10" s="1"/>
  <c r="G101" i="10"/>
  <c r="H101" i="10" s="1"/>
  <c r="C143" i="10"/>
  <c r="F131" i="10"/>
  <c r="I110" i="10"/>
  <c r="I102" i="10"/>
  <c r="I105" i="10"/>
  <c r="I107" i="10"/>
  <c r="Q88" i="19"/>
  <c r="R88" i="19" s="1"/>
  <c r="S88" i="19" s="1"/>
  <c r="T88" i="19" s="1"/>
  <c r="U88" i="19" s="1"/>
  <c r="V88" i="19" s="1"/>
  <c r="W88" i="19" s="1"/>
  <c r="X88" i="19" s="1"/>
  <c r="Y88" i="19" s="1"/>
  <c r="T13" i="16"/>
  <c r="C127" i="10"/>
  <c r="F115" i="10"/>
  <c r="U15" i="8"/>
  <c r="T12" i="16"/>
  <c r="I106" i="10"/>
  <c r="I120" i="10"/>
  <c r="I117" i="10"/>
  <c r="C166" i="10"/>
  <c r="F154" i="10"/>
  <c r="G154" i="10" s="1"/>
  <c r="H154" i="10" s="1"/>
  <c r="T9" i="16"/>
  <c r="I103" i="10"/>
  <c r="F122" i="8"/>
  <c r="C134" i="8"/>
  <c r="E117" i="8"/>
  <c r="D117" i="8"/>
  <c r="B129" i="8"/>
  <c r="E154" i="8"/>
  <c r="B166" i="8"/>
  <c r="U14" i="8"/>
  <c r="AI2" i="8"/>
  <c r="K27" i="8"/>
  <c r="I103" i="8"/>
  <c r="I106" i="8"/>
  <c r="F133" i="8"/>
  <c r="C145" i="8"/>
  <c r="E112" i="8"/>
  <c r="D112" i="8"/>
  <c r="B124" i="8"/>
  <c r="I101" i="8"/>
  <c r="I102" i="8"/>
  <c r="G121" i="8"/>
  <c r="H121" i="8" s="1"/>
  <c r="U10" i="8"/>
  <c r="E116" i="8"/>
  <c r="G116" i="8" s="1"/>
  <c r="H116" i="8" s="1"/>
  <c r="D116" i="8"/>
  <c r="B128" i="8"/>
  <c r="U11" i="8"/>
  <c r="I107" i="15"/>
  <c r="U12" i="8"/>
  <c r="F129" i="8"/>
  <c r="C141" i="8"/>
  <c r="E126" i="8"/>
  <c r="D126" i="8"/>
  <c r="B138" i="8"/>
  <c r="U16" i="8"/>
  <c r="G117" i="8"/>
  <c r="H117" i="8" s="1"/>
  <c r="L20" i="23"/>
  <c r="U17" i="8"/>
  <c r="E120" i="8"/>
  <c r="D120" i="8"/>
  <c r="B132" i="8"/>
  <c r="E121" i="8"/>
  <c r="D121" i="8"/>
  <c r="B133" i="8"/>
  <c r="F120" i="8"/>
  <c r="G120" i="8" s="1"/>
  <c r="H120" i="8" s="1"/>
  <c r="C132" i="8"/>
  <c r="E127" i="8"/>
  <c r="G127" i="8" s="1"/>
  <c r="H127" i="8" s="1"/>
  <c r="D127" i="8"/>
  <c r="B139" i="8"/>
  <c r="B134" i="8"/>
  <c r="E122" i="8"/>
  <c r="D122" i="8"/>
  <c r="F125" i="8"/>
  <c r="C137" i="8"/>
  <c r="G114" i="8"/>
  <c r="H114" i="8" s="1"/>
  <c r="E111" i="8"/>
  <c r="G111" i="8" s="1"/>
  <c r="H111" i="8" s="1"/>
  <c r="D111" i="8"/>
  <c r="B123" i="8"/>
  <c r="F126" i="8"/>
  <c r="G126" i="8" s="1"/>
  <c r="H126" i="8" s="1"/>
  <c r="C138" i="8"/>
  <c r="I106" i="15"/>
  <c r="G108" i="8"/>
  <c r="H108" i="8" s="1"/>
  <c r="I110" i="8"/>
  <c r="I108" i="8"/>
  <c r="I104" i="8"/>
  <c r="I100" i="8"/>
  <c r="I105" i="8"/>
  <c r="I107" i="8"/>
  <c r="F112" i="8"/>
  <c r="G112" i="8" s="1"/>
  <c r="H112" i="8" s="1"/>
  <c r="C124" i="8"/>
  <c r="F128" i="8"/>
  <c r="C140" i="8"/>
  <c r="E113" i="8"/>
  <c r="G113" i="8" s="1"/>
  <c r="H113" i="8" s="1"/>
  <c r="D113" i="8"/>
  <c r="B125" i="8"/>
  <c r="G100" i="8"/>
  <c r="H100" i="8" s="1"/>
  <c r="E155" i="8"/>
  <c r="G155" i="8" s="1"/>
  <c r="H155" i="8" s="1"/>
  <c r="D155" i="8"/>
  <c r="B167" i="8"/>
  <c r="C142" i="8"/>
  <c r="F130" i="8"/>
  <c r="G130" i="8" s="1"/>
  <c r="H130" i="8" s="1"/>
  <c r="D130" i="8"/>
  <c r="DL49" i="17"/>
  <c r="DL48" i="17"/>
  <c r="DL50" i="17"/>
  <c r="CX59" i="17"/>
  <c r="CY59" i="17" s="1"/>
  <c r="CZ59" i="17" s="1"/>
  <c r="DA59" i="17" s="1"/>
  <c r="DB59" i="17" s="1"/>
  <c r="I111" i="9"/>
  <c r="I116" i="9"/>
  <c r="C122" i="9"/>
  <c r="F110" i="9"/>
  <c r="I98" i="15"/>
  <c r="G114" i="9"/>
  <c r="H114" i="9" s="1"/>
  <c r="F124" i="9"/>
  <c r="C136" i="9"/>
  <c r="B66" i="23"/>
  <c r="P88" i="18"/>
  <c r="Q88" i="18" s="1"/>
  <c r="R88" i="18" s="1"/>
  <c r="S88" i="18" s="1"/>
  <c r="T88" i="18" s="1"/>
  <c r="U88" i="18" s="1"/>
  <c r="V88" i="18" s="1"/>
  <c r="W88" i="18" s="1"/>
  <c r="X88" i="18" s="1"/>
  <c r="Y88" i="18" s="1"/>
  <c r="F126" i="9"/>
  <c r="G126" i="9" s="1"/>
  <c r="H126" i="9" s="1"/>
  <c r="C138" i="9"/>
  <c r="F128" i="9"/>
  <c r="C140" i="9"/>
  <c r="G115" i="9"/>
  <c r="H115" i="9" s="1"/>
  <c r="I108" i="15"/>
  <c r="N22" i="9"/>
  <c r="M22" i="9"/>
  <c r="L22" i="9"/>
  <c r="W89" i="9" s="1"/>
  <c r="I106" i="9"/>
  <c r="E117" i="9"/>
  <c r="D117" i="9"/>
  <c r="B129" i="9"/>
  <c r="B142" i="9"/>
  <c r="D130" i="9"/>
  <c r="E130" i="9"/>
  <c r="I102" i="16"/>
  <c r="G118" i="9"/>
  <c r="H118" i="9" s="1"/>
  <c r="E113" i="9"/>
  <c r="D113" i="9"/>
  <c r="I119" i="9" s="1"/>
  <c r="B125" i="9"/>
  <c r="E119" i="9"/>
  <c r="G119" i="9" s="1"/>
  <c r="H119" i="9" s="1"/>
  <c r="B131" i="9"/>
  <c r="D119" i="9"/>
  <c r="F127" i="9"/>
  <c r="C139" i="9"/>
  <c r="C142" i="9"/>
  <c r="F130" i="9"/>
  <c r="E111" i="9"/>
  <c r="B123" i="9"/>
  <c r="D111" i="9"/>
  <c r="E112" i="9"/>
  <c r="D112" i="9"/>
  <c r="B124" i="9"/>
  <c r="F113" i="9"/>
  <c r="C125" i="9"/>
  <c r="F123" i="9"/>
  <c r="C135" i="9"/>
  <c r="I99" i="16"/>
  <c r="G111" i="9"/>
  <c r="H111" i="9" s="1"/>
  <c r="I109" i="9"/>
  <c r="I108" i="9"/>
  <c r="I107" i="9"/>
  <c r="B122" i="9"/>
  <c r="D110" i="9"/>
  <c r="E110" i="9"/>
  <c r="G116" i="9"/>
  <c r="H116" i="9" s="1"/>
  <c r="E121" i="9"/>
  <c r="D121" i="9"/>
  <c r="B133" i="9"/>
  <c r="U10" i="15"/>
  <c r="F117" i="9"/>
  <c r="C129" i="9"/>
  <c r="F132" i="9"/>
  <c r="C144" i="9"/>
  <c r="H68" i="18"/>
  <c r="G105" i="9"/>
  <c r="H105" i="9" s="1"/>
  <c r="E115" i="9"/>
  <c r="D115" i="9"/>
  <c r="B127" i="9"/>
  <c r="G112" i="9"/>
  <c r="H112" i="9" s="1"/>
  <c r="E126" i="9"/>
  <c r="D126" i="9"/>
  <c r="B138" i="9"/>
  <c r="I104" i="9"/>
  <c r="I105" i="9"/>
  <c r="I104" i="15"/>
  <c r="F131" i="9"/>
  <c r="C143" i="9"/>
  <c r="E120" i="9"/>
  <c r="G120" i="9" s="1"/>
  <c r="H120" i="9" s="1"/>
  <c r="D120" i="9"/>
  <c r="B132" i="9"/>
  <c r="N87" i="23"/>
  <c r="O87" i="23" s="1"/>
  <c r="P87" i="23" s="1"/>
  <c r="Q87" i="23" s="1"/>
  <c r="R87" i="23" s="1"/>
  <c r="S87" i="23" s="1"/>
  <c r="T87" i="23" s="1"/>
  <c r="U87" i="23" s="1"/>
  <c r="V87" i="23" s="1"/>
  <c r="W87" i="23" s="1"/>
  <c r="X87" i="23" s="1"/>
  <c r="Y87" i="23" s="1"/>
  <c r="I101" i="16"/>
  <c r="F121" i="9"/>
  <c r="G121" i="9" s="1"/>
  <c r="H121" i="9" s="1"/>
  <c r="C133" i="9"/>
  <c r="E116" i="9"/>
  <c r="D116" i="9"/>
  <c r="B128" i="9"/>
  <c r="G109" i="9"/>
  <c r="H109" i="9" s="1"/>
  <c r="I103" i="9"/>
  <c r="E117" i="16"/>
  <c r="D117" i="16"/>
  <c r="B129" i="16"/>
  <c r="F115" i="16"/>
  <c r="G115" i="16" s="1"/>
  <c r="H115" i="16" s="1"/>
  <c r="C127" i="16"/>
  <c r="F143" i="16"/>
  <c r="G143" i="16" s="1"/>
  <c r="H143" i="16" s="1"/>
  <c r="C155" i="16"/>
  <c r="F122" i="16"/>
  <c r="C134" i="16"/>
  <c r="E115" i="16"/>
  <c r="D115" i="16"/>
  <c r="B127" i="16"/>
  <c r="F113" i="16"/>
  <c r="G113" i="16" s="1"/>
  <c r="H113" i="16" s="1"/>
  <c r="C125" i="16"/>
  <c r="T82" i="23"/>
  <c r="U82" i="23" s="1"/>
  <c r="V82" i="23" s="1"/>
  <c r="W82" i="23" s="1"/>
  <c r="X82" i="23" s="1"/>
  <c r="Y82" i="23" s="1"/>
  <c r="G110" i="16"/>
  <c r="H110" i="16" s="1"/>
  <c r="E150" i="16"/>
  <c r="D150" i="16"/>
  <c r="B162" i="16"/>
  <c r="H69" i="18"/>
  <c r="P16" i="23"/>
  <c r="Q16" i="23" s="1"/>
  <c r="U16" i="15"/>
  <c r="E168" i="16"/>
  <c r="D168" i="16"/>
  <c r="B180" i="16"/>
  <c r="G138" i="16"/>
  <c r="H138" i="16" s="1"/>
  <c r="C162" i="16"/>
  <c r="F150" i="16"/>
  <c r="P17" i="18"/>
  <c r="B140" i="16"/>
  <c r="E128" i="16"/>
  <c r="D128" i="16"/>
  <c r="E143" i="16"/>
  <c r="D143" i="16"/>
  <c r="B155" i="16"/>
  <c r="C123" i="16"/>
  <c r="F111" i="16"/>
  <c r="L68" i="18"/>
  <c r="I69" i="18"/>
  <c r="U18" i="15"/>
  <c r="L67" i="18"/>
  <c r="B123" i="16"/>
  <c r="E111" i="16"/>
  <c r="D111" i="16"/>
  <c r="F117" i="16"/>
  <c r="G117" i="16" s="1"/>
  <c r="H117" i="16" s="1"/>
  <c r="C129" i="16"/>
  <c r="Q15" i="19"/>
  <c r="G105" i="16"/>
  <c r="H105" i="16" s="1"/>
  <c r="Q14" i="19"/>
  <c r="B69" i="23"/>
  <c r="U10" i="7"/>
  <c r="F121" i="16"/>
  <c r="G121" i="16" s="1"/>
  <c r="H121" i="16" s="1"/>
  <c r="C133" i="16"/>
  <c r="I109" i="16"/>
  <c r="I107" i="16"/>
  <c r="I100" i="16"/>
  <c r="I108" i="16"/>
  <c r="I104" i="16"/>
  <c r="R86" i="19"/>
  <c r="S86" i="19" s="1"/>
  <c r="T86" i="19" s="1"/>
  <c r="U86" i="19" s="1"/>
  <c r="V86" i="19" s="1"/>
  <c r="W86" i="19" s="1"/>
  <c r="X86" i="19" s="1"/>
  <c r="Y86" i="19" s="1"/>
  <c r="E130" i="16"/>
  <c r="D130" i="16"/>
  <c r="B142" i="16"/>
  <c r="E110" i="16"/>
  <c r="D110" i="16"/>
  <c r="I110" i="16" s="1"/>
  <c r="B122" i="16"/>
  <c r="E124" i="16"/>
  <c r="D124" i="16"/>
  <c r="B136" i="16"/>
  <c r="F128" i="16"/>
  <c r="G128" i="16" s="1"/>
  <c r="H128" i="16" s="1"/>
  <c r="C140" i="16"/>
  <c r="Q15" i="23"/>
  <c r="F130" i="16"/>
  <c r="C142" i="16"/>
  <c r="F168" i="16"/>
  <c r="C180" i="16"/>
  <c r="G156" i="16"/>
  <c r="H156" i="16" s="1"/>
  <c r="E121" i="16"/>
  <c r="D121" i="16"/>
  <c r="B133" i="16"/>
  <c r="P12" i="23"/>
  <c r="Q12" i="23" s="1"/>
  <c r="I106" i="16"/>
  <c r="E113" i="16"/>
  <c r="D113" i="16"/>
  <c r="B125" i="16"/>
  <c r="I103" i="16"/>
  <c r="F124" i="16"/>
  <c r="G124" i="16" s="1"/>
  <c r="H124" i="16" s="1"/>
  <c r="C136" i="16"/>
  <c r="G118" i="16"/>
  <c r="H118" i="16" s="1"/>
  <c r="I67" i="18"/>
  <c r="I105" i="16"/>
  <c r="G112" i="16"/>
  <c r="H112" i="16" s="1"/>
  <c r="B139" i="15"/>
  <c r="D127" i="15"/>
  <c r="E127" i="15"/>
  <c r="F131" i="15"/>
  <c r="C143" i="15"/>
  <c r="E133" i="15"/>
  <c r="D133" i="15"/>
  <c r="B145" i="15"/>
  <c r="F127" i="15"/>
  <c r="G127" i="15" s="1"/>
  <c r="H127" i="15" s="1"/>
  <c r="C139" i="15"/>
  <c r="I109" i="15"/>
  <c r="I105" i="15"/>
  <c r="G115" i="15"/>
  <c r="H115" i="15" s="1"/>
  <c r="B140" i="15"/>
  <c r="E128" i="15"/>
  <c r="D154" i="15"/>
  <c r="B166" i="15"/>
  <c r="E154" i="15"/>
  <c r="G154" i="15" s="1"/>
  <c r="H154" i="15" s="1"/>
  <c r="G120" i="15"/>
  <c r="H120" i="15" s="1"/>
  <c r="F148" i="15"/>
  <c r="C160" i="15"/>
  <c r="C122" i="15"/>
  <c r="F110" i="15"/>
  <c r="G110" i="15" s="1"/>
  <c r="H110" i="15" s="1"/>
  <c r="I100" i="15"/>
  <c r="G98" i="15"/>
  <c r="H98" i="15" s="1"/>
  <c r="F132" i="15"/>
  <c r="C144" i="15"/>
  <c r="E123" i="15"/>
  <c r="D123" i="15"/>
  <c r="B135" i="15"/>
  <c r="I102" i="15"/>
  <c r="B144" i="15"/>
  <c r="E132" i="15"/>
  <c r="D132" i="15"/>
  <c r="C126" i="15"/>
  <c r="F114" i="15"/>
  <c r="F111" i="15"/>
  <c r="G111" i="15" s="1"/>
  <c r="H111" i="15" s="1"/>
  <c r="C123" i="15"/>
  <c r="F166" i="15"/>
  <c r="C178" i="15"/>
  <c r="AI2" i="15"/>
  <c r="I103" i="15"/>
  <c r="E114" i="15"/>
  <c r="D114" i="15"/>
  <c r="B126" i="15"/>
  <c r="E141" i="15"/>
  <c r="B153" i="15"/>
  <c r="U13" i="7"/>
  <c r="F117" i="15"/>
  <c r="G117" i="15" s="1"/>
  <c r="H117" i="15" s="1"/>
  <c r="C129" i="15"/>
  <c r="D117" i="15"/>
  <c r="U16" i="7"/>
  <c r="G101" i="15"/>
  <c r="H101" i="15" s="1"/>
  <c r="U8" i="15"/>
  <c r="F113" i="15"/>
  <c r="C125" i="15"/>
  <c r="E113" i="15"/>
  <c r="D113" i="15"/>
  <c r="B125" i="15"/>
  <c r="F116" i="15"/>
  <c r="G116" i="15" s="1"/>
  <c r="H116" i="15" s="1"/>
  <c r="C128" i="15"/>
  <c r="D128" i="15" s="1"/>
  <c r="U13" i="15"/>
  <c r="D131" i="15"/>
  <c r="B143" i="15"/>
  <c r="E131" i="15"/>
  <c r="B122" i="15"/>
  <c r="E110" i="15"/>
  <c r="D110" i="15"/>
  <c r="I111" i="15" s="1"/>
  <c r="B136" i="15"/>
  <c r="D124" i="15"/>
  <c r="E124" i="15"/>
  <c r="G124" i="15" s="1"/>
  <c r="H124" i="15" s="1"/>
  <c r="F121" i="15"/>
  <c r="G121" i="15" s="1"/>
  <c r="H121" i="15" s="1"/>
  <c r="C133" i="15"/>
  <c r="I101" i="15"/>
  <c r="U9" i="15"/>
  <c r="I110" i="7"/>
  <c r="F137" i="7"/>
  <c r="C149" i="7"/>
  <c r="G125" i="7"/>
  <c r="H125" i="7" s="1"/>
  <c r="E137" i="7"/>
  <c r="D137" i="7"/>
  <c r="B149" i="7"/>
  <c r="T19" i="25"/>
  <c r="F117" i="7"/>
  <c r="G117" i="7" s="1"/>
  <c r="H117" i="7" s="1"/>
  <c r="C129" i="7"/>
  <c r="U8" i="7"/>
  <c r="T11" i="25"/>
  <c r="G105" i="7"/>
  <c r="H105" i="7" s="1"/>
  <c r="T12" i="25"/>
  <c r="T7" i="25"/>
  <c r="U18" i="3"/>
  <c r="U17" i="7"/>
  <c r="T8" i="25"/>
  <c r="U18" i="7"/>
  <c r="T13" i="25"/>
  <c r="D128" i="7"/>
  <c r="B140" i="7"/>
  <c r="E128" i="7"/>
  <c r="T9" i="25"/>
  <c r="D120" i="7"/>
  <c r="E120" i="7"/>
  <c r="B132" i="7"/>
  <c r="F130" i="7"/>
  <c r="G130" i="7" s="1"/>
  <c r="H130" i="7" s="1"/>
  <c r="C142" i="7"/>
  <c r="T14" i="25"/>
  <c r="U11" i="7"/>
  <c r="T15" i="25"/>
  <c r="B174" i="7"/>
  <c r="E162" i="7"/>
  <c r="U12" i="7"/>
  <c r="T16" i="25"/>
  <c r="U14" i="7"/>
  <c r="D56" i="25"/>
  <c r="F56" i="25" s="1"/>
  <c r="U15" i="7"/>
  <c r="F132" i="7"/>
  <c r="C144" i="7"/>
  <c r="I111" i="7"/>
  <c r="AI2" i="7"/>
  <c r="K27" i="7"/>
  <c r="G120" i="7"/>
  <c r="H120" i="7" s="1"/>
  <c r="I109" i="7"/>
  <c r="I108" i="7"/>
  <c r="F123" i="7"/>
  <c r="G123" i="7" s="1"/>
  <c r="H123" i="7" s="1"/>
  <c r="C135" i="7"/>
  <c r="D123" i="7"/>
  <c r="E121" i="7"/>
  <c r="G121" i="7" s="1"/>
  <c r="H121" i="7" s="1"/>
  <c r="D121" i="7"/>
  <c r="B133" i="7"/>
  <c r="F110" i="7"/>
  <c r="G110" i="7" s="1"/>
  <c r="H110" i="7" s="1"/>
  <c r="C122" i="7"/>
  <c r="T10" i="25"/>
  <c r="U9" i="7"/>
  <c r="F133" i="7"/>
  <c r="C145" i="7"/>
  <c r="F126" i="7"/>
  <c r="G126" i="7" s="1"/>
  <c r="H126" i="7" s="1"/>
  <c r="C138" i="7"/>
  <c r="D126" i="7"/>
  <c r="B167" i="7"/>
  <c r="E155" i="7"/>
  <c r="G116" i="7"/>
  <c r="H116" i="7" s="1"/>
  <c r="F127" i="7"/>
  <c r="C139" i="7"/>
  <c r="B139" i="7"/>
  <c r="E127" i="7"/>
  <c r="D127" i="7"/>
  <c r="E130" i="7"/>
  <c r="D130" i="7"/>
  <c r="B142" i="7"/>
  <c r="D117" i="7"/>
  <c r="E117" i="7"/>
  <c r="B129" i="7"/>
  <c r="C136" i="7"/>
  <c r="F124" i="7"/>
  <c r="B134" i="7"/>
  <c r="E122" i="7"/>
  <c r="D122" i="7"/>
  <c r="D112" i="7"/>
  <c r="I112" i="7" s="1"/>
  <c r="B124" i="7"/>
  <c r="E112" i="7"/>
  <c r="I118" i="7"/>
  <c r="C140" i="7"/>
  <c r="F128" i="7"/>
  <c r="G128" i="7" s="1"/>
  <c r="H128" i="7" s="1"/>
  <c r="I98" i="7"/>
  <c r="I66" i="22"/>
  <c r="F131" i="7"/>
  <c r="G131" i="7" s="1"/>
  <c r="H131" i="7" s="1"/>
  <c r="C143" i="7"/>
  <c r="D131" i="7"/>
  <c r="I116" i="7"/>
  <c r="I113" i="7"/>
  <c r="G112" i="7"/>
  <c r="H112" i="7" s="1"/>
  <c r="I103" i="7"/>
  <c r="E119" i="6"/>
  <c r="G119" i="6" s="1"/>
  <c r="H119" i="6" s="1"/>
  <c r="D119" i="6"/>
  <c r="B131" i="6"/>
  <c r="F113" i="6"/>
  <c r="C125" i="6"/>
  <c r="J68" i="23"/>
  <c r="F116" i="6"/>
  <c r="C128" i="6"/>
  <c r="I111" i="6"/>
  <c r="F117" i="6"/>
  <c r="C129" i="6"/>
  <c r="M20" i="23"/>
  <c r="G105" i="6"/>
  <c r="H105" i="6" s="1"/>
  <c r="E138" i="6"/>
  <c r="D138" i="6"/>
  <c r="B150" i="6"/>
  <c r="J17" i="23"/>
  <c r="U15" i="5"/>
  <c r="E112" i="6"/>
  <c r="D112" i="6"/>
  <c r="B124" i="6"/>
  <c r="E122" i="6"/>
  <c r="D122" i="6"/>
  <c r="B134" i="6"/>
  <c r="J20" i="19"/>
  <c r="I69" i="19"/>
  <c r="F120" i="6"/>
  <c r="G120" i="6" s="1"/>
  <c r="H120" i="6" s="1"/>
  <c r="C132" i="6"/>
  <c r="F121" i="6"/>
  <c r="G121" i="6" s="1"/>
  <c r="H121" i="6" s="1"/>
  <c r="C133" i="6"/>
  <c r="G108" i="6"/>
  <c r="H108" i="6" s="1"/>
  <c r="P18" i="22"/>
  <c r="Q18" i="22" s="1"/>
  <c r="I110" i="6"/>
  <c r="Q87" i="18"/>
  <c r="R87" i="18" s="1"/>
  <c r="S87" i="18" s="1"/>
  <c r="T87" i="18" s="1"/>
  <c r="U87" i="18" s="1"/>
  <c r="V87" i="18" s="1"/>
  <c r="W87" i="18" s="1"/>
  <c r="X87" i="18" s="1"/>
  <c r="Y87" i="18" s="1"/>
  <c r="G110" i="6"/>
  <c r="H110" i="6" s="1"/>
  <c r="E116" i="6"/>
  <c r="D116" i="6"/>
  <c r="B128" i="6"/>
  <c r="E111" i="6"/>
  <c r="G111" i="6" s="1"/>
  <c r="H111" i="6" s="1"/>
  <c r="D111" i="6"/>
  <c r="B123" i="6"/>
  <c r="I99" i="6"/>
  <c r="D56" i="14"/>
  <c r="F56" i="14" s="1"/>
  <c r="E113" i="6"/>
  <c r="D113" i="6"/>
  <c r="B125" i="6"/>
  <c r="T19" i="14"/>
  <c r="N20" i="19"/>
  <c r="M66" i="19"/>
  <c r="N17" i="23"/>
  <c r="T7" i="14"/>
  <c r="F122" i="6"/>
  <c r="G122" i="6" s="1"/>
  <c r="H122" i="6" s="1"/>
  <c r="C134" i="6"/>
  <c r="I100" i="6"/>
  <c r="T11" i="14"/>
  <c r="T7" i="13"/>
  <c r="T12" i="14"/>
  <c r="I68" i="18"/>
  <c r="I101" i="6"/>
  <c r="E117" i="6"/>
  <c r="D117" i="6"/>
  <c r="B129" i="6"/>
  <c r="I104" i="6"/>
  <c r="P18" i="23"/>
  <c r="I108" i="6"/>
  <c r="I109" i="6"/>
  <c r="B142" i="6"/>
  <c r="E130" i="6"/>
  <c r="D130" i="6"/>
  <c r="E120" i="6"/>
  <c r="D120" i="6"/>
  <c r="B132" i="6"/>
  <c r="G118" i="6"/>
  <c r="H118" i="6" s="1"/>
  <c r="I107" i="6"/>
  <c r="F130" i="6"/>
  <c r="G130" i="6" s="1"/>
  <c r="H130" i="6" s="1"/>
  <c r="C142" i="6"/>
  <c r="E121" i="6"/>
  <c r="D121" i="6"/>
  <c r="B133" i="6"/>
  <c r="U11" i="5"/>
  <c r="I106" i="6"/>
  <c r="I120" i="6"/>
  <c r="I114" i="6"/>
  <c r="S6" i="13"/>
  <c r="AI2" i="13" s="1"/>
  <c r="G126" i="6"/>
  <c r="H126" i="6" s="1"/>
  <c r="E115" i="6"/>
  <c r="G115" i="6" s="1"/>
  <c r="H115" i="6" s="1"/>
  <c r="D115" i="6"/>
  <c r="B127" i="6"/>
  <c r="F138" i="6"/>
  <c r="G138" i="6" s="1"/>
  <c r="H138" i="6" s="1"/>
  <c r="C150" i="6"/>
  <c r="I105" i="6"/>
  <c r="F112" i="6"/>
  <c r="C124" i="6"/>
  <c r="F112" i="5"/>
  <c r="G112" i="5" s="1"/>
  <c r="H112" i="5" s="1"/>
  <c r="C124" i="5"/>
  <c r="D112" i="5"/>
  <c r="G104" i="5"/>
  <c r="H104" i="5" s="1"/>
  <c r="F116" i="5"/>
  <c r="C128" i="5"/>
  <c r="E134" i="5"/>
  <c r="D134" i="5"/>
  <c r="B146" i="5"/>
  <c r="E138" i="5"/>
  <c r="B150" i="5"/>
  <c r="I113" i="25"/>
  <c r="M66" i="22"/>
  <c r="N20" i="22"/>
  <c r="F130" i="5"/>
  <c r="G130" i="5" s="1"/>
  <c r="H130" i="5" s="1"/>
  <c r="C142" i="5"/>
  <c r="E129" i="5"/>
  <c r="D129" i="5"/>
  <c r="B141" i="5"/>
  <c r="F125" i="5"/>
  <c r="C137" i="5"/>
  <c r="E179" i="5"/>
  <c r="B191" i="5"/>
  <c r="B139" i="5"/>
  <c r="E127" i="5"/>
  <c r="D127" i="5"/>
  <c r="G118" i="5"/>
  <c r="H118" i="5" s="1"/>
  <c r="F120" i="5"/>
  <c r="G120" i="5" s="1"/>
  <c r="H120" i="5" s="1"/>
  <c r="C132" i="5"/>
  <c r="D120" i="5"/>
  <c r="I121" i="5" s="1"/>
  <c r="U12" i="5"/>
  <c r="C141" i="5"/>
  <c r="F129" i="5"/>
  <c r="G129" i="5" s="1"/>
  <c r="H129" i="5" s="1"/>
  <c r="C139" i="5"/>
  <c r="F127" i="5"/>
  <c r="G127" i="5" s="1"/>
  <c r="H127" i="5" s="1"/>
  <c r="E113" i="5"/>
  <c r="G113" i="5" s="1"/>
  <c r="H113" i="5" s="1"/>
  <c r="D113" i="5"/>
  <c r="B125" i="5"/>
  <c r="E144" i="5"/>
  <c r="B156" i="5"/>
  <c r="E130" i="5"/>
  <c r="D130" i="5"/>
  <c r="B142" i="5"/>
  <c r="U8" i="3"/>
  <c r="U17" i="5"/>
  <c r="T15" i="14"/>
  <c r="E148" i="5"/>
  <c r="B160" i="5"/>
  <c r="U13" i="5"/>
  <c r="E159" i="5"/>
  <c r="G159" i="5" s="1"/>
  <c r="H159" i="5" s="1"/>
  <c r="B171" i="5"/>
  <c r="D159" i="5"/>
  <c r="T8" i="14"/>
  <c r="U9" i="14" s="1"/>
  <c r="I110" i="25"/>
  <c r="C145" i="5"/>
  <c r="F133" i="5"/>
  <c r="F126" i="5"/>
  <c r="G126" i="5" s="1"/>
  <c r="H126" i="5" s="1"/>
  <c r="C138" i="5"/>
  <c r="D138" i="5" s="1"/>
  <c r="U16" i="5"/>
  <c r="K27" i="5"/>
  <c r="AI2" i="5"/>
  <c r="E121" i="5"/>
  <c r="G121" i="5" s="1"/>
  <c r="H121" i="5" s="1"/>
  <c r="B133" i="5"/>
  <c r="D121" i="5"/>
  <c r="U18" i="5"/>
  <c r="P18" i="5" s="1"/>
  <c r="F122" i="5"/>
  <c r="G122" i="5" s="1"/>
  <c r="H122" i="5" s="1"/>
  <c r="C134" i="5"/>
  <c r="F119" i="5"/>
  <c r="G119" i="5" s="1"/>
  <c r="H119" i="5" s="1"/>
  <c r="C131" i="5"/>
  <c r="D119" i="5"/>
  <c r="D116" i="5"/>
  <c r="E116" i="5"/>
  <c r="B128" i="5"/>
  <c r="F171" i="5"/>
  <c r="C183" i="5"/>
  <c r="D116" i="4"/>
  <c r="B128" i="4"/>
  <c r="E116" i="4"/>
  <c r="G116" i="4" s="1"/>
  <c r="H116" i="4" s="1"/>
  <c r="D112" i="4"/>
  <c r="B124" i="4"/>
  <c r="E112" i="4"/>
  <c r="I103" i="14"/>
  <c r="F156" i="4"/>
  <c r="C168" i="4"/>
  <c r="G112" i="4"/>
  <c r="H112" i="4" s="1"/>
  <c r="C126" i="4"/>
  <c r="F114" i="4"/>
  <c r="G114" i="4" s="1"/>
  <c r="H114" i="4" s="1"/>
  <c r="D120" i="4"/>
  <c r="B132" i="4"/>
  <c r="E120" i="4"/>
  <c r="G120" i="4" s="1"/>
  <c r="H120" i="4" s="1"/>
  <c r="C136" i="4"/>
  <c r="F124" i="4"/>
  <c r="C140" i="4"/>
  <c r="F128" i="4"/>
  <c r="I105" i="18"/>
  <c r="U12" i="3"/>
  <c r="I119" i="4"/>
  <c r="I101" i="4"/>
  <c r="E123" i="4"/>
  <c r="B135" i="4"/>
  <c r="D123" i="4"/>
  <c r="C56" i="23"/>
  <c r="T19" i="23" s="1"/>
  <c r="I101" i="13"/>
  <c r="F130" i="4"/>
  <c r="C142" i="4"/>
  <c r="F113" i="4"/>
  <c r="G113" i="4" s="1"/>
  <c r="H113" i="4" s="1"/>
  <c r="C125" i="4"/>
  <c r="D113" i="4"/>
  <c r="E113" i="4"/>
  <c r="B125" i="4"/>
  <c r="G122" i="4"/>
  <c r="H122" i="4" s="1"/>
  <c r="I112" i="4"/>
  <c r="F134" i="4"/>
  <c r="G134" i="4" s="1"/>
  <c r="H134" i="4" s="1"/>
  <c r="C146" i="4"/>
  <c r="D114" i="4"/>
  <c r="I122" i="4" s="1"/>
  <c r="I106" i="4"/>
  <c r="I118" i="4"/>
  <c r="I103" i="4"/>
  <c r="D126" i="4"/>
  <c r="E126" i="4"/>
  <c r="B138" i="4"/>
  <c r="F117" i="4"/>
  <c r="G117" i="4" s="1"/>
  <c r="H117" i="4" s="1"/>
  <c r="C129" i="4"/>
  <c r="I114" i="4"/>
  <c r="E119" i="4"/>
  <c r="B131" i="4"/>
  <c r="D119" i="4"/>
  <c r="G105" i="4"/>
  <c r="H105" i="4" s="1"/>
  <c r="I113" i="4"/>
  <c r="I110" i="4"/>
  <c r="I111" i="4"/>
  <c r="I108" i="4"/>
  <c r="M20" i="18"/>
  <c r="C151" i="4"/>
  <c r="F139" i="4"/>
  <c r="G127" i="4"/>
  <c r="H127" i="4" s="1"/>
  <c r="U15" i="3"/>
  <c r="D117" i="4"/>
  <c r="B129" i="4"/>
  <c r="E117" i="4"/>
  <c r="B145" i="4"/>
  <c r="E133" i="4"/>
  <c r="D134" i="4"/>
  <c r="E134" i="4"/>
  <c r="B146" i="4"/>
  <c r="I107" i="19"/>
  <c r="P19" i="18"/>
  <c r="G111" i="4"/>
  <c r="H111" i="4" s="1"/>
  <c r="I116" i="4"/>
  <c r="E130" i="4"/>
  <c r="B142" i="4"/>
  <c r="D130" i="4"/>
  <c r="C135" i="4"/>
  <c r="F123" i="4"/>
  <c r="G119" i="4"/>
  <c r="H119" i="4" s="1"/>
  <c r="E139" i="4"/>
  <c r="B151" i="4"/>
  <c r="D139" i="4"/>
  <c r="F121" i="4"/>
  <c r="G121" i="4" s="1"/>
  <c r="H121" i="4" s="1"/>
  <c r="C133" i="4"/>
  <c r="D133" i="4" s="1"/>
  <c r="F131" i="4"/>
  <c r="C143" i="4"/>
  <c r="I109" i="22"/>
  <c r="I110" i="3"/>
  <c r="E117" i="3"/>
  <c r="G117" i="3" s="1"/>
  <c r="H117" i="3" s="1"/>
  <c r="B129" i="3"/>
  <c r="D117" i="3"/>
  <c r="I107" i="3"/>
  <c r="F20" i="18"/>
  <c r="Q86" i="18"/>
  <c r="R86" i="18" s="1"/>
  <c r="S86" i="18" s="1"/>
  <c r="T86" i="18" s="1"/>
  <c r="U86" i="18" s="1"/>
  <c r="V86" i="18" s="1"/>
  <c r="W86" i="18" s="1"/>
  <c r="X86" i="18" s="1"/>
  <c r="Y86" i="18" s="1"/>
  <c r="F116" i="3"/>
  <c r="G116" i="3" s="1"/>
  <c r="H116" i="3" s="1"/>
  <c r="C128" i="3"/>
  <c r="D128" i="3" s="1"/>
  <c r="H66" i="22"/>
  <c r="I20" i="22"/>
  <c r="B139" i="3"/>
  <c r="E127" i="3"/>
  <c r="D127" i="3"/>
  <c r="H66" i="23"/>
  <c r="I109" i="3"/>
  <c r="F20" i="19"/>
  <c r="J69" i="18"/>
  <c r="K20" i="18"/>
  <c r="J67" i="18"/>
  <c r="J68" i="18"/>
  <c r="U11" i="3"/>
  <c r="I112" i="22"/>
  <c r="E137" i="3"/>
  <c r="G137" i="3" s="1"/>
  <c r="H137" i="3" s="1"/>
  <c r="D137" i="3"/>
  <c r="B149" i="3"/>
  <c r="O87" i="19"/>
  <c r="P87" i="19" s="1"/>
  <c r="Q87" i="19" s="1"/>
  <c r="R87" i="19" s="1"/>
  <c r="S87" i="19" s="1"/>
  <c r="T87" i="19" s="1"/>
  <c r="U87" i="19" s="1"/>
  <c r="V87" i="19" s="1"/>
  <c r="W87" i="19" s="1"/>
  <c r="X87" i="19" s="1"/>
  <c r="Y87" i="19" s="1"/>
  <c r="I100" i="14"/>
  <c r="U10" i="3"/>
  <c r="G20" i="19"/>
  <c r="F69" i="19"/>
  <c r="F66" i="19"/>
  <c r="G17" i="23"/>
  <c r="I106" i="14"/>
  <c r="C184" i="3"/>
  <c r="F172" i="3"/>
  <c r="E67" i="18"/>
  <c r="D66" i="22"/>
  <c r="E20" i="22"/>
  <c r="E128" i="3"/>
  <c r="B140" i="3"/>
  <c r="U13" i="3"/>
  <c r="D116" i="3"/>
  <c r="C135" i="3"/>
  <c r="F123" i="3"/>
  <c r="E124" i="3"/>
  <c r="G124" i="3" s="1"/>
  <c r="H124" i="3" s="1"/>
  <c r="D124" i="3"/>
  <c r="B136" i="3"/>
  <c r="J69" i="23"/>
  <c r="H20" i="22"/>
  <c r="G66" i="22"/>
  <c r="I108" i="18"/>
  <c r="I101" i="19"/>
  <c r="D20" i="22"/>
  <c r="O87" i="22"/>
  <c r="P87" i="22" s="1"/>
  <c r="Q87" i="22" s="1"/>
  <c r="R87" i="22" s="1"/>
  <c r="S87" i="22" s="1"/>
  <c r="T87" i="22" s="1"/>
  <c r="U87" i="22" s="1"/>
  <c r="V87" i="22" s="1"/>
  <c r="W87" i="22" s="1"/>
  <c r="X87" i="22" s="1"/>
  <c r="Y87" i="22" s="1"/>
  <c r="C66" i="22"/>
  <c r="I17" i="23"/>
  <c r="H69" i="23" s="1"/>
  <c r="H66" i="19"/>
  <c r="I20" i="19"/>
  <c r="U14" i="3"/>
  <c r="C145" i="3"/>
  <c r="F133" i="3"/>
  <c r="B134" i="3"/>
  <c r="E122" i="3"/>
  <c r="D122" i="3"/>
  <c r="I101" i="18"/>
  <c r="C150" i="3"/>
  <c r="F138" i="3"/>
  <c r="U16" i="3"/>
  <c r="E121" i="3"/>
  <c r="D121" i="3"/>
  <c r="B133" i="3"/>
  <c r="G121" i="3"/>
  <c r="H121" i="3" s="1"/>
  <c r="U17" i="3"/>
  <c r="I67" i="23"/>
  <c r="F119" i="3"/>
  <c r="G119" i="3" s="1"/>
  <c r="H119" i="3" s="1"/>
  <c r="C131" i="3"/>
  <c r="D119" i="3"/>
  <c r="G68" i="18"/>
  <c r="G67" i="18"/>
  <c r="I115" i="3"/>
  <c r="B150" i="3"/>
  <c r="E138" i="3"/>
  <c r="D138" i="3"/>
  <c r="G66" i="19"/>
  <c r="H17" i="23"/>
  <c r="G69" i="19"/>
  <c r="H20" i="19"/>
  <c r="AI2" i="3"/>
  <c r="K27" i="3"/>
  <c r="I112" i="3"/>
  <c r="C161" i="3"/>
  <c r="F149" i="3"/>
  <c r="F120" i="3"/>
  <c r="G120" i="3" s="1"/>
  <c r="H120" i="3" s="1"/>
  <c r="C132" i="3"/>
  <c r="P18" i="19"/>
  <c r="F19" i="23"/>
  <c r="P19" i="19"/>
  <c r="U9" i="3"/>
  <c r="B166" i="3"/>
  <c r="E154" i="3"/>
  <c r="G66" i="18"/>
  <c r="H20" i="18"/>
  <c r="G110" i="3"/>
  <c r="H110" i="3" s="1"/>
  <c r="I99" i="19"/>
  <c r="C56" i="18"/>
  <c r="D56" i="18" s="1"/>
  <c r="F56" i="18" s="1"/>
  <c r="C56" i="22"/>
  <c r="T12" i="22" s="1"/>
  <c r="B155" i="3"/>
  <c r="E143" i="3"/>
  <c r="I113" i="3"/>
  <c r="C139" i="3"/>
  <c r="F127" i="3"/>
  <c r="G127" i="3" s="1"/>
  <c r="H127" i="3" s="1"/>
  <c r="E68" i="18"/>
  <c r="C134" i="3"/>
  <c r="F122" i="3"/>
  <c r="G122" i="3" s="1"/>
  <c r="H122" i="3" s="1"/>
  <c r="D20" i="18"/>
  <c r="C66" i="18"/>
  <c r="P18" i="18"/>
  <c r="G66" i="23"/>
  <c r="F69" i="18"/>
  <c r="G20" i="18"/>
  <c r="F67" i="18"/>
  <c r="F68" i="18"/>
  <c r="E132" i="3"/>
  <c r="D132" i="3"/>
  <c r="B144" i="3"/>
  <c r="E66" i="19"/>
  <c r="F17" i="23"/>
  <c r="C56" i="19"/>
  <c r="C66" i="23"/>
  <c r="D20" i="23"/>
  <c r="B135" i="3"/>
  <c r="E123" i="3"/>
  <c r="D123" i="3"/>
  <c r="D120" i="3"/>
  <c r="I101" i="14"/>
  <c r="I99" i="14"/>
  <c r="C154" i="3"/>
  <c r="D154" i="3" s="1"/>
  <c r="F142" i="3"/>
  <c r="G142" i="3" s="1"/>
  <c r="H142" i="3" s="1"/>
  <c r="I108" i="3"/>
  <c r="F153" i="3"/>
  <c r="C165" i="3"/>
  <c r="H66" i="18"/>
  <c r="I20" i="18"/>
  <c r="P17" i="19"/>
  <c r="F126" i="25"/>
  <c r="G126" i="25" s="1"/>
  <c r="H126" i="25" s="1"/>
  <c r="C138" i="25"/>
  <c r="D126" i="25"/>
  <c r="F139" i="25"/>
  <c r="G139" i="25" s="1"/>
  <c r="H139" i="25" s="1"/>
  <c r="C151" i="25"/>
  <c r="D139" i="25"/>
  <c r="E121" i="25"/>
  <c r="B133" i="25"/>
  <c r="D121" i="25"/>
  <c r="U18" i="25"/>
  <c r="B175" i="25"/>
  <c r="E163" i="25"/>
  <c r="I116" i="25"/>
  <c r="I107" i="25"/>
  <c r="B152" i="25"/>
  <c r="D140" i="25"/>
  <c r="E140" i="25"/>
  <c r="E137" i="25"/>
  <c r="B149" i="25"/>
  <c r="D137" i="25"/>
  <c r="K27" i="25"/>
  <c r="AI2" i="25"/>
  <c r="F134" i="25"/>
  <c r="G134" i="25" s="1"/>
  <c r="H134" i="25" s="1"/>
  <c r="C146" i="25"/>
  <c r="D146" i="25" s="1"/>
  <c r="C140" i="25"/>
  <c r="F128" i="25"/>
  <c r="G128" i="25" s="1"/>
  <c r="H128" i="25" s="1"/>
  <c r="I114" i="25"/>
  <c r="B158" i="25"/>
  <c r="E146" i="25"/>
  <c r="E117" i="25"/>
  <c r="B129" i="25"/>
  <c r="D117" i="25"/>
  <c r="D134" i="25"/>
  <c r="B143" i="25"/>
  <c r="E131" i="25"/>
  <c r="D131" i="25"/>
  <c r="F117" i="25"/>
  <c r="G117" i="25" s="1"/>
  <c r="H117" i="25" s="1"/>
  <c r="C129" i="25"/>
  <c r="F137" i="25"/>
  <c r="G137" i="25" s="1"/>
  <c r="H137" i="25" s="1"/>
  <c r="C149" i="25"/>
  <c r="B174" i="25"/>
  <c r="E162" i="25"/>
  <c r="F121" i="25"/>
  <c r="G121" i="25" s="1"/>
  <c r="H121" i="25" s="1"/>
  <c r="C133" i="25"/>
  <c r="G105" i="25"/>
  <c r="H105" i="25" s="1"/>
  <c r="G109" i="25"/>
  <c r="H109" i="25" s="1"/>
  <c r="I112" i="25"/>
  <c r="I111" i="25"/>
  <c r="I115" i="25"/>
  <c r="F118" i="25"/>
  <c r="G118" i="25" s="1"/>
  <c r="H118" i="25" s="1"/>
  <c r="C130" i="25"/>
  <c r="I109" i="25"/>
  <c r="I108" i="25"/>
  <c r="I105" i="25"/>
  <c r="C144" i="25"/>
  <c r="F132" i="25"/>
  <c r="E123" i="25"/>
  <c r="B135" i="25"/>
  <c r="D123" i="25"/>
  <c r="B142" i="25"/>
  <c r="E130" i="25"/>
  <c r="D130" i="25"/>
  <c r="I106" i="25"/>
  <c r="F131" i="25"/>
  <c r="G131" i="25" s="1"/>
  <c r="H131" i="25" s="1"/>
  <c r="C143" i="25"/>
  <c r="F123" i="25"/>
  <c r="G123" i="25" s="1"/>
  <c r="H123" i="25" s="1"/>
  <c r="C135" i="25"/>
  <c r="B144" i="25"/>
  <c r="E132" i="25"/>
  <c r="D132" i="25"/>
  <c r="I107" i="14"/>
  <c r="B146" i="14"/>
  <c r="E134" i="14"/>
  <c r="D134" i="14"/>
  <c r="D111" i="14"/>
  <c r="B123" i="14"/>
  <c r="E111" i="14"/>
  <c r="G111" i="14" s="1"/>
  <c r="H111" i="14" s="1"/>
  <c r="I110" i="14"/>
  <c r="I108" i="14"/>
  <c r="I109" i="14"/>
  <c r="I105" i="14"/>
  <c r="E120" i="14"/>
  <c r="D120" i="14"/>
  <c r="B132" i="14"/>
  <c r="F143" i="14"/>
  <c r="C155" i="14"/>
  <c r="B166" i="14"/>
  <c r="E154" i="14"/>
  <c r="D154" i="14"/>
  <c r="E133" i="14"/>
  <c r="G133" i="14" s="1"/>
  <c r="H133" i="14" s="1"/>
  <c r="B145" i="14"/>
  <c r="D133" i="14"/>
  <c r="E125" i="14"/>
  <c r="G125" i="14" s="1"/>
  <c r="H125" i="14" s="1"/>
  <c r="B137" i="14"/>
  <c r="D125" i="14"/>
  <c r="E116" i="14"/>
  <c r="G116" i="14" s="1"/>
  <c r="H116" i="14" s="1"/>
  <c r="D116" i="14"/>
  <c r="B128" i="14"/>
  <c r="F151" i="14"/>
  <c r="C163" i="14"/>
  <c r="C124" i="14"/>
  <c r="F112" i="14"/>
  <c r="G112" i="14" s="1"/>
  <c r="H112" i="14" s="1"/>
  <c r="C138" i="14"/>
  <c r="F126" i="14"/>
  <c r="G126" i="14" s="1"/>
  <c r="H126" i="14" s="1"/>
  <c r="F120" i="14"/>
  <c r="G120" i="14" s="1"/>
  <c r="H120" i="14" s="1"/>
  <c r="C132" i="14"/>
  <c r="I102" i="14"/>
  <c r="F147" i="14"/>
  <c r="C159" i="14"/>
  <c r="F166" i="14"/>
  <c r="C178" i="14"/>
  <c r="E129" i="14"/>
  <c r="G129" i="14" s="1"/>
  <c r="H129" i="14" s="1"/>
  <c r="B141" i="14"/>
  <c r="D129" i="14"/>
  <c r="F122" i="14"/>
  <c r="G122" i="14" s="1"/>
  <c r="H122" i="14" s="1"/>
  <c r="C134" i="14"/>
  <c r="D119" i="14"/>
  <c r="E119" i="14"/>
  <c r="G119" i="14" s="1"/>
  <c r="H119" i="14" s="1"/>
  <c r="B131" i="14"/>
  <c r="G154" i="14"/>
  <c r="H154" i="14" s="1"/>
  <c r="E112" i="14"/>
  <c r="D112" i="14"/>
  <c r="B124" i="14"/>
  <c r="D115" i="14"/>
  <c r="B127" i="14"/>
  <c r="E115" i="14"/>
  <c r="G115" i="14" s="1"/>
  <c r="H115" i="14" s="1"/>
  <c r="I104" i="14"/>
  <c r="C140" i="14"/>
  <c r="F128" i="14"/>
  <c r="B138" i="14"/>
  <c r="D126" i="14"/>
  <c r="E126" i="14"/>
  <c r="E141" i="13"/>
  <c r="B153" i="13"/>
  <c r="G106" i="13"/>
  <c r="H106" i="13" s="1"/>
  <c r="C68" i="23"/>
  <c r="C143" i="13"/>
  <c r="F131" i="13"/>
  <c r="F116" i="13"/>
  <c r="C128" i="13"/>
  <c r="I110" i="13"/>
  <c r="I103" i="13"/>
  <c r="I100" i="13"/>
  <c r="I105" i="13"/>
  <c r="D119" i="13"/>
  <c r="E119" i="13"/>
  <c r="G119" i="13" s="1"/>
  <c r="H119" i="13" s="1"/>
  <c r="B131" i="13"/>
  <c r="D68" i="23"/>
  <c r="E138" i="13"/>
  <c r="D138" i="13"/>
  <c r="B150" i="13"/>
  <c r="C151" i="13"/>
  <c r="F139" i="13"/>
  <c r="C150" i="13"/>
  <c r="F138" i="13"/>
  <c r="F118" i="13"/>
  <c r="C130" i="13"/>
  <c r="G126" i="13"/>
  <c r="H126" i="13" s="1"/>
  <c r="I106" i="13"/>
  <c r="I108" i="13"/>
  <c r="E112" i="13"/>
  <c r="D112" i="13"/>
  <c r="B124" i="13"/>
  <c r="F158" i="13"/>
  <c r="C170" i="13"/>
  <c r="I99" i="13"/>
  <c r="F133" i="13"/>
  <c r="G133" i="13" s="1"/>
  <c r="H133" i="13" s="1"/>
  <c r="C145" i="13"/>
  <c r="Q13" i="19"/>
  <c r="B134" i="13"/>
  <c r="E122" i="13"/>
  <c r="G122" i="13" s="1"/>
  <c r="H122" i="13" s="1"/>
  <c r="D122" i="13"/>
  <c r="D69" i="23"/>
  <c r="L67" i="23"/>
  <c r="L68" i="23"/>
  <c r="I109" i="13"/>
  <c r="F112" i="13"/>
  <c r="G112" i="13" s="1"/>
  <c r="H112" i="13" s="1"/>
  <c r="C124" i="13"/>
  <c r="C69" i="23"/>
  <c r="E120" i="13"/>
  <c r="B132" i="13"/>
  <c r="D120" i="13"/>
  <c r="G100" i="13"/>
  <c r="H100" i="13" s="1"/>
  <c r="B130" i="13"/>
  <c r="D118" i="13"/>
  <c r="E118" i="13"/>
  <c r="E145" i="13"/>
  <c r="B157" i="13"/>
  <c r="X79" i="23"/>
  <c r="Y79" i="23" s="1"/>
  <c r="Q14" i="23"/>
  <c r="F113" i="13"/>
  <c r="G113" i="13" s="1"/>
  <c r="H113" i="13" s="1"/>
  <c r="C125" i="13"/>
  <c r="D125" i="13" s="1"/>
  <c r="D115" i="13"/>
  <c r="B127" i="13"/>
  <c r="E115" i="13"/>
  <c r="G115" i="13" s="1"/>
  <c r="H115" i="13" s="1"/>
  <c r="F120" i="13"/>
  <c r="G120" i="13" s="1"/>
  <c r="H120" i="13" s="1"/>
  <c r="C132" i="13"/>
  <c r="I102" i="13"/>
  <c r="C123" i="13"/>
  <c r="F111" i="13"/>
  <c r="G111" i="13" s="1"/>
  <c r="H111" i="13" s="1"/>
  <c r="D111" i="13"/>
  <c r="I107" i="18"/>
  <c r="I103" i="18"/>
  <c r="O85" i="23"/>
  <c r="P85" i="23" s="1"/>
  <c r="Q85" i="23" s="1"/>
  <c r="R85" i="23" s="1"/>
  <c r="S85" i="23" s="1"/>
  <c r="T85" i="23" s="1"/>
  <c r="U85" i="23" s="1"/>
  <c r="V85" i="23" s="1"/>
  <c r="W85" i="23" s="1"/>
  <c r="X85" i="23" s="1"/>
  <c r="Y85" i="23" s="1"/>
  <c r="E116" i="13"/>
  <c r="D116" i="13"/>
  <c r="B128" i="13"/>
  <c r="F117" i="13"/>
  <c r="G117" i="13" s="1"/>
  <c r="H117" i="13" s="1"/>
  <c r="C129" i="13"/>
  <c r="D117" i="13"/>
  <c r="E125" i="13"/>
  <c r="B137" i="13"/>
  <c r="E135" i="13"/>
  <c r="B147" i="13"/>
  <c r="I104" i="13"/>
  <c r="I107" i="13"/>
  <c r="Q16" i="18"/>
  <c r="J67" i="23"/>
  <c r="P10" i="23"/>
  <c r="Q13" i="18"/>
  <c r="G139" i="19"/>
  <c r="H139" i="19" s="1"/>
  <c r="J139" i="19" s="1"/>
  <c r="F114" i="19"/>
  <c r="G114" i="19" s="1"/>
  <c r="H114" i="19" s="1"/>
  <c r="J114" i="19" s="1"/>
  <c r="C126" i="19"/>
  <c r="B129" i="19"/>
  <c r="E117" i="19"/>
  <c r="G117" i="19" s="1"/>
  <c r="H117" i="19" s="1"/>
  <c r="J117" i="19" s="1"/>
  <c r="D117" i="19"/>
  <c r="I103" i="19"/>
  <c r="F149" i="19"/>
  <c r="C161" i="19"/>
  <c r="E145" i="19"/>
  <c r="D145" i="19"/>
  <c r="B157" i="19"/>
  <c r="E135" i="19"/>
  <c r="D135" i="19"/>
  <c r="B147" i="19"/>
  <c r="F145" i="19"/>
  <c r="G145" i="19" s="1"/>
  <c r="H145" i="19" s="1"/>
  <c r="J145" i="19" s="1"/>
  <c r="C157" i="19"/>
  <c r="I104" i="19"/>
  <c r="G133" i="19"/>
  <c r="H133" i="19" s="1"/>
  <c r="J133" i="19" s="1"/>
  <c r="G98" i="19"/>
  <c r="H98" i="19" s="1"/>
  <c r="F131" i="19"/>
  <c r="G131" i="19" s="1"/>
  <c r="H131" i="19" s="1"/>
  <c r="J131" i="19" s="1"/>
  <c r="C143" i="19"/>
  <c r="G102" i="19"/>
  <c r="H102" i="19" s="1"/>
  <c r="F165" i="19"/>
  <c r="C177" i="19"/>
  <c r="B151" i="19"/>
  <c r="D139" i="19"/>
  <c r="E139" i="19"/>
  <c r="E118" i="19"/>
  <c r="D118" i="19"/>
  <c r="B130" i="19"/>
  <c r="E114" i="19"/>
  <c r="D114" i="19"/>
  <c r="B126" i="19"/>
  <c r="I105" i="19"/>
  <c r="C163" i="19"/>
  <c r="F151" i="19"/>
  <c r="E137" i="19"/>
  <c r="G137" i="19" s="1"/>
  <c r="H137" i="19" s="1"/>
  <c r="J137" i="19" s="1"/>
  <c r="D137" i="19"/>
  <c r="B149" i="19"/>
  <c r="B132" i="19"/>
  <c r="D120" i="19"/>
  <c r="E120" i="19"/>
  <c r="G120" i="19" s="1"/>
  <c r="H120" i="19" s="1"/>
  <c r="J120" i="19" s="1"/>
  <c r="C147" i="19"/>
  <c r="F135" i="19"/>
  <c r="G135" i="19" s="1"/>
  <c r="H135" i="19" s="1"/>
  <c r="J135" i="19" s="1"/>
  <c r="B143" i="19"/>
  <c r="E131" i="19"/>
  <c r="D131" i="19"/>
  <c r="C168" i="19"/>
  <c r="F156" i="19"/>
  <c r="E136" i="19"/>
  <c r="D136" i="19"/>
  <c r="B148" i="19"/>
  <c r="E128" i="19"/>
  <c r="B140" i="19"/>
  <c r="F110" i="19"/>
  <c r="G110" i="19" s="1"/>
  <c r="H110" i="19" s="1"/>
  <c r="J110" i="19" s="1"/>
  <c r="C122" i="19"/>
  <c r="C130" i="19"/>
  <c r="F118" i="19"/>
  <c r="G118" i="19" s="1"/>
  <c r="H118" i="19" s="1"/>
  <c r="J118" i="19" s="1"/>
  <c r="F116" i="19"/>
  <c r="G116" i="19" s="1"/>
  <c r="H116" i="19" s="1"/>
  <c r="J116" i="19" s="1"/>
  <c r="C128" i="19"/>
  <c r="D128" i="19" s="1"/>
  <c r="G119" i="19"/>
  <c r="H119" i="19" s="1"/>
  <c r="J119" i="19" s="1"/>
  <c r="G106" i="19"/>
  <c r="H106" i="19" s="1"/>
  <c r="G136" i="19"/>
  <c r="H136" i="19" s="1"/>
  <c r="J136" i="19" s="1"/>
  <c r="I109" i="19"/>
  <c r="I108" i="19"/>
  <c r="I98" i="19"/>
  <c r="I106" i="19"/>
  <c r="C160" i="19"/>
  <c r="F148" i="19"/>
  <c r="I102" i="19"/>
  <c r="B122" i="19"/>
  <c r="E110" i="19"/>
  <c r="D110" i="19"/>
  <c r="C125" i="18"/>
  <c r="F113" i="18"/>
  <c r="F123" i="18"/>
  <c r="G123" i="18" s="1"/>
  <c r="H123" i="18" s="1"/>
  <c r="J123" i="18" s="1"/>
  <c r="C135" i="18"/>
  <c r="C140" i="18"/>
  <c r="F128" i="18"/>
  <c r="G128" i="18" s="1"/>
  <c r="H128" i="18" s="1"/>
  <c r="J128" i="18" s="1"/>
  <c r="G115" i="18"/>
  <c r="H115" i="18" s="1"/>
  <c r="J115" i="18" s="1"/>
  <c r="D128" i="18"/>
  <c r="B140" i="18"/>
  <c r="E128" i="18"/>
  <c r="C139" i="18"/>
  <c r="F127" i="18"/>
  <c r="G117" i="18"/>
  <c r="H117" i="18" s="1"/>
  <c r="J117" i="18" s="1"/>
  <c r="I110" i="18"/>
  <c r="C141" i="18"/>
  <c r="F129" i="18"/>
  <c r="I102" i="18"/>
  <c r="G111" i="18"/>
  <c r="H111" i="18" s="1"/>
  <c r="J111" i="18" s="1"/>
  <c r="F118" i="18"/>
  <c r="G118" i="18" s="1"/>
  <c r="H118" i="18" s="1"/>
  <c r="J118" i="18" s="1"/>
  <c r="C130" i="18"/>
  <c r="E133" i="18"/>
  <c r="D133" i="18"/>
  <c r="B145" i="18"/>
  <c r="C150" i="18"/>
  <c r="F138" i="18"/>
  <c r="G138" i="18" s="1"/>
  <c r="H138" i="18" s="1"/>
  <c r="J138" i="18" s="1"/>
  <c r="D138" i="18"/>
  <c r="B130" i="18"/>
  <c r="E118" i="18"/>
  <c r="D118" i="18"/>
  <c r="I109" i="18"/>
  <c r="E123" i="18"/>
  <c r="D123" i="18"/>
  <c r="B135" i="18"/>
  <c r="E122" i="18"/>
  <c r="D122" i="18"/>
  <c r="B134" i="18"/>
  <c r="F143" i="18"/>
  <c r="G143" i="18" s="1"/>
  <c r="H143" i="18" s="1"/>
  <c r="J143" i="18" s="1"/>
  <c r="C155" i="18"/>
  <c r="B139" i="18"/>
  <c r="E127" i="18"/>
  <c r="D127" i="18"/>
  <c r="B141" i="18"/>
  <c r="D129" i="18"/>
  <c r="E129" i="18"/>
  <c r="B125" i="18"/>
  <c r="D113" i="18"/>
  <c r="I116" i="18" s="1"/>
  <c r="E113" i="18"/>
  <c r="G121" i="18"/>
  <c r="H121" i="18" s="1"/>
  <c r="J121" i="18" s="1"/>
  <c r="G122" i="18"/>
  <c r="H122" i="18" s="1"/>
  <c r="J122" i="18" s="1"/>
  <c r="B168" i="18"/>
  <c r="E156" i="18"/>
  <c r="C145" i="18"/>
  <c r="F133" i="18"/>
  <c r="B174" i="18"/>
  <c r="E162" i="18"/>
  <c r="B136" i="18"/>
  <c r="E124" i="18"/>
  <c r="D124" i="18"/>
  <c r="I112" i="18"/>
  <c r="C146" i="18"/>
  <c r="F134" i="18"/>
  <c r="B155" i="18"/>
  <c r="E143" i="18"/>
  <c r="D143" i="18"/>
  <c r="I111" i="18"/>
  <c r="G124" i="18"/>
  <c r="H124" i="18" s="1"/>
  <c r="J124" i="18" s="1"/>
  <c r="F132" i="18"/>
  <c r="G132" i="18" s="1"/>
  <c r="H132" i="18" s="1"/>
  <c r="J132" i="18" s="1"/>
  <c r="C144" i="18"/>
  <c r="D132" i="18"/>
  <c r="I106" i="18"/>
  <c r="C148" i="18"/>
  <c r="F136" i="18"/>
  <c r="G107" i="22"/>
  <c r="H107" i="22" s="1"/>
  <c r="F159" i="22"/>
  <c r="C171" i="22"/>
  <c r="D132" i="22"/>
  <c r="B144" i="22"/>
  <c r="E132" i="22"/>
  <c r="B130" i="22"/>
  <c r="E118" i="22"/>
  <c r="D118" i="22"/>
  <c r="G120" i="22"/>
  <c r="H120" i="22" s="1"/>
  <c r="E133" i="22"/>
  <c r="G133" i="22" s="1"/>
  <c r="H133" i="22" s="1"/>
  <c r="D133" i="22"/>
  <c r="B145" i="22"/>
  <c r="F127" i="22"/>
  <c r="C139" i="22"/>
  <c r="F117" i="22"/>
  <c r="G117" i="22" s="1"/>
  <c r="H117" i="22" s="1"/>
  <c r="C129" i="22"/>
  <c r="C131" i="22"/>
  <c r="F119" i="22"/>
  <c r="G119" i="22" s="1"/>
  <c r="H119" i="22" s="1"/>
  <c r="F134" i="22"/>
  <c r="G134" i="22" s="1"/>
  <c r="H134" i="22" s="1"/>
  <c r="C146" i="22"/>
  <c r="F132" i="22"/>
  <c r="G132" i="22" s="1"/>
  <c r="H132" i="22" s="1"/>
  <c r="C144" i="22"/>
  <c r="I110" i="22"/>
  <c r="F125" i="22"/>
  <c r="C137" i="22"/>
  <c r="D128" i="22"/>
  <c r="B140" i="22"/>
  <c r="E128" i="22"/>
  <c r="E129" i="22"/>
  <c r="B141" i="22"/>
  <c r="D134" i="22"/>
  <c r="E134" i="22"/>
  <c r="B146" i="22"/>
  <c r="F157" i="22"/>
  <c r="C169" i="22"/>
  <c r="C130" i="22"/>
  <c r="F118" i="22"/>
  <c r="G118" i="22" s="1"/>
  <c r="H118" i="22" s="1"/>
  <c r="C138" i="22"/>
  <c r="F126" i="22"/>
  <c r="G126" i="22" s="1"/>
  <c r="H126" i="22" s="1"/>
  <c r="D126" i="22"/>
  <c r="B162" i="22"/>
  <c r="E150" i="22"/>
  <c r="F128" i="22"/>
  <c r="G128" i="22" s="1"/>
  <c r="H128" i="22" s="1"/>
  <c r="C140" i="22"/>
  <c r="I113" i="22"/>
  <c r="I111" i="22"/>
  <c r="G116" i="22"/>
  <c r="H116" i="22" s="1"/>
  <c r="E119" i="22"/>
  <c r="D119" i="22"/>
  <c r="B131" i="22"/>
  <c r="I114" i="22"/>
  <c r="B135" i="22"/>
  <c r="E123" i="22"/>
  <c r="G123" i="22" s="1"/>
  <c r="H123" i="22" s="1"/>
  <c r="D123" i="22"/>
  <c r="D124" i="22"/>
  <c r="B136" i="22"/>
  <c r="E124" i="22"/>
  <c r="E125" i="22"/>
  <c r="D125" i="22"/>
  <c r="B137" i="22"/>
  <c r="D115" i="22"/>
  <c r="I117" i="22" s="1"/>
  <c r="E115" i="22"/>
  <c r="G115" i="22" s="1"/>
  <c r="H115" i="22" s="1"/>
  <c r="B127" i="22"/>
  <c r="F124" i="22"/>
  <c r="G124" i="22" s="1"/>
  <c r="H124" i="22" s="1"/>
  <c r="C136" i="22"/>
  <c r="E151" i="23"/>
  <c r="B163" i="23"/>
  <c r="F122" i="23"/>
  <c r="G122" i="23" s="1"/>
  <c r="H122" i="23" s="1"/>
  <c r="C134" i="23"/>
  <c r="F137" i="23"/>
  <c r="C149" i="23"/>
  <c r="F154" i="23"/>
  <c r="C166" i="23"/>
  <c r="E135" i="23"/>
  <c r="B147" i="23"/>
  <c r="B126" i="23"/>
  <c r="E114" i="23"/>
  <c r="G114" i="23" s="1"/>
  <c r="H114" i="23" s="1"/>
  <c r="D114" i="23"/>
  <c r="E120" i="23"/>
  <c r="G120" i="23" s="1"/>
  <c r="H120" i="23" s="1"/>
  <c r="D120" i="23"/>
  <c r="B132" i="23"/>
  <c r="B143" i="23"/>
  <c r="E131" i="23"/>
  <c r="D131" i="23"/>
  <c r="F133" i="23"/>
  <c r="G133" i="23" s="1"/>
  <c r="H133" i="23" s="1"/>
  <c r="C145" i="23"/>
  <c r="C156" i="23"/>
  <c r="F144" i="23"/>
  <c r="E134" i="23"/>
  <c r="D134" i="23"/>
  <c r="B146" i="23"/>
  <c r="D122" i="23"/>
  <c r="E112" i="23"/>
  <c r="D112" i="23"/>
  <c r="B124" i="23"/>
  <c r="F124" i="23"/>
  <c r="C136" i="23"/>
  <c r="E142" i="23"/>
  <c r="G142" i="23" s="1"/>
  <c r="H142" i="23" s="1"/>
  <c r="D142" i="23"/>
  <c r="B154" i="23"/>
  <c r="F150" i="23"/>
  <c r="C162" i="23"/>
  <c r="F141" i="23"/>
  <c r="C153" i="23"/>
  <c r="G112" i="23"/>
  <c r="H112" i="23" s="1"/>
  <c r="E152" i="23"/>
  <c r="B164" i="23"/>
  <c r="E133" i="23"/>
  <c r="D133" i="23"/>
  <c r="B145" i="23"/>
  <c r="C143" i="23"/>
  <c r="F131" i="23"/>
  <c r="G131" i="23" s="1"/>
  <c r="H131" i="23" s="1"/>
  <c r="F128" i="23"/>
  <c r="G128" i="23" s="1"/>
  <c r="H128" i="23" s="1"/>
  <c r="C140" i="23"/>
  <c r="D128" i="23"/>
  <c r="G119" i="23"/>
  <c r="H119" i="23" s="1"/>
  <c r="G129" i="23"/>
  <c r="H129" i="23" s="1"/>
  <c r="F111" i="23"/>
  <c r="G111" i="23" s="1"/>
  <c r="H111" i="23" s="1"/>
  <c r="C123" i="23"/>
  <c r="D111" i="23"/>
  <c r="C139" i="23"/>
  <c r="F127" i="23"/>
  <c r="G127" i="23" s="1"/>
  <c r="H127" i="23" s="1"/>
  <c r="D127" i="23"/>
  <c r="E137" i="23"/>
  <c r="D137" i="23"/>
  <c r="B149" i="23"/>
  <c r="E129" i="23"/>
  <c r="D129" i="23"/>
  <c r="B141" i="23"/>
  <c r="U14" i="13" l="1"/>
  <c r="U11" i="13"/>
  <c r="I112" i="8"/>
  <c r="U18" i="13"/>
  <c r="U11" i="15"/>
  <c r="U14" i="15"/>
  <c r="U10" i="16"/>
  <c r="U12" i="13"/>
  <c r="U12" i="15"/>
  <c r="U11" i="16"/>
  <c r="U17" i="16"/>
  <c r="U17" i="14"/>
  <c r="U18" i="14"/>
  <c r="I113" i="13"/>
  <c r="K113" i="18" s="1"/>
  <c r="U13" i="14"/>
  <c r="U14" i="14"/>
  <c r="U13" i="13"/>
  <c r="U11" i="14"/>
  <c r="K27" i="14"/>
  <c r="U18" i="16"/>
  <c r="I126" i="3"/>
  <c r="U17" i="13"/>
  <c r="U12" i="16"/>
  <c r="U8" i="13"/>
  <c r="I111" i="8"/>
  <c r="U16" i="14"/>
  <c r="I119" i="8"/>
  <c r="U16" i="13"/>
  <c r="U15" i="13"/>
  <c r="U10" i="25"/>
  <c r="I121" i="3"/>
  <c r="C154" i="20"/>
  <c r="F142" i="20"/>
  <c r="E124" i="20"/>
  <c r="D124" i="20"/>
  <c r="B136" i="20"/>
  <c r="E123" i="20"/>
  <c r="G123" i="20" s="1"/>
  <c r="H123" i="20" s="1"/>
  <c r="D123" i="20"/>
  <c r="B135" i="20"/>
  <c r="E129" i="20"/>
  <c r="D129" i="20"/>
  <c r="B141" i="20"/>
  <c r="I122" i="20"/>
  <c r="F132" i="20"/>
  <c r="G132" i="20" s="1"/>
  <c r="H132" i="20" s="1"/>
  <c r="C144" i="20"/>
  <c r="I121" i="20"/>
  <c r="F158" i="20"/>
  <c r="C170" i="20"/>
  <c r="E134" i="20"/>
  <c r="G134" i="20" s="1"/>
  <c r="H134" i="20" s="1"/>
  <c r="D134" i="20"/>
  <c r="B146" i="20"/>
  <c r="I119" i="20"/>
  <c r="E131" i="20"/>
  <c r="G131" i="20" s="1"/>
  <c r="H131" i="20" s="1"/>
  <c r="D131" i="20"/>
  <c r="B143" i="20"/>
  <c r="I113" i="20"/>
  <c r="F138" i="20"/>
  <c r="G138" i="20" s="1"/>
  <c r="H138" i="20" s="1"/>
  <c r="C150" i="20"/>
  <c r="I112" i="20"/>
  <c r="I118" i="20"/>
  <c r="I120" i="20"/>
  <c r="E125" i="20"/>
  <c r="D125" i="20"/>
  <c r="B137" i="20"/>
  <c r="F124" i="20"/>
  <c r="G124" i="20" s="1"/>
  <c r="H124" i="20" s="1"/>
  <c r="C136" i="20"/>
  <c r="E142" i="20"/>
  <c r="D142" i="20"/>
  <c r="B154" i="20"/>
  <c r="E127" i="20"/>
  <c r="G127" i="20" s="1"/>
  <c r="H127" i="20" s="1"/>
  <c r="B139" i="20"/>
  <c r="D127" i="20"/>
  <c r="E133" i="20"/>
  <c r="D133" i="20"/>
  <c r="B145" i="20"/>
  <c r="F128" i="20"/>
  <c r="G128" i="20" s="1"/>
  <c r="H128" i="20" s="1"/>
  <c r="C140" i="20"/>
  <c r="C155" i="20"/>
  <c r="F143" i="20"/>
  <c r="I114" i="20"/>
  <c r="F125" i="20"/>
  <c r="G125" i="20" s="1"/>
  <c r="H125" i="20" s="1"/>
  <c r="C137" i="20"/>
  <c r="G113" i="20"/>
  <c r="H113" i="20" s="1"/>
  <c r="E138" i="20"/>
  <c r="D138" i="20"/>
  <c r="B150" i="20"/>
  <c r="I115" i="20"/>
  <c r="I111" i="20"/>
  <c r="C151" i="20"/>
  <c r="F139" i="20"/>
  <c r="F135" i="20"/>
  <c r="C147" i="20"/>
  <c r="F133" i="20"/>
  <c r="G133" i="20" s="1"/>
  <c r="H133" i="20" s="1"/>
  <c r="C145" i="20"/>
  <c r="F129" i="20"/>
  <c r="G129" i="20" s="1"/>
  <c r="H129" i="20" s="1"/>
  <c r="C141" i="20"/>
  <c r="G121" i="20"/>
  <c r="H121" i="20" s="1"/>
  <c r="G117" i="20"/>
  <c r="H117" i="20" s="1"/>
  <c r="I116" i="20"/>
  <c r="E128" i="20"/>
  <c r="D128" i="20"/>
  <c r="B140" i="20"/>
  <c r="E132" i="20"/>
  <c r="D132" i="20"/>
  <c r="B144" i="20"/>
  <c r="G130" i="20"/>
  <c r="H130" i="20" s="1"/>
  <c r="I117" i="20"/>
  <c r="F129" i="12"/>
  <c r="C141" i="12"/>
  <c r="G117" i="12"/>
  <c r="H117" i="12" s="1"/>
  <c r="F140" i="12"/>
  <c r="C152" i="12"/>
  <c r="B147" i="12"/>
  <c r="E135" i="12"/>
  <c r="D135" i="12"/>
  <c r="E129" i="12"/>
  <c r="D129" i="12"/>
  <c r="B141" i="12"/>
  <c r="E132" i="12"/>
  <c r="D132" i="12"/>
  <c r="B144" i="12"/>
  <c r="I117" i="12"/>
  <c r="G126" i="12"/>
  <c r="H126" i="12" s="1"/>
  <c r="F130" i="12"/>
  <c r="G130" i="12" s="1"/>
  <c r="H130" i="12" s="1"/>
  <c r="C142" i="12"/>
  <c r="F133" i="12"/>
  <c r="G133" i="12" s="1"/>
  <c r="H133" i="12" s="1"/>
  <c r="C145" i="12"/>
  <c r="C155" i="12"/>
  <c r="F143" i="12"/>
  <c r="G143" i="12" s="1"/>
  <c r="H143" i="12" s="1"/>
  <c r="C150" i="12"/>
  <c r="F138" i="12"/>
  <c r="G138" i="12" s="1"/>
  <c r="H138" i="12" s="1"/>
  <c r="B163" i="12"/>
  <c r="E151" i="12"/>
  <c r="D151" i="12"/>
  <c r="G151" i="12"/>
  <c r="H151" i="12" s="1"/>
  <c r="U8" i="16"/>
  <c r="C175" i="12"/>
  <c r="F163" i="12"/>
  <c r="C147" i="12"/>
  <c r="F135" i="12"/>
  <c r="F125" i="12"/>
  <c r="C137" i="12"/>
  <c r="B150" i="12"/>
  <c r="E138" i="12"/>
  <c r="D138" i="12"/>
  <c r="E128" i="12"/>
  <c r="D128" i="12"/>
  <c r="B140" i="12"/>
  <c r="G113" i="12"/>
  <c r="H113" i="12" s="1"/>
  <c r="I126" i="12"/>
  <c r="I120" i="12"/>
  <c r="B158" i="12"/>
  <c r="E146" i="12"/>
  <c r="D146" i="12"/>
  <c r="D143" i="12"/>
  <c r="F144" i="12"/>
  <c r="C156" i="12"/>
  <c r="G132" i="12"/>
  <c r="H132" i="12" s="1"/>
  <c r="B167" i="12"/>
  <c r="E155" i="12"/>
  <c r="D155" i="12"/>
  <c r="I125" i="12"/>
  <c r="E124" i="12"/>
  <c r="D124" i="12"/>
  <c r="I134" i="12" s="1"/>
  <c r="B136" i="12"/>
  <c r="F136" i="12"/>
  <c r="C148" i="12"/>
  <c r="I123" i="12"/>
  <c r="I121" i="12"/>
  <c r="C158" i="12"/>
  <c r="F146" i="12"/>
  <c r="G124" i="12"/>
  <c r="H124" i="12" s="1"/>
  <c r="E133" i="12"/>
  <c r="D133" i="12"/>
  <c r="B145" i="12"/>
  <c r="G128" i="12"/>
  <c r="H128" i="12" s="1"/>
  <c r="E125" i="12"/>
  <c r="D125" i="12"/>
  <c r="B137" i="12"/>
  <c r="I124" i="12"/>
  <c r="E130" i="12"/>
  <c r="D130" i="12"/>
  <c r="B142" i="12"/>
  <c r="E137" i="11"/>
  <c r="D137" i="11"/>
  <c r="B149" i="11"/>
  <c r="F133" i="11"/>
  <c r="G133" i="11" s="1"/>
  <c r="H133" i="11" s="1"/>
  <c r="C145" i="11"/>
  <c r="F138" i="11"/>
  <c r="C150" i="11"/>
  <c r="I116" i="11"/>
  <c r="I113" i="11"/>
  <c r="I118" i="11"/>
  <c r="E123" i="11"/>
  <c r="D123" i="11"/>
  <c r="I133" i="11" s="1"/>
  <c r="B135" i="11"/>
  <c r="U9" i="16"/>
  <c r="E144" i="11"/>
  <c r="D144" i="11"/>
  <c r="B156" i="11"/>
  <c r="F129" i="11"/>
  <c r="G129" i="11" s="1"/>
  <c r="H129" i="11" s="1"/>
  <c r="C141" i="11"/>
  <c r="D141" i="11" s="1"/>
  <c r="E136" i="11"/>
  <c r="D136" i="11"/>
  <c r="B148" i="11"/>
  <c r="F144" i="11"/>
  <c r="G144" i="11" s="1"/>
  <c r="H144" i="11" s="1"/>
  <c r="C156" i="11"/>
  <c r="I111" i="11"/>
  <c r="F136" i="11"/>
  <c r="G136" i="11" s="1"/>
  <c r="H136" i="11" s="1"/>
  <c r="C148" i="11"/>
  <c r="G139" i="11"/>
  <c r="H139" i="11" s="1"/>
  <c r="G124" i="11"/>
  <c r="H124" i="11" s="1"/>
  <c r="F178" i="11"/>
  <c r="C190" i="11"/>
  <c r="C143" i="11"/>
  <c r="F131" i="11"/>
  <c r="G131" i="11" s="1"/>
  <c r="H131" i="11" s="1"/>
  <c r="F125" i="11"/>
  <c r="G125" i="11" s="1"/>
  <c r="H125" i="11" s="1"/>
  <c r="C137" i="11"/>
  <c r="I120" i="11"/>
  <c r="E140" i="11"/>
  <c r="D140" i="11"/>
  <c r="B152" i="11"/>
  <c r="I121" i="11"/>
  <c r="D129" i="11"/>
  <c r="F151" i="11"/>
  <c r="C163" i="11"/>
  <c r="E138" i="11"/>
  <c r="D138" i="11"/>
  <c r="B150" i="11"/>
  <c r="I120" i="16"/>
  <c r="L120" i="18" s="1"/>
  <c r="E141" i="11"/>
  <c r="B153" i="11"/>
  <c r="E134" i="11"/>
  <c r="D134" i="11"/>
  <c r="B146" i="11"/>
  <c r="E166" i="11"/>
  <c r="G166" i="11" s="1"/>
  <c r="H166" i="11" s="1"/>
  <c r="D166" i="11"/>
  <c r="B178" i="11"/>
  <c r="E139" i="11"/>
  <c r="D139" i="11"/>
  <c r="B151" i="11"/>
  <c r="E143" i="11"/>
  <c r="D143" i="11"/>
  <c r="B155" i="11"/>
  <c r="F134" i="11"/>
  <c r="C146" i="11"/>
  <c r="D131" i="11"/>
  <c r="G122" i="11"/>
  <c r="H122" i="11" s="1"/>
  <c r="I117" i="11"/>
  <c r="F140" i="11"/>
  <c r="G140" i="11" s="1"/>
  <c r="H140" i="11" s="1"/>
  <c r="C152" i="11"/>
  <c r="F135" i="11"/>
  <c r="C147" i="11"/>
  <c r="E145" i="11"/>
  <c r="D145" i="11"/>
  <c r="B157" i="11"/>
  <c r="G128" i="11"/>
  <c r="H128" i="11" s="1"/>
  <c r="G123" i="11"/>
  <c r="H123" i="11" s="1"/>
  <c r="D133" i="11"/>
  <c r="I115" i="11"/>
  <c r="I119" i="11"/>
  <c r="I114" i="11"/>
  <c r="I112" i="10"/>
  <c r="E129" i="10"/>
  <c r="D129" i="10"/>
  <c r="B141" i="10"/>
  <c r="B162" i="10"/>
  <c r="E150" i="10"/>
  <c r="B146" i="10"/>
  <c r="D134" i="10"/>
  <c r="E134" i="10"/>
  <c r="G115" i="10"/>
  <c r="H115" i="10" s="1"/>
  <c r="U13" i="16"/>
  <c r="G131" i="10"/>
  <c r="H131" i="10" s="1"/>
  <c r="C138" i="10"/>
  <c r="F126" i="10"/>
  <c r="G126" i="10" s="1"/>
  <c r="H126" i="10" s="1"/>
  <c r="D126" i="10"/>
  <c r="C155" i="10"/>
  <c r="F143" i="10"/>
  <c r="G143" i="10" s="1"/>
  <c r="H143" i="10" s="1"/>
  <c r="C147" i="10"/>
  <c r="F135" i="10"/>
  <c r="F129" i="10"/>
  <c r="G129" i="10" s="1"/>
  <c r="H129" i="10" s="1"/>
  <c r="C141" i="10"/>
  <c r="B139" i="10"/>
  <c r="E127" i="10"/>
  <c r="D127" i="10"/>
  <c r="C139" i="10"/>
  <c r="F127" i="10"/>
  <c r="G127" i="10" s="1"/>
  <c r="H127" i="10" s="1"/>
  <c r="U9" i="25"/>
  <c r="E133" i="10"/>
  <c r="D133" i="10"/>
  <c r="B145" i="10"/>
  <c r="X89" i="9"/>
  <c r="Y89" i="9" s="1"/>
  <c r="B155" i="10"/>
  <c r="E143" i="10"/>
  <c r="D143" i="10"/>
  <c r="I111" i="10"/>
  <c r="I115" i="10"/>
  <c r="F125" i="10"/>
  <c r="C137" i="10"/>
  <c r="F133" i="10"/>
  <c r="G133" i="10" s="1"/>
  <c r="H133" i="10" s="1"/>
  <c r="C145" i="10"/>
  <c r="I122" i="10"/>
  <c r="U16" i="16"/>
  <c r="I121" i="10"/>
  <c r="C146" i="10"/>
  <c r="F134" i="10"/>
  <c r="G134" i="10" s="1"/>
  <c r="H134" i="10" s="1"/>
  <c r="G113" i="10"/>
  <c r="H113" i="10" s="1"/>
  <c r="G122" i="10"/>
  <c r="H122" i="10" s="1"/>
  <c r="E125" i="10"/>
  <c r="D125" i="10"/>
  <c r="B137" i="10"/>
  <c r="E123" i="10"/>
  <c r="G123" i="10" s="1"/>
  <c r="H123" i="10" s="1"/>
  <c r="D123" i="10"/>
  <c r="I134" i="10" s="1"/>
  <c r="B135" i="10"/>
  <c r="I112" i="16"/>
  <c r="L112" i="18" s="1"/>
  <c r="D166" i="10"/>
  <c r="B178" i="10"/>
  <c r="E166" i="10"/>
  <c r="U14" i="16"/>
  <c r="I113" i="10"/>
  <c r="F166" i="10"/>
  <c r="C178" i="10"/>
  <c r="U15" i="16"/>
  <c r="I119" i="10"/>
  <c r="I118" i="10"/>
  <c r="E134" i="8"/>
  <c r="D134" i="8"/>
  <c r="B146" i="8"/>
  <c r="T11" i="23"/>
  <c r="E139" i="8"/>
  <c r="G139" i="8" s="1"/>
  <c r="H139" i="8" s="1"/>
  <c r="D139" i="8"/>
  <c r="B151" i="8"/>
  <c r="I117" i="8"/>
  <c r="E124" i="8"/>
  <c r="D124" i="8"/>
  <c r="B136" i="8"/>
  <c r="F140" i="8"/>
  <c r="C152" i="8"/>
  <c r="F132" i="8"/>
  <c r="G132" i="8" s="1"/>
  <c r="H132" i="8" s="1"/>
  <c r="C144" i="8"/>
  <c r="F124" i="8"/>
  <c r="G124" i="8" s="1"/>
  <c r="H124" i="8" s="1"/>
  <c r="C136" i="8"/>
  <c r="E133" i="8"/>
  <c r="D133" i="8"/>
  <c r="B145" i="8"/>
  <c r="F145" i="8"/>
  <c r="C157" i="8"/>
  <c r="F137" i="8"/>
  <c r="C149" i="8"/>
  <c r="G133" i="8"/>
  <c r="H133" i="8" s="1"/>
  <c r="E128" i="8"/>
  <c r="G128" i="8" s="1"/>
  <c r="H128" i="8" s="1"/>
  <c r="D128" i="8"/>
  <c r="B140" i="8"/>
  <c r="I114" i="8"/>
  <c r="I116" i="8"/>
  <c r="E166" i="8"/>
  <c r="B178" i="8"/>
  <c r="E167" i="8"/>
  <c r="G167" i="8" s="1"/>
  <c r="H167" i="8" s="1"/>
  <c r="D167" i="8"/>
  <c r="B179" i="8"/>
  <c r="E138" i="8"/>
  <c r="D138" i="8"/>
  <c r="B150" i="8"/>
  <c r="E125" i="8"/>
  <c r="G125" i="8" s="1"/>
  <c r="H125" i="8" s="1"/>
  <c r="D125" i="8"/>
  <c r="B137" i="8"/>
  <c r="I120" i="8"/>
  <c r="F138" i="8"/>
  <c r="G138" i="8" s="1"/>
  <c r="H138" i="8" s="1"/>
  <c r="C150" i="8"/>
  <c r="E129" i="8"/>
  <c r="G129" i="8" s="1"/>
  <c r="H129" i="8" s="1"/>
  <c r="D129" i="8"/>
  <c r="B141" i="8"/>
  <c r="E123" i="8"/>
  <c r="G123" i="8" s="1"/>
  <c r="H123" i="8" s="1"/>
  <c r="D123" i="8"/>
  <c r="B135" i="8"/>
  <c r="F141" i="8"/>
  <c r="C153" i="8"/>
  <c r="E132" i="8"/>
  <c r="D132" i="8"/>
  <c r="B144" i="8"/>
  <c r="I122" i="8"/>
  <c r="I118" i="8"/>
  <c r="F134" i="8"/>
  <c r="C146" i="8"/>
  <c r="I121" i="8"/>
  <c r="I115" i="8"/>
  <c r="G122" i="8"/>
  <c r="H122" i="8" s="1"/>
  <c r="F142" i="8"/>
  <c r="G142" i="8" s="1"/>
  <c r="H142" i="8" s="1"/>
  <c r="C154" i="8"/>
  <c r="D142" i="8"/>
  <c r="I113" i="8"/>
  <c r="U15" i="14"/>
  <c r="U13" i="25"/>
  <c r="I129" i="9"/>
  <c r="I125" i="9"/>
  <c r="F143" i="9"/>
  <c r="C155" i="9"/>
  <c r="D142" i="9"/>
  <c r="E142" i="9"/>
  <c r="B154" i="9"/>
  <c r="I121" i="9"/>
  <c r="I117" i="9"/>
  <c r="U16" i="25"/>
  <c r="E129" i="9"/>
  <c r="D129" i="9"/>
  <c r="B141" i="9"/>
  <c r="E138" i="9"/>
  <c r="D138" i="9"/>
  <c r="B150" i="9"/>
  <c r="I110" i="9"/>
  <c r="E125" i="9"/>
  <c r="D125" i="9"/>
  <c r="B137" i="9"/>
  <c r="F125" i="9"/>
  <c r="G125" i="9" s="1"/>
  <c r="H125" i="9" s="1"/>
  <c r="C137" i="9"/>
  <c r="G113" i="9"/>
  <c r="H113" i="9" s="1"/>
  <c r="I114" i="16"/>
  <c r="L114" i="19" s="1"/>
  <c r="E127" i="9"/>
  <c r="G127" i="9" s="1"/>
  <c r="H127" i="9" s="1"/>
  <c r="B139" i="9"/>
  <c r="D127" i="9"/>
  <c r="I123" i="9"/>
  <c r="E133" i="9"/>
  <c r="D133" i="9"/>
  <c r="B145" i="9"/>
  <c r="F135" i="9"/>
  <c r="C147" i="9"/>
  <c r="E124" i="9"/>
  <c r="G124" i="9" s="1"/>
  <c r="H124" i="9" s="1"/>
  <c r="D124" i="9"/>
  <c r="B136" i="9"/>
  <c r="F140" i="9"/>
  <c r="C152" i="9"/>
  <c r="F133" i="9"/>
  <c r="C145" i="9"/>
  <c r="G128" i="9"/>
  <c r="H128" i="9" s="1"/>
  <c r="E122" i="9"/>
  <c r="D122" i="9"/>
  <c r="I131" i="9" s="1"/>
  <c r="B134" i="9"/>
  <c r="I112" i="9"/>
  <c r="F138" i="9"/>
  <c r="G138" i="9" s="1"/>
  <c r="H138" i="9" s="1"/>
  <c r="C150" i="9"/>
  <c r="F122" i="9"/>
  <c r="G122" i="9" s="1"/>
  <c r="H122" i="9" s="1"/>
  <c r="C134" i="9"/>
  <c r="E123" i="9"/>
  <c r="G123" i="9" s="1"/>
  <c r="H123" i="9" s="1"/>
  <c r="D123" i="9"/>
  <c r="I127" i="9" s="1"/>
  <c r="B135" i="9"/>
  <c r="E132" i="9"/>
  <c r="G132" i="9" s="1"/>
  <c r="H132" i="9" s="1"/>
  <c r="D132" i="9"/>
  <c r="B144" i="9"/>
  <c r="I115" i="9"/>
  <c r="F142" i="9"/>
  <c r="G142" i="9" s="1"/>
  <c r="H142" i="9" s="1"/>
  <c r="C154" i="9"/>
  <c r="F129" i="9"/>
  <c r="G129" i="9" s="1"/>
  <c r="H129" i="9" s="1"/>
  <c r="C141" i="9"/>
  <c r="F139" i="9"/>
  <c r="C151" i="9"/>
  <c r="G130" i="9"/>
  <c r="H130" i="9" s="1"/>
  <c r="F136" i="9"/>
  <c r="C148" i="9"/>
  <c r="E128" i="9"/>
  <c r="D128" i="9"/>
  <c r="B140" i="9"/>
  <c r="G117" i="9"/>
  <c r="H117" i="9" s="1"/>
  <c r="I113" i="9"/>
  <c r="F144" i="9"/>
  <c r="C156" i="9"/>
  <c r="I114" i="9"/>
  <c r="I118" i="9"/>
  <c r="I120" i="9"/>
  <c r="E131" i="9"/>
  <c r="G131" i="9" s="1"/>
  <c r="H131" i="9" s="1"/>
  <c r="D131" i="9"/>
  <c r="B143" i="9"/>
  <c r="G110" i="9"/>
  <c r="H110" i="9" s="1"/>
  <c r="H68" i="23"/>
  <c r="C154" i="16"/>
  <c r="F142" i="16"/>
  <c r="G130" i="16"/>
  <c r="H130" i="16" s="1"/>
  <c r="E123" i="16"/>
  <c r="D123" i="16"/>
  <c r="B135" i="16"/>
  <c r="E133" i="16"/>
  <c r="D133" i="16"/>
  <c r="B145" i="16"/>
  <c r="C152" i="16"/>
  <c r="F140" i="16"/>
  <c r="G140" i="16" s="1"/>
  <c r="H140" i="16" s="1"/>
  <c r="G168" i="16"/>
  <c r="H168" i="16" s="1"/>
  <c r="G111" i="16"/>
  <c r="H111" i="16" s="1"/>
  <c r="F123" i="16"/>
  <c r="G123" i="16" s="1"/>
  <c r="H123" i="16" s="1"/>
  <c r="C135" i="16"/>
  <c r="E155" i="16"/>
  <c r="D155" i="16"/>
  <c r="B167" i="16"/>
  <c r="E122" i="16"/>
  <c r="G122" i="16" s="1"/>
  <c r="H122" i="16" s="1"/>
  <c r="D122" i="16"/>
  <c r="I122" i="16" s="1"/>
  <c r="B134" i="16"/>
  <c r="E136" i="16"/>
  <c r="D136" i="16"/>
  <c r="B148" i="16"/>
  <c r="F133" i="16"/>
  <c r="G133" i="16" s="1"/>
  <c r="H133" i="16" s="1"/>
  <c r="C145" i="16"/>
  <c r="F129" i="16"/>
  <c r="C141" i="16"/>
  <c r="F180" i="16"/>
  <c r="G180" i="16" s="1"/>
  <c r="H180" i="16" s="1"/>
  <c r="C192" i="16"/>
  <c r="F125" i="16"/>
  <c r="C137" i="16"/>
  <c r="E127" i="16"/>
  <c r="B139" i="16"/>
  <c r="D127" i="16"/>
  <c r="I121" i="16"/>
  <c r="I118" i="16"/>
  <c r="I119" i="16"/>
  <c r="C146" i="16"/>
  <c r="F134" i="16"/>
  <c r="U12" i="25"/>
  <c r="B154" i="16"/>
  <c r="E142" i="16"/>
  <c r="D142" i="16"/>
  <c r="F155" i="16"/>
  <c r="C167" i="16"/>
  <c r="D180" i="16"/>
  <c r="E180" i="16"/>
  <c r="B192" i="16"/>
  <c r="F136" i="16"/>
  <c r="G136" i="16" s="1"/>
  <c r="H136" i="16" s="1"/>
  <c r="C148" i="16"/>
  <c r="I115" i="16"/>
  <c r="I117" i="16"/>
  <c r="Q13" i="23"/>
  <c r="I116" i="16"/>
  <c r="B152" i="16"/>
  <c r="E140" i="16"/>
  <c r="D140" i="16"/>
  <c r="L110" i="18"/>
  <c r="L110" i="19"/>
  <c r="G150" i="16"/>
  <c r="H150" i="16" s="1"/>
  <c r="E129" i="16"/>
  <c r="D129" i="16"/>
  <c r="B141" i="16"/>
  <c r="F127" i="16"/>
  <c r="G127" i="16" s="1"/>
  <c r="H127" i="16" s="1"/>
  <c r="C139" i="16"/>
  <c r="I113" i="16"/>
  <c r="E125" i="16"/>
  <c r="D125" i="16"/>
  <c r="B137" i="16"/>
  <c r="F162" i="16"/>
  <c r="G162" i="16" s="1"/>
  <c r="H162" i="16" s="1"/>
  <c r="C174" i="16"/>
  <c r="B174" i="16"/>
  <c r="E162" i="16"/>
  <c r="D162" i="16"/>
  <c r="I111" i="16"/>
  <c r="C138" i="15"/>
  <c r="F126" i="15"/>
  <c r="E153" i="15"/>
  <c r="B165" i="15"/>
  <c r="F133" i="15"/>
  <c r="G133" i="15" s="1"/>
  <c r="H133" i="15" s="1"/>
  <c r="C145" i="15"/>
  <c r="F122" i="15"/>
  <c r="G122" i="15" s="1"/>
  <c r="H122" i="15" s="1"/>
  <c r="C134" i="15"/>
  <c r="B138" i="15"/>
  <c r="E126" i="15"/>
  <c r="D126" i="15"/>
  <c r="F160" i="15"/>
  <c r="C172" i="15"/>
  <c r="I113" i="15"/>
  <c r="E122" i="15"/>
  <c r="B134" i="15"/>
  <c r="D122" i="15"/>
  <c r="C190" i="15"/>
  <c r="F178" i="15"/>
  <c r="E125" i="15"/>
  <c r="D125" i="15"/>
  <c r="B137" i="15"/>
  <c r="B148" i="15"/>
  <c r="E136" i="15"/>
  <c r="G136" i="15" s="1"/>
  <c r="H136" i="15" s="1"/>
  <c r="D136" i="15"/>
  <c r="I120" i="15"/>
  <c r="E166" i="15"/>
  <c r="D166" i="15"/>
  <c r="B178" i="15"/>
  <c r="U8" i="25"/>
  <c r="G166" i="15"/>
  <c r="H166" i="15" s="1"/>
  <c r="E143" i="15"/>
  <c r="D143" i="15"/>
  <c r="B155" i="15"/>
  <c r="B152" i="15"/>
  <c r="E140" i="15"/>
  <c r="D140" i="15"/>
  <c r="I121" i="15"/>
  <c r="I117" i="15"/>
  <c r="I118" i="15"/>
  <c r="I116" i="15"/>
  <c r="F123" i="15"/>
  <c r="G123" i="15" s="1"/>
  <c r="H123" i="15" s="1"/>
  <c r="C135" i="15"/>
  <c r="I110" i="15"/>
  <c r="U11" i="25"/>
  <c r="F128" i="15"/>
  <c r="G128" i="15" s="1"/>
  <c r="H128" i="15" s="1"/>
  <c r="C140" i="15"/>
  <c r="G114" i="15"/>
  <c r="H114" i="15" s="1"/>
  <c r="E145" i="15"/>
  <c r="D145" i="15"/>
  <c r="B157" i="15"/>
  <c r="F125" i="15"/>
  <c r="G125" i="15" s="1"/>
  <c r="H125" i="15" s="1"/>
  <c r="C137" i="15"/>
  <c r="G113" i="15"/>
  <c r="H113" i="15" s="1"/>
  <c r="E135" i="15"/>
  <c r="B147" i="15"/>
  <c r="G131" i="15"/>
  <c r="H131" i="15" s="1"/>
  <c r="B156" i="15"/>
  <c r="D144" i="15"/>
  <c r="E144" i="15"/>
  <c r="I114" i="15"/>
  <c r="F143" i="15"/>
  <c r="G143" i="15" s="1"/>
  <c r="H143" i="15" s="1"/>
  <c r="C155" i="15"/>
  <c r="I112" i="15"/>
  <c r="U14" i="25"/>
  <c r="F129" i="15"/>
  <c r="G129" i="15" s="1"/>
  <c r="H129" i="15" s="1"/>
  <c r="C141" i="15"/>
  <c r="D129" i="15"/>
  <c r="F144" i="15"/>
  <c r="C156" i="15"/>
  <c r="B151" i="15"/>
  <c r="E139" i="15"/>
  <c r="D139" i="15"/>
  <c r="F139" i="15"/>
  <c r="G139" i="15" s="1"/>
  <c r="H139" i="15" s="1"/>
  <c r="C151" i="15"/>
  <c r="I115" i="15"/>
  <c r="G132" i="15"/>
  <c r="H132" i="15" s="1"/>
  <c r="I119" i="15"/>
  <c r="I125" i="7"/>
  <c r="G132" i="7"/>
  <c r="H132" i="7" s="1"/>
  <c r="C148" i="7"/>
  <c r="F136" i="7"/>
  <c r="I128" i="7"/>
  <c r="B151" i="7"/>
  <c r="D139" i="7"/>
  <c r="E139" i="7"/>
  <c r="C154" i="7"/>
  <c r="F142" i="7"/>
  <c r="G142" i="7" s="1"/>
  <c r="H142" i="7" s="1"/>
  <c r="I123" i="7"/>
  <c r="F135" i="7"/>
  <c r="G135" i="7" s="1"/>
  <c r="H135" i="7" s="1"/>
  <c r="C147" i="7"/>
  <c r="D135" i="7"/>
  <c r="U17" i="25"/>
  <c r="I120" i="7"/>
  <c r="B154" i="7"/>
  <c r="E142" i="7"/>
  <c r="D142" i="7"/>
  <c r="F139" i="7"/>
  <c r="C151" i="7"/>
  <c r="G127" i="7"/>
  <c r="H127" i="7" s="1"/>
  <c r="F140" i="7"/>
  <c r="G140" i="7" s="1"/>
  <c r="H140" i="7" s="1"/>
  <c r="C152" i="7"/>
  <c r="I131" i="7"/>
  <c r="I130" i="7"/>
  <c r="I127" i="7"/>
  <c r="D140" i="7"/>
  <c r="B152" i="7"/>
  <c r="E140" i="7"/>
  <c r="E129" i="7"/>
  <c r="B141" i="7"/>
  <c r="D129" i="7"/>
  <c r="I132" i="7" s="1"/>
  <c r="F144" i="7"/>
  <c r="C156" i="7"/>
  <c r="E133" i="7"/>
  <c r="G133" i="7" s="1"/>
  <c r="H133" i="7" s="1"/>
  <c r="D133" i="7"/>
  <c r="B145" i="7"/>
  <c r="E134" i="7"/>
  <c r="B146" i="7"/>
  <c r="I122" i="7"/>
  <c r="U15" i="25"/>
  <c r="F143" i="7"/>
  <c r="G143" i="7" s="1"/>
  <c r="H143" i="7" s="1"/>
  <c r="C155" i="7"/>
  <c r="D143" i="7"/>
  <c r="I117" i="7"/>
  <c r="F149" i="7"/>
  <c r="C161" i="7"/>
  <c r="F129" i="7"/>
  <c r="G129" i="7" s="1"/>
  <c r="H129" i="7" s="1"/>
  <c r="C141" i="7"/>
  <c r="B179" i="7"/>
  <c r="E167" i="7"/>
  <c r="E149" i="7"/>
  <c r="B161" i="7"/>
  <c r="D149" i="7"/>
  <c r="I129" i="7"/>
  <c r="C150" i="7"/>
  <c r="F138" i="7"/>
  <c r="G138" i="7" s="1"/>
  <c r="H138" i="7" s="1"/>
  <c r="D138" i="7"/>
  <c r="E174" i="7"/>
  <c r="B186" i="7"/>
  <c r="F145" i="7"/>
  <c r="C157" i="7"/>
  <c r="I119" i="7"/>
  <c r="G137" i="7"/>
  <c r="H137" i="7" s="1"/>
  <c r="I115" i="7"/>
  <c r="C134" i="7"/>
  <c r="F122" i="7"/>
  <c r="G122" i="7" s="1"/>
  <c r="H122" i="7" s="1"/>
  <c r="D132" i="7"/>
  <c r="B144" i="7"/>
  <c r="E132" i="7"/>
  <c r="I114" i="7"/>
  <c r="D124" i="7"/>
  <c r="B136" i="7"/>
  <c r="E124" i="7"/>
  <c r="G124" i="7" s="1"/>
  <c r="H124" i="7" s="1"/>
  <c r="I121" i="7"/>
  <c r="E133" i="6"/>
  <c r="D133" i="6"/>
  <c r="B145" i="6"/>
  <c r="U12" i="14"/>
  <c r="U8" i="14"/>
  <c r="F134" i="6"/>
  <c r="G134" i="6" s="1"/>
  <c r="H134" i="6" s="1"/>
  <c r="C146" i="6"/>
  <c r="E134" i="6"/>
  <c r="D134" i="6"/>
  <c r="B146" i="6"/>
  <c r="F142" i="6"/>
  <c r="C154" i="6"/>
  <c r="N20" i="23"/>
  <c r="M67" i="23"/>
  <c r="M68" i="23"/>
  <c r="M69" i="23"/>
  <c r="I119" i="6"/>
  <c r="E125" i="6"/>
  <c r="D125" i="6"/>
  <c r="B137" i="6"/>
  <c r="E124" i="6"/>
  <c r="D124" i="6"/>
  <c r="B136" i="6"/>
  <c r="T11" i="18"/>
  <c r="I124" i="6"/>
  <c r="J20" i="23"/>
  <c r="I69" i="23"/>
  <c r="I68" i="23"/>
  <c r="E132" i="6"/>
  <c r="D132" i="6"/>
  <c r="B144" i="6"/>
  <c r="K27" i="13"/>
  <c r="I122" i="6"/>
  <c r="I113" i="6"/>
  <c r="I114" i="19"/>
  <c r="I118" i="6"/>
  <c r="D56" i="23"/>
  <c r="F56" i="23" s="1"/>
  <c r="F124" i="6"/>
  <c r="C136" i="6"/>
  <c r="E128" i="6"/>
  <c r="D128" i="6"/>
  <c r="B140" i="6"/>
  <c r="F129" i="6"/>
  <c r="C141" i="6"/>
  <c r="I121" i="6"/>
  <c r="E150" i="6"/>
  <c r="D150" i="6"/>
  <c r="B162" i="6"/>
  <c r="E123" i="6"/>
  <c r="G123" i="6" s="1"/>
  <c r="H123" i="6" s="1"/>
  <c r="D123" i="6"/>
  <c r="B135" i="6"/>
  <c r="D142" i="6"/>
  <c r="B154" i="6"/>
  <c r="E142" i="6"/>
  <c r="T17" i="23"/>
  <c r="I115" i="6"/>
  <c r="I124" i="25"/>
  <c r="G112" i="6"/>
  <c r="H112" i="6" s="1"/>
  <c r="G117" i="6"/>
  <c r="H117" i="6" s="1"/>
  <c r="F150" i="6"/>
  <c r="C162" i="6"/>
  <c r="F128" i="6"/>
  <c r="G128" i="6" s="1"/>
  <c r="H128" i="6" s="1"/>
  <c r="C140" i="6"/>
  <c r="F133" i="6"/>
  <c r="G133" i="6" s="1"/>
  <c r="H133" i="6" s="1"/>
  <c r="C145" i="6"/>
  <c r="F132" i="6"/>
  <c r="C144" i="6"/>
  <c r="I116" i="6"/>
  <c r="I117" i="6"/>
  <c r="G116" i="6"/>
  <c r="H116" i="6" s="1"/>
  <c r="E127" i="6"/>
  <c r="G127" i="6" s="1"/>
  <c r="H127" i="6" s="1"/>
  <c r="D127" i="6"/>
  <c r="B139" i="6"/>
  <c r="I126" i="6"/>
  <c r="I125" i="6"/>
  <c r="I112" i="6"/>
  <c r="F125" i="6"/>
  <c r="C137" i="6"/>
  <c r="E129" i="6"/>
  <c r="D129" i="6"/>
  <c r="B141" i="6"/>
  <c r="G113" i="6"/>
  <c r="H113" i="6" s="1"/>
  <c r="I128" i="6"/>
  <c r="E131" i="6"/>
  <c r="G131" i="6" s="1"/>
  <c r="H131" i="6" s="1"/>
  <c r="D131" i="6"/>
  <c r="B143" i="6"/>
  <c r="I130" i="6"/>
  <c r="E191" i="5"/>
  <c r="B203" i="5"/>
  <c r="E141" i="5"/>
  <c r="D141" i="5"/>
  <c r="B153" i="5"/>
  <c r="F183" i="5"/>
  <c r="C195" i="5"/>
  <c r="G171" i="5"/>
  <c r="H171" i="5" s="1"/>
  <c r="D128" i="5"/>
  <c r="E128" i="5"/>
  <c r="B140" i="5"/>
  <c r="F142" i="5"/>
  <c r="G142" i="5" s="1"/>
  <c r="H142" i="5" s="1"/>
  <c r="C154" i="5"/>
  <c r="E142" i="5"/>
  <c r="D142" i="5"/>
  <c r="B154" i="5"/>
  <c r="E160" i="5"/>
  <c r="B172" i="5"/>
  <c r="I125" i="5"/>
  <c r="I122" i="25"/>
  <c r="I130" i="5"/>
  <c r="I129" i="5"/>
  <c r="F131" i="5"/>
  <c r="G131" i="5" s="1"/>
  <c r="H131" i="5" s="1"/>
  <c r="C143" i="5"/>
  <c r="D131" i="5"/>
  <c r="E156" i="5"/>
  <c r="B168" i="5"/>
  <c r="I126" i="25"/>
  <c r="F134" i="5"/>
  <c r="G134" i="5" s="1"/>
  <c r="H134" i="5" s="1"/>
  <c r="C146" i="5"/>
  <c r="F137" i="5"/>
  <c r="C149" i="5"/>
  <c r="Q18" i="5"/>
  <c r="Q53" i="5"/>
  <c r="E125" i="5"/>
  <c r="G125" i="5" s="1"/>
  <c r="H125" i="5" s="1"/>
  <c r="D125" i="5"/>
  <c r="B137" i="5"/>
  <c r="E150" i="5"/>
  <c r="B162" i="5"/>
  <c r="T16" i="23"/>
  <c r="T15" i="23"/>
  <c r="B183" i="5"/>
  <c r="E171" i="5"/>
  <c r="D171" i="5"/>
  <c r="E133" i="5"/>
  <c r="G133" i="5" s="1"/>
  <c r="H133" i="5" s="1"/>
  <c r="B145" i="5"/>
  <c r="D133" i="5"/>
  <c r="T18" i="23"/>
  <c r="I118" i="25"/>
  <c r="C151" i="5"/>
  <c r="F139" i="5"/>
  <c r="G139" i="5" s="1"/>
  <c r="H139" i="5" s="1"/>
  <c r="E146" i="5"/>
  <c r="B158" i="5"/>
  <c r="F141" i="5"/>
  <c r="C153" i="5"/>
  <c r="F138" i="5"/>
  <c r="G138" i="5" s="1"/>
  <c r="H138" i="5" s="1"/>
  <c r="C150" i="5"/>
  <c r="D150" i="5" s="1"/>
  <c r="F128" i="5"/>
  <c r="G128" i="5" s="1"/>
  <c r="H128" i="5" s="1"/>
  <c r="C140" i="5"/>
  <c r="G116" i="5"/>
  <c r="H116" i="5" s="1"/>
  <c r="I119" i="25"/>
  <c r="F132" i="5"/>
  <c r="G132" i="5" s="1"/>
  <c r="H132" i="5" s="1"/>
  <c r="C144" i="5"/>
  <c r="D132" i="5"/>
  <c r="T13" i="22"/>
  <c r="U13" i="22" s="1"/>
  <c r="C157" i="5"/>
  <c r="F145" i="5"/>
  <c r="I120" i="25"/>
  <c r="I123" i="5"/>
  <c r="I122" i="5"/>
  <c r="F124" i="5"/>
  <c r="G124" i="5" s="1"/>
  <c r="H124" i="5" s="1"/>
  <c r="C136" i="5"/>
  <c r="D124" i="5"/>
  <c r="I127" i="5" s="1"/>
  <c r="B151" i="5"/>
  <c r="D139" i="5"/>
  <c r="E139" i="5"/>
  <c r="D132" i="4"/>
  <c r="B144" i="4"/>
  <c r="E132" i="4"/>
  <c r="G132" i="4" s="1"/>
  <c r="H132" i="4" s="1"/>
  <c r="E146" i="4"/>
  <c r="B158" i="4"/>
  <c r="D146" i="4"/>
  <c r="C152" i="4"/>
  <c r="F140" i="4"/>
  <c r="E151" i="4"/>
  <c r="D151" i="4"/>
  <c r="B163" i="4"/>
  <c r="I125" i="4"/>
  <c r="I125" i="25"/>
  <c r="T10" i="23"/>
  <c r="U10" i="23" s="1"/>
  <c r="C158" i="4"/>
  <c r="F146" i="4"/>
  <c r="G146" i="4" s="1"/>
  <c r="H146" i="4" s="1"/>
  <c r="C180" i="4"/>
  <c r="F168" i="4"/>
  <c r="F126" i="4"/>
  <c r="G126" i="4" s="1"/>
  <c r="H126" i="4" s="1"/>
  <c r="C138" i="4"/>
  <c r="B157" i="4"/>
  <c r="E145" i="4"/>
  <c r="F129" i="4"/>
  <c r="G129" i="4" s="1"/>
  <c r="H129" i="4" s="1"/>
  <c r="C141" i="4"/>
  <c r="I122" i="22"/>
  <c r="E131" i="4"/>
  <c r="G131" i="4" s="1"/>
  <c r="H131" i="4" s="1"/>
  <c r="B143" i="4"/>
  <c r="D131" i="4"/>
  <c r="I131" i="4" s="1"/>
  <c r="E142" i="4"/>
  <c r="B154" i="4"/>
  <c r="D142" i="4"/>
  <c r="S6" i="23"/>
  <c r="D125" i="4"/>
  <c r="B137" i="4"/>
  <c r="E125" i="4"/>
  <c r="D129" i="4"/>
  <c r="B141" i="4"/>
  <c r="E129" i="4"/>
  <c r="D124" i="4"/>
  <c r="B136" i="4"/>
  <c r="E124" i="4"/>
  <c r="I128" i="4"/>
  <c r="I124" i="4"/>
  <c r="I123" i="4"/>
  <c r="G124" i="4"/>
  <c r="H124" i="4" s="1"/>
  <c r="T14" i="23"/>
  <c r="I115" i="4"/>
  <c r="C147" i="4"/>
  <c r="F135" i="4"/>
  <c r="C148" i="4"/>
  <c r="F136" i="4"/>
  <c r="T13" i="23"/>
  <c r="I129" i="4"/>
  <c r="F125" i="4"/>
  <c r="G125" i="4" s="1"/>
  <c r="H125" i="4" s="1"/>
  <c r="C137" i="4"/>
  <c r="E138" i="4"/>
  <c r="B150" i="4"/>
  <c r="G123" i="4"/>
  <c r="H123" i="4" s="1"/>
  <c r="G139" i="4"/>
  <c r="H139" i="4" s="1"/>
  <c r="C154" i="4"/>
  <c r="F142" i="4"/>
  <c r="G142" i="4" s="1"/>
  <c r="H142" i="4" s="1"/>
  <c r="D128" i="4"/>
  <c r="B140" i="4"/>
  <c r="E128" i="4"/>
  <c r="I124" i="22"/>
  <c r="T12" i="23"/>
  <c r="F143" i="4"/>
  <c r="C155" i="4"/>
  <c r="C163" i="4"/>
  <c r="F151" i="4"/>
  <c r="G151" i="4" s="1"/>
  <c r="H151" i="4" s="1"/>
  <c r="G130" i="4"/>
  <c r="H130" i="4" s="1"/>
  <c r="I127" i="4"/>
  <c r="I126" i="4"/>
  <c r="G128" i="4"/>
  <c r="H128" i="4" s="1"/>
  <c r="I115" i="13"/>
  <c r="K115" i="18" s="1"/>
  <c r="I120" i="4"/>
  <c r="I117" i="4"/>
  <c r="F133" i="4"/>
  <c r="G133" i="4" s="1"/>
  <c r="H133" i="4" s="1"/>
  <c r="C145" i="4"/>
  <c r="E135" i="4"/>
  <c r="B147" i="4"/>
  <c r="D135" i="4"/>
  <c r="I121" i="4"/>
  <c r="B162" i="3"/>
  <c r="E150" i="3"/>
  <c r="D150" i="3"/>
  <c r="I121" i="22"/>
  <c r="T7" i="18"/>
  <c r="T19" i="18"/>
  <c r="E133" i="3"/>
  <c r="B145" i="3"/>
  <c r="D133" i="3"/>
  <c r="E140" i="3"/>
  <c r="B152" i="3"/>
  <c r="T14" i="18"/>
  <c r="T10" i="22"/>
  <c r="U10" i="22" s="1"/>
  <c r="T14" i="22"/>
  <c r="I127" i="3"/>
  <c r="I125" i="3"/>
  <c r="I117" i="3"/>
  <c r="T18" i="19"/>
  <c r="T14" i="19"/>
  <c r="T7" i="19"/>
  <c r="T12" i="19"/>
  <c r="T10" i="19"/>
  <c r="D56" i="19"/>
  <c r="F56" i="19" s="1"/>
  <c r="T15" i="19"/>
  <c r="T9" i="19"/>
  <c r="S6" i="19"/>
  <c r="T8" i="19"/>
  <c r="T19" i="19"/>
  <c r="T13" i="19"/>
  <c r="T17" i="19"/>
  <c r="T11" i="19"/>
  <c r="T16" i="19"/>
  <c r="I20" i="23"/>
  <c r="T18" i="18"/>
  <c r="G138" i="3"/>
  <c r="H138" i="3" s="1"/>
  <c r="F165" i="3"/>
  <c r="C177" i="3"/>
  <c r="E136" i="3"/>
  <c r="G136" i="3" s="1"/>
  <c r="H136" i="3" s="1"/>
  <c r="D136" i="3"/>
  <c r="B148" i="3"/>
  <c r="E69" i="23"/>
  <c r="E67" i="23"/>
  <c r="F20" i="23"/>
  <c r="P17" i="23"/>
  <c r="Q86" i="23"/>
  <c r="R86" i="23" s="1"/>
  <c r="S86" i="23" s="1"/>
  <c r="T86" i="23" s="1"/>
  <c r="U86" i="23" s="1"/>
  <c r="V86" i="23" s="1"/>
  <c r="W86" i="23" s="1"/>
  <c r="X86" i="23" s="1"/>
  <c r="Y86" i="23" s="1"/>
  <c r="E68" i="23"/>
  <c r="H67" i="23"/>
  <c r="P19" i="23"/>
  <c r="Q88" i="23"/>
  <c r="R88" i="23" s="1"/>
  <c r="S88" i="23" s="1"/>
  <c r="T88" i="23" s="1"/>
  <c r="U88" i="23" s="1"/>
  <c r="V88" i="23" s="1"/>
  <c r="W88" i="23" s="1"/>
  <c r="X88" i="23" s="1"/>
  <c r="Y88" i="23" s="1"/>
  <c r="I110" i="19"/>
  <c r="T10" i="18"/>
  <c r="T15" i="22"/>
  <c r="F132" i="3"/>
  <c r="G132" i="3" s="1"/>
  <c r="H132" i="3" s="1"/>
  <c r="C144" i="3"/>
  <c r="C162" i="3"/>
  <c r="F150" i="3"/>
  <c r="G150" i="3" s="1"/>
  <c r="H150" i="3" s="1"/>
  <c r="I124" i="3"/>
  <c r="I118" i="3"/>
  <c r="S6" i="18"/>
  <c r="K27" i="18" s="1"/>
  <c r="G67" i="23"/>
  <c r="G68" i="23"/>
  <c r="G69" i="23"/>
  <c r="B147" i="3"/>
  <c r="E135" i="3"/>
  <c r="D135" i="3"/>
  <c r="B178" i="3"/>
  <c r="E166" i="3"/>
  <c r="T16" i="18"/>
  <c r="T13" i="18"/>
  <c r="T17" i="22"/>
  <c r="C173" i="3"/>
  <c r="F161" i="3"/>
  <c r="D56" i="22"/>
  <c r="F56" i="22" s="1"/>
  <c r="H20" i="23"/>
  <c r="G133" i="3"/>
  <c r="H133" i="3" s="1"/>
  <c r="I118" i="14"/>
  <c r="G123" i="3"/>
  <c r="H123" i="3" s="1"/>
  <c r="T9" i="18"/>
  <c r="I116" i="19"/>
  <c r="E144" i="3"/>
  <c r="D144" i="3"/>
  <c r="B156" i="3"/>
  <c r="T19" i="22"/>
  <c r="C196" i="3"/>
  <c r="F184" i="3"/>
  <c r="B146" i="3"/>
  <c r="E134" i="3"/>
  <c r="D134" i="3"/>
  <c r="I122" i="3"/>
  <c r="C157" i="3"/>
  <c r="F145" i="3"/>
  <c r="I119" i="3"/>
  <c r="I116" i="3"/>
  <c r="I116" i="14"/>
  <c r="C146" i="3"/>
  <c r="F134" i="3"/>
  <c r="C151" i="3"/>
  <c r="F139" i="3"/>
  <c r="G139" i="3" s="1"/>
  <c r="H139" i="3" s="1"/>
  <c r="T8" i="18"/>
  <c r="I120" i="3"/>
  <c r="C147" i="3"/>
  <c r="F135" i="3"/>
  <c r="I120" i="13"/>
  <c r="K120" i="18" s="1"/>
  <c r="T12" i="18"/>
  <c r="T17" i="18"/>
  <c r="T15" i="18"/>
  <c r="S6" i="22"/>
  <c r="K27" i="22" s="1"/>
  <c r="B151" i="3"/>
  <c r="D139" i="3"/>
  <c r="E139" i="3"/>
  <c r="I113" i="19"/>
  <c r="F69" i="23"/>
  <c r="G20" i="23"/>
  <c r="F68" i="23"/>
  <c r="F67" i="23"/>
  <c r="C140" i="3"/>
  <c r="D140" i="3" s="1"/>
  <c r="F128" i="3"/>
  <c r="G128" i="3" s="1"/>
  <c r="H128" i="3" s="1"/>
  <c r="E149" i="3"/>
  <c r="G149" i="3" s="1"/>
  <c r="H149" i="3" s="1"/>
  <c r="D149" i="3"/>
  <c r="B161" i="3"/>
  <c r="E129" i="3"/>
  <c r="G129" i="3" s="1"/>
  <c r="H129" i="3" s="1"/>
  <c r="B141" i="3"/>
  <c r="D129" i="3"/>
  <c r="I128" i="3"/>
  <c r="I118" i="13"/>
  <c r="K118" i="18" s="1"/>
  <c r="C166" i="3"/>
  <c r="F154" i="3"/>
  <c r="G154" i="3" s="1"/>
  <c r="H154" i="3" s="1"/>
  <c r="B167" i="3"/>
  <c r="E155" i="3"/>
  <c r="I123" i="3"/>
  <c r="T18" i="22"/>
  <c r="T11" i="22"/>
  <c r="U12" i="22" s="1"/>
  <c r="T16" i="22"/>
  <c r="C143" i="3"/>
  <c r="F131" i="3"/>
  <c r="G131" i="3" s="1"/>
  <c r="H131" i="3" s="1"/>
  <c r="D131" i="3"/>
  <c r="F143" i="25"/>
  <c r="C155" i="25"/>
  <c r="B154" i="25"/>
  <c r="E142" i="25"/>
  <c r="F129" i="25"/>
  <c r="C141" i="25"/>
  <c r="B164" i="25"/>
  <c r="E152" i="25"/>
  <c r="D152" i="25"/>
  <c r="E143" i="25"/>
  <c r="D143" i="25"/>
  <c r="B155" i="25"/>
  <c r="B147" i="25"/>
  <c r="D135" i="25"/>
  <c r="E135" i="25"/>
  <c r="G132" i="25"/>
  <c r="H132" i="25" s="1"/>
  <c r="C156" i="25"/>
  <c r="F144" i="25"/>
  <c r="G144" i="25" s="1"/>
  <c r="H144" i="25" s="1"/>
  <c r="I128" i="25"/>
  <c r="E129" i="25"/>
  <c r="B141" i="25"/>
  <c r="D129" i="25"/>
  <c r="I129" i="25" s="1"/>
  <c r="B187" i="25"/>
  <c r="E175" i="25"/>
  <c r="E149" i="25"/>
  <c r="B161" i="25"/>
  <c r="D149" i="25"/>
  <c r="F149" i="25"/>
  <c r="G149" i="25" s="1"/>
  <c r="H149" i="25" s="1"/>
  <c r="C161" i="25"/>
  <c r="I127" i="25"/>
  <c r="I121" i="25"/>
  <c r="E133" i="25"/>
  <c r="D133" i="25"/>
  <c r="B145" i="25"/>
  <c r="C142" i="25"/>
  <c r="F130" i="25"/>
  <c r="G130" i="25" s="1"/>
  <c r="H130" i="25" s="1"/>
  <c r="I123" i="25"/>
  <c r="B186" i="25"/>
  <c r="E174" i="25"/>
  <c r="D158" i="25"/>
  <c r="B170" i="25"/>
  <c r="E158" i="25"/>
  <c r="F151" i="25"/>
  <c r="G151" i="25" s="1"/>
  <c r="H151" i="25" s="1"/>
  <c r="C163" i="25"/>
  <c r="D151" i="25"/>
  <c r="I117" i="25"/>
  <c r="F135" i="25"/>
  <c r="C147" i="25"/>
  <c r="C152" i="25"/>
  <c r="F140" i="25"/>
  <c r="G140" i="25" s="1"/>
  <c r="H140" i="25" s="1"/>
  <c r="C150" i="25"/>
  <c r="F138" i="25"/>
  <c r="G138" i="25" s="1"/>
  <c r="H138" i="25" s="1"/>
  <c r="D138" i="25"/>
  <c r="F146" i="25"/>
  <c r="G146" i="25" s="1"/>
  <c r="H146" i="25" s="1"/>
  <c r="C158" i="25"/>
  <c r="B156" i="25"/>
  <c r="E144" i="25"/>
  <c r="D144" i="25"/>
  <c r="F133" i="25"/>
  <c r="G133" i="25" s="1"/>
  <c r="H133" i="25" s="1"/>
  <c r="C145" i="25"/>
  <c r="D127" i="14"/>
  <c r="E127" i="14"/>
  <c r="G127" i="14" s="1"/>
  <c r="H127" i="14" s="1"/>
  <c r="B139" i="14"/>
  <c r="F124" i="14"/>
  <c r="C136" i="14"/>
  <c r="I119" i="14"/>
  <c r="I125" i="22"/>
  <c r="F163" i="14"/>
  <c r="C175" i="14"/>
  <c r="F140" i="14"/>
  <c r="C152" i="14"/>
  <c r="C150" i="14"/>
  <c r="F138" i="14"/>
  <c r="G138" i="14" s="1"/>
  <c r="H138" i="14" s="1"/>
  <c r="E128" i="14"/>
  <c r="G128" i="14" s="1"/>
  <c r="H128" i="14" s="1"/>
  <c r="D128" i="14"/>
  <c r="B140" i="14"/>
  <c r="D131" i="14"/>
  <c r="B143" i="14"/>
  <c r="E131" i="14"/>
  <c r="G131" i="14" s="1"/>
  <c r="H131" i="14" s="1"/>
  <c r="E137" i="14"/>
  <c r="G137" i="14" s="1"/>
  <c r="H137" i="14" s="1"/>
  <c r="B149" i="14"/>
  <c r="D137" i="14"/>
  <c r="D123" i="14"/>
  <c r="B135" i="14"/>
  <c r="E123" i="14"/>
  <c r="G123" i="14" s="1"/>
  <c r="H123" i="14" s="1"/>
  <c r="I122" i="14"/>
  <c r="I121" i="14"/>
  <c r="I120" i="14"/>
  <c r="I111" i="14"/>
  <c r="E145" i="14"/>
  <c r="G145" i="14" s="1"/>
  <c r="H145" i="14" s="1"/>
  <c r="B157" i="14"/>
  <c r="D145" i="14"/>
  <c r="E132" i="14"/>
  <c r="D132" i="14"/>
  <c r="B144" i="14"/>
  <c r="C146" i="14"/>
  <c r="D146" i="14" s="1"/>
  <c r="F134" i="14"/>
  <c r="G134" i="14" s="1"/>
  <c r="H134" i="14" s="1"/>
  <c r="E146" i="14"/>
  <c r="B158" i="14"/>
  <c r="E141" i="14"/>
  <c r="G141" i="14" s="1"/>
  <c r="H141" i="14" s="1"/>
  <c r="B153" i="14"/>
  <c r="D141" i="14"/>
  <c r="E166" i="14"/>
  <c r="D166" i="14"/>
  <c r="B178" i="14"/>
  <c r="C190" i="14"/>
  <c r="F178" i="14"/>
  <c r="I113" i="14"/>
  <c r="G166" i="14"/>
  <c r="H166" i="14" s="1"/>
  <c r="I114" i="14"/>
  <c r="E124" i="14"/>
  <c r="D124" i="14"/>
  <c r="B136" i="14"/>
  <c r="I112" i="14"/>
  <c r="D138" i="14"/>
  <c r="B150" i="14"/>
  <c r="E138" i="14"/>
  <c r="F155" i="14"/>
  <c r="C167" i="14"/>
  <c r="I115" i="14"/>
  <c r="F132" i="14"/>
  <c r="G132" i="14" s="1"/>
  <c r="H132" i="14" s="1"/>
  <c r="C144" i="14"/>
  <c r="I117" i="14"/>
  <c r="F159" i="14"/>
  <c r="C171" i="14"/>
  <c r="I115" i="22"/>
  <c r="B146" i="13"/>
  <c r="E134" i="13"/>
  <c r="G134" i="13" s="1"/>
  <c r="H134" i="13" s="1"/>
  <c r="D134" i="13"/>
  <c r="C135" i="13"/>
  <c r="F123" i="13"/>
  <c r="G123" i="13" s="1"/>
  <c r="H123" i="13" s="1"/>
  <c r="D123" i="13"/>
  <c r="E157" i="13"/>
  <c r="B169" i="13"/>
  <c r="B142" i="13"/>
  <c r="D130" i="13"/>
  <c r="E130" i="13"/>
  <c r="D131" i="13"/>
  <c r="B143" i="13"/>
  <c r="E131" i="13"/>
  <c r="G131" i="13" s="1"/>
  <c r="H131" i="13" s="1"/>
  <c r="F145" i="13"/>
  <c r="G145" i="13" s="1"/>
  <c r="H145" i="13" s="1"/>
  <c r="C157" i="13"/>
  <c r="D157" i="13" s="1"/>
  <c r="C163" i="13"/>
  <c r="F151" i="13"/>
  <c r="I119" i="13"/>
  <c r="K110" i="18"/>
  <c r="K110" i="19"/>
  <c r="I117" i="13"/>
  <c r="F132" i="13"/>
  <c r="G132" i="13" s="1"/>
  <c r="H132" i="13" s="1"/>
  <c r="C144" i="13"/>
  <c r="E124" i="13"/>
  <c r="B136" i="13"/>
  <c r="D124" i="13"/>
  <c r="E137" i="13"/>
  <c r="D137" i="13"/>
  <c r="B149" i="13"/>
  <c r="E150" i="13"/>
  <c r="D150" i="13"/>
  <c r="B162" i="13"/>
  <c r="Q10" i="23"/>
  <c r="Q11" i="23"/>
  <c r="I111" i="13"/>
  <c r="G116" i="13"/>
  <c r="H116" i="13" s="1"/>
  <c r="I112" i="19"/>
  <c r="I111" i="19"/>
  <c r="C162" i="13"/>
  <c r="F150" i="13"/>
  <c r="G150" i="13" s="1"/>
  <c r="H150" i="13" s="1"/>
  <c r="I118" i="19"/>
  <c r="F125" i="13"/>
  <c r="G125" i="13" s="1"/>
  <c r="H125" i="13" s="1"/>
  <c r="C137" i="13"/>
  <c r="E132" i="13"/>
  <c r="B144" i="13"/>
  <c r="D132" i="13"/>
  <c r="F124" i="13"/>
  <c r="G124" i="13" s="1"/>
  <c r="H124" i="13" s="1"/>
  <c r="C136" i="13"/>
  <c r="D127" i="13"/>
  <c r="E127" i="13"/>
  <c r="G127" i="13" s="1"/>
  <c r="H127" i="13" s="1"/>
  <c r="B139" i="13"/>
  <c r="F129" i="13"/>
  <c r="G129" i="13" s="1"/>
  <c r="H129" i="13" s="1"/>
  <c r="C141" i="13"/>
  <c r="D129" i="13"/>
  <c r="E153" i="13"/>
  <c r="B165" i="13"/>
  <c r="I122" i="13"/>
  <c r="F128" i="13"/>
  <c r="G128" i="13" s="1"/>
  <c r="H128" i="13" s="1"/>
  <c r="C140" i="13"/>
  <c r="C182" i="13"/>
  <c r="F170" i="13"/>
  <c r="I114" i="13"/>
  <c r="F130" i="13"/>
  <c r="G130" i="13" s="1"/>
  <c r="H130" i="13" s="1"/>
  <c r="C142" i="13"/>
  <c r="E147" i="13"/>
  <c r="B159" i="13"/>
  <c r="I116" i="13"/>
  <c r="G118" i="13"/>
  <c r="H118" i="13" s="1"/>
  <c r="C155" i="13"/>
  <c r="F143" i="13"/>
  <c r="I121" i="13"/>
  <c r="I124" i="18"/>
  <c r="E128" i="13"/>
  <c r="B140" i="13"/>
  <c r="D128" i="13"/>
  <c r="D145" i="13"/>
  <c r="I112" i="13"/>
  <c r="G138" i="13"/>
  <c r="H138" i="13" s="1"/>
  <c r="C155" i="19"/>
  <c r="F143" i="19"/>
  <c r="F160" i="19"/>
  <c r="C172" i="19"/>
  <c r="B155" i="19"/>
  <c r="E143" i="19"/>
  <c r="D143" i="19"/>
  <c r="C159" i="19"/>
  <c r="F147" i="19"/>
  <c r="D147" i="19"/>
  <c r="B159" i="19"/>
  <c r="E147" i="19"/>
  <c r="E149" i="19"/>
  <c r="D149" i="19"/>
  <c r="B161" i="19"/>
  <c r="D157" i="19"/>
  <c r="B169" i="19"/>
  <c r="E157" i="19"/>
  <c r="E130" i="19"/>
  <c r="D130" i="19"/>
  <c r="B142" i="19"/>
  <c r="F161" i="19"/>
  <c r="C173" i="19"/>
  <c r="D148" i="19"/>
  <c r="E148" i="19"/>
  <c r="G148" i="19" s="1"/>
  <c r="H148" i="19" s="1"/>
  <c r="J148" i="19" s="1"/>
  <c r="B160" i="19"/>
  <c r="G149" i="19"/>
  <c r="H149" i="19" s="1"/>
  <c r="J149" i="19" s="1"/>
  <c r="D151" i="19"/>
  <c r="B163" i="19"/>
  <c r="E151" i="19"/>
  <c r="G151" i="19" s="1"/>
  <c r="H151" i="19" s="1"/>
  <c r="J151" i="19" s="1"/>
  <c r="F126" i="19"/>
  <c r="G126" i="19" s="1"/>
  <c r="H126" i="19" s="1"/>
  <c r="J126" i="19" s="1"/>
  <c r="C138" i="19"/>
  <c r="F157" i="19"/>
  <c r="C169" i="19"/>
  <c r="D132" i="19"/>
  <c r="E132" i="19"/>
  <c r="G132" i="19" s="1"/>
  <c r="H132" i="19" s="1"/>
  <c r="J132" i="19" s="1"/>
  <c r="B144" i="19"/>
  <c r="F128" i="19"/>
  <c r="G128" i="19" s="1"/>
  <c r="H128" i="19" s="1"/>
  <c r="J128" i="19" s="1"/>
  <c r="C140" i="19"/>
  <c r="C142" i="19"/>
  <c r="F130" i="19"/>
  <c r="C134" i="19"/>
  <c r="F122" i="19"/>
  <c r="G122" i="19" s="1"/>
  <c r="H122" i="19" s="1"/>
  <c r="J122" i="19" s="1"/>
  <c r="F163" i="19"/>
  <c r="C175" i="19"/>
  <c r="E126" i="19"/>
  <c r="D126" i="19"/>
  <c r="B138" i="19"/>
  <c r="E140" i="19"/>
  <c r="D140" i="19"/>
  <c r="B152" i="19"/>
  <c r="I121" i="19"/>
  <c r="I120" i="19"/>
  <c r="I115" i="19"/>
  <c r="I119" i="19"/>
  <c r="C180" i="19"/>
  <c r="F168" i="19"/>
  <c r="I117" i="19"/>
  <c r="B134" i="19"/>
  <c r="E122" i="19"/>
  <c r="D122" i="19"/>
  <c r="I125" i="19" s="1"/>
  <c r="C189" i="19"/>
  <c r="F177" i="19"/>
  <c r="D129" i="19"/>
  <c r="B141" i="19"/>
  <c r="E129" i="19"/>
  <c r="G129" i="19" s="1"/>
  <c r="H129" i="19" s="1"/>
  <c r="J129" i="19" s="1"/>
  <c r="C162" i="18"/>
  <c r="F150" i="18"/>
  <c r="G150" i="18" s="1"/>
  <c r="H150" i="18" s="1"/>
  <c r="J150" i="18" s="1"/>
  <c r="D150" i="18"/>
  <c r="D125" i="18"/>
  <c r="I126" i="18" s="1"/>
  <c r="B137" i="18"/>
  <c r="E125" i="18"/>
  <c r="E141" i="18"/>
  <c r="D141" i="18"/>
  <c r="B153" i="18"/>
  <c r="I121" i="18"/>
  <c r="B151" i="18"/>
  <c r="E139" i="18"/>
  <c r="D139" i="18"/>
  <c r="G127" i="18"/>
  <c r="H127" i="18" s="1"/>
  <c r="J127" i="18" s="1"/>
  <c r="D155" i="18"/>
  <c r="E155" i="18"/>
  <c r="B167" i="18"/>
  <c r="I118" i="18"/>
  <c r="F139" i="18"/>
  <c r="G139" i="18" s="1"/>
  <c r="H139" i="18" s="1"/>
  <c r="J139" i="18" s="1"/>
  <c r="C151" i="18"/>
  <c r="I114" i="18"/>
  <c r="I113" i="18"/>
  <c r="D140" i="18"/>
  <c r="B152" i="18"/>
  <c r="E140" i="18"/>
  <c r="G134" i="18"/>
  <c r="H134" i="18" s="1"/>
  <c r="J134" i="18" s="1"/>
  <c r="F155" i="18"/>
  <c r="C167" i="18"/>
  <c r="F146" i="18"/>
  <c r="C158" i="18"/>
  <c r="B146" i="18"/>
  <c r="D134" i="18"/>
  <c r="E134" i="18"/>
  <c r="C160" i="18"/>
  <c r="F148" i="18"/>
  <c r="F141" i="18"/>
  <c r="G141" i="18" s="1"/>
  <c r="H141" i="18" s="1"/>
  <c r="J141" i="18" s="1"/>
  <c r="C153" i="18"/>
  <c r="B148" i="18"/>
  <c r="D136" i="18"/>
  <c r="E136" i="18"/>
  <c r="G136" i="18" s="1"/>
  <c r="H136" i="18" s="1"/>
  <c r="J136" i="18" s="1"/>
  <c r="C147" i="18"/>
  <c r="F135" i="18"/>
  <c r="I122" i="18"/>
  <c r="B157" i="18"/>
  <c r="D145" i="18"/>
  <c r="E145" i="18"/>
  <c r="E135" i="18"/>
  <c r="D135" i="18"/>
  <c r="B147" i="18"/>
  <c r="E174" i="18"/>
  <c r="B186" i="18"/>
  <c r="I117" i="18"/>
  <c r="G129" i="18"/>
  <c r="H129" i="18" s="1"/>
  <c r="J129" i="18" s="1"/>
  <c r="C152" i="18"/>
  <c r="F140" i="18"/>
  <c r="G133" i="18"/>
  <c r="H133" i="18" s="1"/>
  <c r="J133" i="18" s="1"/>
  <c r="F144" i="18"/>
  <c r="G144" i="18" s="1"/>
  <c r="H144" i="18" s="1"/>
  <c r="J144" i="18" s="1"/>
  <c r="C156" i="18"/>
  <c r="D144" i="18"/>
  <c r="I123" i="18"/>
  <c r="G113" i="18"/>
  <c r="H113" i="18" s="1"/>
  <c r="J113" i="18" s="1"/>
  <c r="F125" i="18"/>
  <c r="G125" i="18" s="1"/>
  <c r="H125" i="18" s="1"/>
  <c r="J125" i="18" s="1"/>
  <c r="C137" i="18"/>
  <c r="F130" i="18"/>
  <c r="C142" i="18"/>
  <c r="I115" i="18"/>
  <c r="C157" i="18"/>
  <c r="F145" i="18"/>
  <c r="B142" i="18"/>
  <c r="E130" i="18"/>
  <c r="D130" i="18"/>
  <c r="I120" i="18"/>
  <c r="B180" i="18"/>
  <c r="E168" i="18"/>
  <c r="I119" i="18"/>
  <c r="F136" i="22"/>
  <c r="C148" i="22"/>
  <c r="B174" i="22"/>
  <c r="E162" i="22"/>
  <c r="I123" i="22"/>
  <c r="F138" i="22"/>
  <c r="G138" i="22" s="1"/>
  <c r="H138" i="22" s="1"/>
  <c r="C150" i="22"/>
  <c r="D138" i="22"/>
  <c r="F139" i="22"/>
  <c r="C151" i="22"/>
  <c r="F169" i="22"/>
  <c r="C181" i="22"/>
  <c r="F146" i="22"/>
  <c r="G146" i="22" s="1"/>
  <c r="H146" i="22" s="1"/>
  <c r="C158" i="22"/>
  <c r="F131" i="22"/>
  <c r="C143" i="22"/>
  <c r="F129" i="22"/>
  <c r="G129" i="22" s="1"/>
  <c r="H129" i="22" s="1"/>
  <c r="C141" i="22"/>
  <c r="D136" i="22"/>
  <c r="B148" i="22"/>
  <c r="E136" i="22"/>
  <c r="F144" i="22"/>
  <c r="G144" i="22" s="1"/>
  <c r="H144" i="22" s="1"/>
  <c r="C156" i="22"/>
  <c r="E145" i="22"/>
  <c r="G145" i="22" s="1"/>
  <c r="H145" i="22" s="1"/>
  <c r="D145" i="22"/>
  <c r="B157" i="22"/>
  <c r="B158" i="22"/>
  <c r="D146" i="22"/>
  <c r="E146" i="22"/>
  <c r="B142" i="22"/>
  <c r="E130" i="22"/>
  <c r="D130" i="22"/>
  <c r="B147" i="22"/>
  <c r="E135" i="22"/>
  <c r="G135" i="22" s="1"/>
  <c r="H135" i="22" s="1"/>
  <c r="D135" i="22"/>
  <c r="D140" i="22"/>
  <c r="B152" i="22"/>
  <c r="E140" i="22"/>
  <c r="F171" i="22"/>
  <c r="C183" i="22"/>
  <c r="I126" i="22"/>
  <c r="I119" i="22"/>
  <c r="C142" i="22"/>
  <c r="F130" i="22"/>
  <c r="G130" i="22" s="1"/>
  <c r="H130" i="22" s="1"/>
  <c r="I116" i="22"/>
  <c r="E141" i="22"/>
  <c r="D141" i="22"/>
  <c r="B153" i="22"/>
  <c r="E131" i="22"/>
  <c r="D131" i="22"/>
  <c r="B143" i="22"/>
  <c r="D129" i="22"/>
  <c r="F140" i="22"/>
  <c r="C152" i="22"/>
  <c r="E127" i="22"/>
  <c r="D127" i="22"/>
  <c r="I128" i="22" s="1"/>
  <c r="B139" i="22"/>
  <c r="E137" i="22"/>
  <c r="D137" i="22"/>
  <c r="B149" i="22"/>
  <c r="G127" i="22"/>
  <c r="H127" i="22" s="1"/>
  <c r="I118" i="22"/>
  <c r="D144" i="22"/>
  <c r="B156" i="22"/>
  <c r="E144" i="22"/>
  <c r="F137" i="22"/>
  <c r="G137" i="22" s="1"/>
  <c r="H137" i="22" s="1"/>
  <c r="C149" i="22"/>
  <c r="G125" i="22"/>
  <c r="H125" i="22" s="1"/>
  <c r="I120" i="22"/>
  <c r="E147" i="23"/>
  <c r="B159" i="23"/>
  <c r="F145" i="23"/>
  <c r="C157" i="23"/>
  <c r="F143" i="23"/>
  <c r="C155" i="23"/>
  <c r="E143" i="23"/>
  <c r="D143" i="23"/>
  <c r="B155" i="23"/>
  <c r="E145" i="23"/>
  <c r="D145" i="23"/>
  <c r="B157" i="23"/>
  <c r="C174" i="23"/>
  <c r="F162" i="23"/>
  <c r="I121" i="23"/>
  <c r="C152" i="23"/>
  <c r="F140" i="23"/>
  <c r="G140" i="23" s="1"/>
  <c r="H140" i="23" s="1"/>
  <c r="D140" i="23"/>
  <c r="G137" i="23"/>
  <c r="H137" i="23" s="1"/>
  <c r="C148" i="23"/>
  <c r="F136" i="23"/>
  <c r="F134" i="23"/>
  <c r="G134" i="23" s="1"/>
  <c r="H134" i="23" s="1"/>
  <c r="C146" i="23"/>
  <c r="C135" i="23"/>
  <c r="F123" i="23"/>
  <c r="G123" i="23" s="1"/>
  <c r="H123" i="23" s="1"/>
  <c r="D123" i="23"/>
  <c r="E146" i="23"/>
  <c r="B158" i="23"/>
  <c r="F156" i="23"/>
  <c r="C168" i="23"/>
  <c r="E126" i="23"/>
  <c r="G126" i="23" s="1"/>
  <c r="H126" i="23" s="1"/>
  <c r="D126" i="23"/>
  <c r="B138" i="23"/>
  <c r="C165" i="23"/>
  <c r="F153" i="23"/>
  <c r="F139" i="23"/>
  <c r="G139" i="23" s="1"/>
  <c r="H139" i="23" s="1"/>
  <c r="C151" i="23"/>
  <c r="D139" i="23"/>
  <c r="E141" i="23"/>
  <c r="G141" i="23" s="1"/>
  <c r="H141" i="23" s="1"/>
  <c r="D141" i="23"/>
  <c r="B153" i="23"/>
  <c r="C161" i="23"/>
  <c r="F149" i="23"/>
  <c r="G149" i="23" s="1"/>
  <c r="H149" i="23" s="1"/>
  <c r="E163" i="23"/>
  <c r="B175" i="23"/>
  <c r="E132" i="23"/>
  <c r="G132" i="23" s="1"/>
  <c r="H132" i="23" s="1"/>
  <c r="D132" i="23"/>
  <c r="B144" i="23"/>
  <c r="E164" i="23"/>
  <c r="B176" i="23"/>
  <c r="E149" i="23"/>
  <c r="D149" i="23"/>
  <c r="B161" i="23"/>
  <c r="C178" i="23"/>
  <c r="F166" i="23"/>
  <c r="E154" i="23"/>
  <c r="G154" i="23" s="1"/>
  <c r="H154" i="23" s="1"/>
  <c r="D154" i="23"/>
  <c r="B166" i="23"/>
  <c r="E124" i="23"/>
  <c r="G124" i="23" s="1"/>
  <c r="H124" i="23" s="1"/>
  <c r="D124" i="23"/>
  <c r="B136" i="23"/>
  <c r="I122" i="23"/>
  <c r="I125" i="15" l="1"/>
  <c r="K113" i="19"/>
  <c r="I130" i="20"/>
  <c r="I134" i="3"/>
  <c r="I128" i="20"/>
  <c r="K120" i="19"/>
  <c r="I132" i="8"/>
  <c r="I123" i="20"/>
  <c r="I124" i="20"/>
  <c r="E144" i="20"/>
  <c r="D144" i="20"/>
  <c r="B156" i="20"/>
  <c r="C167" i="20"/>
  <c r="F155" i="20"/>
  <c r="I133" i="20"/>
  <c r="E143" i="20"/>
  <c r="G143" i="20" s="1"/>
  <c r="H143" i="20" s="1"/>
  <c r="D143" i="20"/>
  <c r="B155" i="20"/>
  <c r="I132" i="20"/>
  <c r="B158" i="20"/>
  <c r="E146" i="20"/>
  <c r="G146" i="20" s="1"/>
  <c r="H146" i="20" s="1"/>
  <c r="D146" i="20"/>
  <c r="F140" i="20"/>
  <c r="C152" i="20"/>
  <c r="E140" i="20"/>
  <c r="D140" i="20"/>
  <c r="B152" i="20"/>
  <c r="I126" i="20"/>
  <c r="F170" i="20"/>
  <c r="C182" i="20"/>
  <c r="E145" i="20"/>
  <c r="D145" i="20"/>
  <c r="B157" i="20"/>
  <c r="F137" i="20"/>
  <c r="G137" i="20" s="1"/>
  <c r="H137" i="20" s="1"/>
  <c r="C149" i="20"/>
  <c r="F144" i="20"/>
  <c r="G144" i="20" s="1"/>
  <c r="H144" i="20" s="1"/>
  <c r="C156" i="20"/>
  <c r="E139" i="20"/>
  <c r="B151" i="20"/>
  <c r="D139" i="20"/>
  <c r="F141" i="20"/>
  <c r="C153" i="20"/>
  <c r="E154" i="20"/>
  <c r="D154" i="20"/>
  <c r="B166" i="20"/>
  <c r="F145" i="20"/>
  <c r="C157" i="20"/>
  <c r="E141" i="20"/>
  <c r="D141" i="20"/>
  <c r="B153" i="20"/>
  <c r="F147" i="20"/>
  <c r="C159" i="20"/>
  <c r="F136" i="20"/>
  <c r="C148" i="20"/>
  <c r="G135" i="20"/>
  <c r="H135" i="20" s="1"/>
  <c r="E135" i="20"/>
  <c r="D135" i="20"/>
  <c r="I135" i="20" s="1"/>
  <c r="B147" i="20"/>
  <c r="G139" i="20"/>
  <c r="H139" i="20" s="1"/>
  <c r="E137" i="20"/>
  <c r="D137" i="20"/>
  <c r="B149" i="20"/>
  <c r="I134" i="20"/>
  <c r="I125" i="20"/>
  <c r="E150" i="20"/>
  <c r="D150" i="20"/>
  <c r="B162" i="20"/>
  <c r="G142" i="20"/>
  <c r="H142" i="20" s="1"/>
  <c r="F154" i="20"/>
  <c r="G154" i="20" s="1"/>
  <c r="H154" i="20" s="1"/>
  <c r="C166" i="20"/>
  <c r="C162" i="20"/>
  <c r="F150" i="20"/>
  <c r="G150" i="20" s="1"/>
  <c r="H150" i="20" s="1"/>
  <c r="I131" i="20"/>
  <c r="F151" i="20"/>
  <c r="C163" i="20"/>
  <c r="E136" i="20"/>
  <c r="D136" i="20"/>
  <c r="B148" i="20"/>
  <c r="I127" i="20"/>
  <c r="I129" i="20"/>
  <c r="B179" i="12"/>
  <c r="E167" i="12"/>
  <c r="G144" i="12"/>
  <c r="H144" i="12" s="1"/>
  <c r="C167" i="12"/>
  <c r="F155" i="12"/>
  <c r="G155" i="12" s="1"/>
  <c r="H155" i="12" s="1"/>
  <c r="F145" i="12"/>
  <c r="G145" i="12" s="1"/>
  <c r="H145" i="12" s="1"/>
  <c r="C157" i="12"/>
  <c r="E142" i="12"/>
  <c r="D142" i="12"/>
  <c r="B154" i="12"/>
  <c r="B170" i="12"/>
  <c r="E158" i="12"/>
  <c r="D158" i="12"/>
  <c r="C154" i="12"/>
  <c r="F142" i="12"/>
  <c r="G142" i="12" s="1"/>
  <c r="H142" i="12" s="1"/>
  <c r="E137" i="12"/>
  <c r="D137" i="12"/>
  <c r="B149" i="12"/>
  <c r="I130" i="12"/>
  <c r="I127" i="12"/>
  <c r="I131" i="12"/>
  <c r="I128" i="12"/>
  <c r="B175" i="12"/>
  <c r="E163" i="12"/>
  <c r="G163" i="12" s="1"/>
  <c r="H163" i="12" s="1"/>
  <c r="D163" i="12"/>
  <c r="F156" i="12"/>
  <c r="C168" i="12"/>
  <c r="I132" i="12"/>
  <c r="E144" i="12"/>
  <c r="D144" i="12"/>
  <c r="B156" i="12"/>
  <c r="I129" i="12"/>
  <c r="I139" i="12"/>
  <c r="I138" i="12"/>
  <c r="I143" i="12"/>
  <c r="I142" i="12"/>
  <c r="E145" i="12"/>
  <c r="D145" i="12"/>
  <c r="B157" i="12"/>
  <c r="E141" i="12"/>
  <c r="D141" i="12"/>
  <c r="B153" i="12"/>
  <c r="L112" i="19"/>
  <c r="G146" i="12"/>
  <c r="H146" i="12" s="1"/>
  <c r="F137" i="12"/>
  <c r="G137" i="12" s="1"/>
  <c r="H137" i="12" s="1"/>
  <c r="C149" i="12"/>
  <c r="C170" i="12"/>
  <c r="F158" i="12"/>
  <c r="G158" i="12" s="1"/>
  <c r="H158" i="12" s="1"/>
  <c r="G125" i="12"/>
  <c r="H125" i="12" s="1"/>
  <c r="G135" i="12"/>
  <c r="H135" i="12" s="1"/>
  <c r="B159" i="12"/>
  <c r="E147" i="12"/>
  <c r="D147" i="12"/>
  <c r="C159" i="12"/>
  <c r="F147" i="12"/>
  <c r="L120" i="19"/>
  <c r="F148" i="12"/>
  <c r="C160" i="12"/>
  <c r="F152" i="12"/>
  <c r="C164" i="12"/>
  <c r="G136" i="12"/>
  <c r="H136" i="12" s="1"/>
  <c r="C187" i="12"/>
  <c r="F175" i="12"/>
  <c r="C162" i="12"/>
  <c r="F150" i="12"/>
  <c r="E140" i="12"/>
  <c r="G140" i="12" s="1"/>
  <c r="H140" i="12" s="1"/>
  <c r="D140" i="12"/>
  <c r="B152" i="12"/>
  <c r="E150" i="12"/>
  <c r="D150" i="12"/>
  <c r="B162" i="12"/>
  <c r="U17" i="18"/>
  <c r="E136" i="12"/>
  <c r="D136" i="12"/>
  <c r="I140" i="12" s="1"/>
  <c r="B148" i="12"/>
  <c r="I135" i="12"/>
  <c r="I133" i="12"/>
  <c r="F141" i="12"/>
  <c r="G141" i="12" s="1"/>
  <c r="H141" i="12" s="1"/>
  <c r="C153" i="12"/>
  <c r="G129" i="12"/>
  <c r="H129" i="12" s="1"/>
  <c r="F148" i="11"/>
  <c r="C160" i="11"/>
  <c r="E153" i="11"/>
  <c r="B165" i="11"/>
  <c r="F156" i="11"/>
  <c r="C168" i="11"/>
  <c r="E148" i="11"/>
  <c r="D148" i="11"/>
  <c r="B160" i="11"/>
  <c r="E150" i="11"/>
  <c r="D150" i="11"/>
  <c r="B162" i="11"/>
  <c r="E157" i="11"/>
  <c r="D157" i="11"/>
  <c r="B169" i="11"/>
  <c r="F163" i="11"/>
  <c r="C175" i="11"/>
  <c r="G151" i="11"/>
  <c r="H151" i="11" s="1"/>
  <c r="E156" i="11"/>
  <c r="D156" i="11"/>
  <c r="B168" i="11"/>
  <c r="F147" i="11"/>
  <c r="C159" i="11"/>
  <c r="F152" i="11"/>
  <c r="C164" i="11"/>
  <c r="I134" i="11"/>
  <c r="I124" i="11"/>
  <c r="I130" i="11"/>
  <c r="I129" i="11"/>
  <c r="I125" i="11"/>
  <c r="I132" i="11"/>
  <c r="I126" i="11"/>
  <c r="I131" i="11"/>
  <c r="I123" i="11"/>
  <c r="I128" i="11"/>
  <c r="I127" i="11"/>
  <c r="E152" i="11"/>
  <c r="D152" i="11"/>
  <c r="B164" i="11"/>
  <c r="C158" i="11"/>
  <c r="F146" i="11"/>
  <c r="G146" i="11" s="1"/>
  <c r="H146" i="11" s="1"/>
  <c r="E135" i="11"/>
  <c r="G135" i="11" s="1"/>
  <c r="H135" i="11" s="1"/>
  <c r="D135" i="11"/>
  <c r="I146" i="11" s="1"/>
  <c r="B147" i="11"/>
  <c r="G138" i="11"/>
  <c r="H138" i="11" s="1"/>
  <c r="F137" i="11"/>
  <c r="G137" i="11" s="1"/>
  <c r="H137" i="11" s="1"/>
  <c r="C149" i="11"/>
  <c r="F145" i="11"/>
  <c r="G145" i="11" s="1"/>
  <c r="H145" i="11" s="1"/>
  <c r="C157" i="11"/>
  <c r="B158" i="11"/>
  <c r="D146" i="11"/>
  <c r="E146" i="11"/>
  <c r="G134" i="11"/>
  <c r="H134" i="11" s="1"/>
  <c r="F150" i="11"/>
  <c r="C162" i="11"/>
  <c r="E155" i="11"/>
  <c r="B167" i="11"/>
  <c r="E151" i="11"/>
  <c r="D151" i="11"/>
  <c r="B163" i="11"/>
  <c r="C155" i="11"/>
  <c r="F143" i="11"/>
  <c r="G143" i="11" s="1"/>
  <c r="H143" i="11" s="1"/>
  <c r="E149" i="11"/>
  <c r="D149" i="11"/>
  <c r="B161" i="11"/>
  <c r="F141" i="11"/>
  <c r="G141" i="11" s="1"/>
  <c r="H141" i="11" s="1"/>
  <c r="C153" i="11"/>
  <c r="F190" i="11"/>
  <c r="C202" i="11"/>
  <c r="D178" i="11"/>
  <c r="E178" i="11"/>
  <c r="G178" i="11" s="1"/>
  <c r="H178" i="11" s="1"/>
  <c r="B190" i="11"/>
  <c r="E137" i="10"/>
  <c r="D137" i="10"/>
  <c r="B149" i="10"/>
  <c r="I133" i="10"/>
  <c r="I126" i="10"/>
  <c r="F147" i="10"/>
  <c r="C159" i="10"/>
  <c r="U12" i="23"/>
  <c r="I125" i="10"/>
  <c r="I130" i="10"/>
  <c r="C190" i="10"/>
  <c r="F178" i="10"/>
  <c r="F139" i="10"/>
  <c r="G139" i="10" s="1"/>
  <c r="H139" i="10" s="1"/>
  <c r="C151" i="10"/>
  <c r="E139" i="10"/>
  <c r="D139" i="10"/>
  <c r="B151" i="10"/>
  <c r="F141" i="10"/>
  <c r="C153" i="10"/>
  <c r="F146" i="10"/>
  <c r="G146" i="10" s="1"/>
  <c r="H146" i="10" s="1"/>
  <c r="C158" i="10"/>
  <c r="F155" i="10"/>
  <c r="G155" i="10" s="1"/>
  <c r="H155" i="10" s="1"/>
  <c r="C167" i="10"/>
  <c r="I137" i="10"/>
  <c r="F145" i="10"/>
  <c r="G145" i="10" s="1"/>
  <c r="H145" i="10" s="1"/>
  <c r="C157" i="10"/>
  <c r="F137" i="10"/>
  <c r="C149" i="10"/>
  <c r="G166" i="10"/>
  <c r="H166" i="10" s="1"/>
  <c r="E146" i="10"/>
  <c r="D146" i="10"/>
  <c r="B158" i="10"/>
  <c r="I129" i="10"/>
  <c r="I131" i="10"/>
  <c r="I123" i="10"/>
  <c r="I132" i="10"/>
  <c r="E155" i="10"/>
  <c r="D155" i="10"/>
  <c r="B167" i="10"/>
  <c r="I124" i="10"/>
  <c r="E145" i="10"/>
  <c r="D145" i="10"/>
  <c r="B157" i="10"/>
  <c r="F138" i="10"/>
  <c r="G138" i="10" s="1"/>
  <c r="H138" i="10" s="1"/>
  <c r="C150" i="10"/>
  <c r="D138" i="10"/>
  <c r="G125" i="10"/>
  <c r="H125" i="10" s="1"/>
  <c r="B190" i="10"/>
  <c r="E178" i="10"/>
  <c r="D178" i="10"/>
  <c r="B174" i="10"/>
  <c r="E162" i="10"/>
  <c r="I127" i="10"/>
  <c r="E141" i="10"/>
  <c r="D141" i="10"/>
  <c r="B153" i="10"/>
  <c r="I128" i="10"/>
  <c r="B147" i="10"/>
  <c r="E135" i="10"/>
  <c r="G135" i="10" s="1"/>
  <c r="H135" i="10" s="1"/>
  <c r="D135" i="10"/>
  <c r="I145" i="10" s="1"/>
  <c r="E141" i="8"/>
  <c r="D141" i="8"/>
  <c r="B153" i="8"/>
  <c r="I134" i="8"/>
  <c r="I129" i="8"/>
  <c r="E145" i="8"/>
  <c r="G145" i="8" s="1"/>
  <c r="H145" i="8" s="1"/>
  <c r="D145" i="8"/>
  <c r="B157" i="8"/>
  <c r="C162" i="8"/>
  <c r="F150" i="8"/>
  <c r="E135" i="8"/>
  <c r="G135" i="8" s="1"/>
  <c r="H135" i="8" s="1"/>
  <c r="D135" i="8"/>
  <c r="B147" i="8"/>
  <c r="F136" i="8"/>
  <c r="C148" i="8"/>
  <c r="I128" i="8"/>
  <c r="F157" i="8"/>
  <c r="C169" i="8"/>
  <c r="I126" i="8"/>
  <c r="G141" i="8"/>
  <c r="H141" i="8" s="1"/>
  <c r="I123" i="8"/>
  <c r="B162" i="8"/>
  <c r="E150" i="8"/>
  <c r="D150" i="8"/>
  <c r="F152" i="8"/>
  <c r="C164" i="8"/>
  <c r="F153" i="8"/>
  <c r="C165" i="8"/>
  <c r="F154" i="8"/>
  <c r="G154" i="8" s="1"/>
  <c r="H154" i="8" s="1"/>
  <c r="C166" i="8"/>
  <c r="D154" i="8"/>
  <c r="I130" i="8"/>
  <c r="E136" i="8"/>
  <c r="D136" i="8"/>
  <c r="B148" i="8"/>
  <c r="I133" i="8"/>
  <c r="C158" i="8"/>
  <c r="F146" i="8"/>
  <c r="G146" i="8" s="1"/>
  <c r="H146" i="8" s="1"/>
  <c r="I131" i="8"/>
  <c r="F144" i="8"/>
  <c r="C156" i="8"/>
  <c r="G134" i="8"/>
  <c r="H134" i="8" s="1"/>
  <c r="I124" i="8"/>
  <c r="I123" i="16"/>
  <c r="L123" i="19" s="1"/>
  <c r="E179" i="8"/>
  <c r="G179" i="8" s="1"/>
  <c r="H179" i="8" s="1"/>
  <c r="D179" i="8"/>
  <c r="B191" i="8"/>
  <c r="I125" i="8"/>
  <c r="L114" i="18"/>
  <c r="E178" i="8"/>
  <c r="B190" i="8"/>
  <c r="E151" i="8"/>
  <c r="G151" i="8" s="1"/>
  <c r="H151" i="8" s="1"/>
  <c r="D151" i="8"/>
  <c r="B163" i="8"/>
  <c r="E140" i="8"/>
  <c r="G140" i="8" s="1"/>
  <c r="H140" i="8" s="1"/>
  <c r="D140" i="8"/>
  <c r="B152" i="8"/>
  <c r="F149" i="8"/>
  <c r="C161" i="8"/>
  <c r="E137" i="8"/>
  <c r="G137" i="8" s="1"/>
  <c r="H137" i="8" s="1"/>
  <c r="D137" i="8"/>
  <c r="B149" i="8"/>
  <c r="E144" i="8"/>
  <c r="D144" i="8"/>
  <c r="B156" i="8"/>
  <c r="B158" i="8"/>
  <c r="E146" i="8"/>
  <c r="D146" i="8"/>
  <c r="I127" i="8"/>
  <c r="G139" i="9"/>
  <c r="H139" i="9" s="1"/>
  <c r="F141" i="9"/>
  <c r="C153" i="9"/>
  <c r="C166" i="9"/>
  <c r="F154" i="9"/>
  <c r="E145" i="9"/>
  <c r="D145" i="9"/>
  <c r="B157" i="9"/>
  <c r="I128" i="9"/>
  <c r="I130" i="9"/>
  <c r="C162" i="9"/>
  <c r="F150" i="9"/>
  <c r="G150" i="9" s="1"/>
  <c r="H150" i="9" s="1"/>
  <c r="B162" i="9"/>
  <c r="E150" i="9"/>
  <c r="D150" i="9"/>
  <c r="I122" i="9"/>
  <c r="B146" i="9"/>
  <c r="E134" i="9"/>
  <c r="D134" i="9"/>
  <c r="I128" i="16"/>
  <c r="L128" i="19" s="1"/>
  <c r="E141" i="9"/>
  <c r="D141" i="9"/>
  <c r="B153" i="9"/>
  <c r="I132" i="9"/>
  <c r="E140" i="9"/>
  <c r="G140" i="9" s="1"/>
  <c r="H140" i="9" s="1"/>
  <c r="D140" i="9"/>
  <c r="B152" i="9"/>
  <c r="I128" i="15"/>
  <c r="E139" i="9"/>
  <c r="D139" i="9"/>
  <c r="B151" i="9"/>
  <c r="C146" i="9"/>
  <c r="F134" i="9"/>
  <c r="F145" i="9"/>
  <c r="G145" i="9" s="1"/>
  <c r="H145" i="9" s="1"/>
  <c r="C157" i="9"/>
  <c r="F151" i="9"/>
  <c r="C163" i="9"/>
  <c r="I129" i="16"/>
  <c r="L129" i="18" s="1"/>
  <c r="G133" i="9"/>
  <c r="H133" i="9" s="1"/>
  <c r="I122" i="15"/>
  <c r="E143" i="9"/>
  <c r="G143" i="9" s="1"/>
  <c r="H143" i="9" s="1"/>
  <c r="B155" i="9"/>
  <c r="D143" i="9"/>
  <c r="E135" i="9"/>
  <c r="G135" i="9" s="1"/>
  <c r="H135" i="9" s="1"/>
  <c r="B147" i="9"/>
  <c r="D135" i="9"/>
  <c r="E137" i="9"/>
  <c r="D137" i="9"/>
  <c r="B149" i="9"/>
  <c r="I136" i="9"/>
  <c r="F156" i="9"/>
  <c r="C168" i="9"/>
  <c r="I133" i="9"/>
  <c r="F148" i="9"/>
  <c r="C160" i="9"/>
  <c r="F152" i="9"/>
  <c r="C164" i="9"/>
  <c r="F155" i="9"/>
  <c r="C167" i="9"/>
  <c r="F137" i="9"/>
  <c r="C149" i="9"/>
  <c r="I126" i="9"/>
  <c r="E136" i="9"/>
  <c r="G136" i="9" s="1"/>
  <c r="H136" i="9" s="1"/>
  <c r="D136" i="9"/>
  <c r="B148" i="9"/>
  <c r="B166" i="9"/>
  <c r="E154" i="9"/>
  <c r="D154" i="9"/>
  <c r="F147" i="9"/>
  <c r="C159" i="9"/>
  <c r="E144" i="9"/>
  <c r="G144" i="9" s="1"/>
  <c r="H144" i="9" s="1"/>
  <c r="D144" i="9"/>
  <c r="B156" i="9"/>
  <c r="I131" i="16"/>
  <c r="L131" i="18" s="1"/>
  <c r="I124" i="9"/>
  <c r="I135" i="9"/>
  <c r="L121" i="18"/>
  <c r="L121" i="19"/>
  <c r="E141" i="16"/>
  <c r="D141" i="16"/>
  <c r="B153" i="16"/>
  <c r="E139" i="16"/>
  <c r="B151" i="16"/>
  <c r="D139" i="16"/>
  <c r="F152" i="16"/>
  <c r="G152" i="16" s="1"/>
  <c r="H152" i="16" s="1"/>
  <c r="C164" i="16"/>
  <c r="L122" i="19"/>
  <c r="L122" i="18"/>
  <c r="F137" i="16"/>
  <c r="C149" i="16"/>
  <c r="C147" i="16"/>
  <c r="F135" i="16"/>
  <c r="G135" i="16" s="1"/>
  <c r="H135" i="16" s="1"/>
  <c r="G125" i="16"/>
  <c r="H125" i="16" s="1"/>
  <c r="F174" i="16"/>
  <c r="G174" i="16" s="1"/>
  <c r="H174" i="16" s="1"/>
  <c r="C186" i="16"/>
  <c r="G134" i="16"/>
  <c r="H134" i="16" s="1"/>
  <c r="I127" i="16"/>
  <c r="E154" i="16"/>
  <c r="D154" i="16"/>
  <c r="B166" i="16"/>
  <c r="L118" i="19"/>
  <c r="L118" i="18"/>
  <c r="C204" i="16"/>
  <c r="F192" i="16"/>
  <c r="I130" i="16"/>
  <c r="G129" i="16"/>
  <c r="H129" i="16" s="1"/>
  <c r="I132" i="16"/>
  <c r="L116" i="19"/>
  <c r="L116" i="18"/>
  <c r="L119" i="18"/>
  <c r="L119" i="19"/>
  <c r="F141" i="16"/>
  <c r="G141" i="16" s="1"/>
  <c r="H141" i="16" s="1"/>
  <c r="C153" i="16"/>
  <c r="F145" i="16"/>
  <c r="C157" i="16"/>
  <c r="E152" i="16"/>
  <c r="D152" i="16"/>
  <c r="B164" i="16"/>
  <c r="E145" i="16"/>
  <c r="D145" i="16"/>
  <c r="B157" i="16"/>
  <c r="F146" i="16"/>
  <c r="C158" i="16"/>
  <c r="E167" i="16"/>
  <c r="B179" i="16"/>
  <c r="D167" i="16"/>
  <c r="L113" i="18"/>
  <c r="L113" i="19"/>
  <c r="L117" i="19"/>
  <c r="L117" i="18"/>
  <c r="L115" i="19"/>
  <c r="L115" i="18"/>
  <c r="G142" i="16"/>
  <c r="H142" i="16" s="1"/>
  <c r="B160" i="16"/>
  <c r="E148" i="16"/>
  <c r="D148" i="16"/>
  <c r="C160" i="16"/>
  <c r="F148" i="16"/>
  <c r="L111" i="18"/>
  <c r="L111" i="19"/>
  <c r="B204" i="16"/>
  <c r="E192" i="16"/>
  <c r="D192" i="16"/>
  <c r="B146" i="16"/>
  <c r="E134" i="16"/>
  <c r="D134" i="16"/>
  <c r="C166" i="16"/>
  <c r="F154" i="16"/>
  <c r="G154" i="16" s="1"/>
  <c r="H154" i="16" s="1"/>
  <c r="E137" i="16"/>
  <c r="D137" i="16"/>
  <c r="B149" i="16"/>
  <c r="C151" i="16"/>
  <c r="F139" i="16"/>
  <c r="E135" i="16"/>
  <c r="B147" i="16"/>
  <c r="D135" i="16"/>
  <c r="I124" i="16"/>
  <c r="I133" i="16"/>
  <c r="C179" i="16"/>
  <c r="F167" i="16"/>
  <c r="G167" i="16" s="1"/>
  <c r="H167" i="16" s="1"/>
  <c r="I125" i="16"/>
  <c r="U17" i="23"/>
  <c r="E174" i="16"/>
  <c r="D174" i="16"/>
  <c r="B186" i="16"/>
  <c r="G155" i="16"/>
  <c r="H155" i="16" s="1"/>
  <c r="I126" i="16"/>
  <c r="F137" i="15"/>
  <c r="C149" i="15"/>
  <c r="E137" i="15"/>
  <c r="D137" i="15"/>
  <c r="B149" i="15"/>
  <c r="F140" i="15"/>
  <c r="G140" i="15" s="1"/>
  <c r="H140" i="15" s="1"/>
  <c r="C152" i="15"/>
  <c r="E151" i="15"/>
  <c r="D151" i="15"/>
  <c r="B163" i="15"/>
  <c r="D134" i="15"/>
  <c r="I136" i="15" s="1"/>
  <c r="E134" i="15"/>
  <c r="B146" i="15"/>
  <c r="F156" i="15"/>
  <c r="C168" i="15"/>
  <c r="F135" i="15"/>
  <c r="G135" i="15" s="1"/>
  <c r="H135" i="15" s="1"/>
  <c r="C147" i="15"/>
  <c r="E157" i="15"/>
  <c r="B169" i="15"/>
  <c r="G178" i="15"/>
  <c r="H178" i="15" s="1"/>
  <c r="F190" i="15"/>
  <c r="C202" i="15"/>
  <c r="B160" i="15"/>
  <c r="E148" i="15"/>
  <c r="G148" i="15" s="1"/>
  <c r="H148" i="15" s="1"/>
  <c r="D148" i="15"/>
  <c r="F151" i="15"/>
  <c r="G151" i="15" s="1"/>
  <c r="H151" i="15" s="1"/>
  <c r="C163" i="15"/>
  <c r="I133" i="15"/>
  <c r="I131" i="15"/>
  <c r="I126" i="15"/>
  <c r="I127" i="15"/>
  <c r="I130" i="15"/>
  <c r="I129" i="15"/>
  <c r="I132" i="15"/>
  <c r="F141" i="15"/>
  <c r="G141" i="15" s="1"/>
  <c r="H141" i="15" s="1"/>
  <c r="C153" i="15"/>
  <c r="D141" i="15"/>
  <c r="F172" i="15"/>
  <c r="C184" i="15"/>
  <c r="G144" i="15"/>
  <c r="H144" i="15" s="1"/>
  <c r="U9" i="18"/>
  <c r="E138" i="15"/>
  <c r="B150" i="15"/>
  <c r="D138" i="15"/>
  <c r="B168" i="15"/>
  <c r="E156" i="15"/>
  <c r="D156" i="15"/>
  <c r="B159" i="15"/>
  <c r="E147" i="15"/>
  <c r="D147" i="15"/>
  <c r="I124" i="15"/>
  <c r="C146" i="15"/>
  <c r="F134" i="15"/>
  <c r="G134" i="15" s="1"/>
  <c r="H134" i="15" s="1"/>
  <c r="G126" i="15"/>
  <c r="H126" i="15" s="1"/>
  <c r="F138" i="15"/>
  <c r="C150" i="15"/>
  <c r="F155" i="15"/>
  <c r="G155" i="15" s="1"/>
  <c r="H155" i="15" s="1"/>
  <c r="C167" i="15"/>
  <c r="B164" i="15"/>
  <c r="E152" i="15"/>
  <c r="D152" i="15"/>
  <c r="F145" i="15"/>
  <c r="G145" i="15" s="1"/>
  <c r="H145" i="15" s="1"/>
  <c r="C157" i="15"/>
  <c r="D157" i="15" s="1"/>
  <c r="B167" i="15"/>
  <c r="E155" i="15"/>
  <c r="D155" i="15"/>
  <c r="E165" i="15"/>
  <c r="B177" i="15"/>
  <c r="D135" i="15"/>
  <c r="B190" i="15"/>
  <c r="E178" i="15"/>
  <c r="D178" i="15"/>
  <c r="I123" i="15"/>
  <c r="F152" i="7"/>
  <c r="C164" i="7"/>
  <c r="F141" i="7"/>
  <c r="C153" i="7"/>
  <c r="D136" i="7"/>
  <c r="B148" i="7"/>
  <c r="E136" i="7"/>
  <c r="F161" i="7"/>
  <c r="G161" i="7" s="1"/>
  <c r="H161" i="7" s="1"/>
  <c r="C173" i="7"/>
  <c r="G149" i="7"/>
  <c r="H149" i="7" s="1"/>
  <c r="F151" i="7"/>
  <c r="G151" i="7" s="1"/>
  <c r="H151" i="7" s="1"/>
  <c r="C163" i="7"/>
  <c r="G139" i="7"/>
  <c r="H139" i="7" s="1"/>
  <c r="B191" i="7"/>
  <c r="E179" i="7"/>
  <c r="D144" i="7"/>
  <c r="B156" i="7"/>
  <c r="E144" i="7"/>
  <c r="G144" i="7" s="1"/>
  <c r="H144" i="7" s="1"/>
  <c r="F155" i="7"/>
  <c r="G155" i="7" s="1"/>
  <c r="H155" i="7" s="1"/>
  <c r="C167" i="7"/>
  <c r="D155" i="7"/>
  <c r="E154" i="7"/>
  <c r="D154" i="7"/>
  <c r="B166" i="7"/>
  <c r="I139" i="7"/>
  <c r="F147" i="7"/>
  <c r="G147" i="7" s="1"/>
  <c r="H147" i="7" s="1"/>
  <c r="C159" i="7"/>
  <c r="D147" i="7"/>
  <c r="U11" i="23"/>
  <c r="F157" i="7"/>
  <c r="C169" i="7"/>
  <c r="E146" i="7"/>
  <c r="B158" i="7"/>
  <c r="F134" i="7"/>
  <c r="G134" i="7" s="1"/>
  <c r="H134" i="7" s="1"/>
  <c r="C146" i="7"/>
  <c r="D146" i="7" s="1"/>
  <c r="G145" i="7"/>
  <c r="H145" i="7" s="1"/>
  <c r="D134" i="7"/>
  <c r="I134" i="7" s="1"/>
  <c r="I126" i="7"/>
  <c r="E186" i="7"/>
  <c r="B198" i="7"/>
  <c r="E145" i="7"/>
  <c r="D145" i="7"/>
  <c r="B157" i="7"/>
  <c r="C166" i="7"/>
  <c r="F154" i="7"/>
  <c r="F156" i="7"/>
  <c r="C168" i="7"/>
  <c r="B163" i="7"/>
  <c r="D151" i="7"/>
  <c r="E151" i="7"/>
  <c r="U16" i="22"/>
  <c r="F150" i="7"/>
  <c r="G150" i="7" s="1"/>
  <c r="H150" i="7" s="1"/>
  <c r="C162" i="7"/>
  <c r="D150" i="7"/>
  <c r="I124" i="7"/>
  <c r="E141" i="7"/>
  <c r="B153" i="7"/>
  <c r="D141" i="7"/>
  <c r="G136" i="7"/>
  <c r="H136" i="7" s="1"/>
  <c r="I137" i="7"/>
  <c r="C160" i="7"/>
  <c r="F148" i="7"/>
  <c r="I133" i="7"/>
  <c r="B173" i="7"/>
  <c r="E161" i="7"/>
  <c r="D161" i="7"/>
  <c r="D152" i="7"/>
  <c r="B164" i="7"/>
  <c r="E152" i="7"/>
  <c r="E136" i="6"/>
  <c r="D136" i="6"/>
  <c r="B148" i="6"/>
  <c r="E135" i="6"/>
  <c r="G135" i="6" s="1"/>
  <c r="H135" i="6" s="1"/>
  <c r="D135" i="6"/>
  <c r="I135" i="6" s="1"/>
  <c r="B147" i="6"/>
  <c r="E141" i="6"/>
  <c r="D141" i="6"/>
  <c r="B153" i="6"/>
  <c r="I134" i="6"/>
  <c r="E137" i="6"/>
  <c r="D137" i="6"/>
  <c r="I141" i="6" s="1"/>
  <c r="B149" i="6"/>
  <c r="F137" i="6"/>
  <c r="C149" i="6"/>
  <c r="G125" i="6"/>
  <c r="H125" i="6" s="1"/>
  <c r="E162" i="6"/>
  <c r="D162" i="6"/>
  <c r="B174" i="6"/>
  <c r="U12" i="19"/>
  <c r="I123" i="6"/>
  <c r="E143" i="6"/>
  <c r="G143" i="6" s="1"/>
  <c r="H143" i="6" s="1"/>
  <c r="D143" i="6"/>
  <c r="B155" i="6"/>
  <c r="F141" i="6"/>
  <c r="G141" i="6" s="1"/>
  <c r="H141" i="6" s="1"/>
  <c r="C153" i="6"/>
  <c r="G129" i="6"/>
  <c r="H129" i="6" s="1"/>
  <c r="E140" i="6"/>
  <c r="D140" i="6"/>
  <c r="B152" i="6"/>
  <c r="E146" i="6"/>
  <c r="D146" i="6"/>
  <c r="B158" i="6"/>
  <c r="U14" i="18"/>
  <c r="F144" i="6"/>
  <c r="C156" i="6"/>
  <c r="G124" i="6"/>
  <c r="H124" i="6" s="1"/>
  <c r="E139" i="6"/>
  <c r="G139" i="6" s="1"/>
  <c r="H139" i="6" s="1"/>
  <c r="D139" i="6"/>
  <c r="B151" i="6"/>
  <c r="I137" i="6"/>
  <c r="U18" i="23"/>
  <c r="C166" i="6"/>
  <c r="F154" i="6"/>
  <c r="G142" i="6"/>
  <c r="H142" i="6" s="1"/>
  <c r="U14" i="22"/>
  <c r="F136" i="6"/>
  <c r="G136" i="6" s="1"/>
  <c r="H136" i="6" s="1"/>
  <c r="C148" i="6"/>
  <c r="G132" i="6"/>
  <c r="H132" i="6" s="1"/>
  <c r="I139" i="6"/>
  <c r="I133" i="6"/>
  <c r="F145" i="6"/>
  <c r="G145" i="6" s="1"/>
  <c r="H145" i="6" s="1"/>
  <c r="C157" i="6"/>
  <c r="F146" i="6"/>
  <c r="G146" i="6" s="1"/>
  <c r="H146" i="6" s="1"/>
  <c r="C158" i="6"/>
  <c r="I129" i="22"/>
  <c r="U12" i="18"/>
  <c r="U16" i="23"/>
  <c r="F140" i="6"/>
  <c r="G140" i="6" s="1"/>
  <c r="H140" i="6" s="1"/>
  <c r="C152" i="6"/>
  <c r="I132" i="6"/>
  <c r="F162" i="6"/>
  <c r="C174" i="6"/>
  <c r="G150" i="6"/>
  <c r="H150" i="6" s="1"/>
  <c r="I131" i="6"/>
  <c r="E145" i="6"/>
  <c r="D145" i="6"/>
  <c r="B157" i="6"/>
  <c r="B166" i="6"/>
  <c r="D154" i="6"/>
  <c r="E154" i="6"/>
  <c r="I127" i="13"/>
  <c r="K127" i="19" s="1"/>
  <c r="E144" i="6"/>
  <c r="D144" i="6"/>
  <c r="B156" i="6"/>
  <c r="U18" i="22"/>
  <c r="I127" i="6"/>
  <c r="I129" i="6"/>
  <c r="AI2" i="22"/>
  <c r="F136" i="5"/>
  <c r="G136" i="5" s="1"/>
  <c r="H136" i="5" s="1"/>
  <c r="C148" i="5"/>
  <c r="D136" i="5"/>
  <c r="E172" i="5"/>
  <c r="B184" i="5"/>
  <c r="I135" i="5"/>
  <c r="I134" i="5"/>
  <c r="I133" i="5"/>
  <c r="C163" i="5"/>
  <c r="F151" i="5"/>
  <c r="E183" i="5"/>
  <c r="G183" i="5" s="1"/>
  <c r="H183" i="5" s="1"/>
  <c r="D183" i="5"/>
  <c r="B195" i="5"/>
  <c r="E145" i="5"/>
  <c r="B157" i="5"/>
  <c r="D145" i="5"/>
  <c r="E154" i="5"/>
  <c r="D154" i="5"/>
  <c r="B166" i="5"/>
  <c r="I132" i="5"/>
  <c r="G145" i="5"/>
  <c r="H145" i="5" s="1"/>
  <c r="E162" i="5"/>
  <c r="D162" i="5"/>
  <c r="B174" i="5"/>
  <c r="U13" i="23"/>
  <c r="C169" i="5"/>
  <c r="F157" i="5"/>
  <c r="F154" i="5"/>
  <c r="C166" i="5"/>
  <c r="I129" i="14"/>
  <c r="I124" i="5"/>
  <c r="D140" i="5"/>
  <c r="E140" i="5"/>
  <c r="B152" i="5"/>
  <c r="F143" i="5"/>
  <c r="G143" i="5" s="1"/>
  <c r="H143" i="5" s="1"/>
  <c r="C155" i="5"/>
  <c r="D143" i="5"/>
  <c r="D151" i="5"/>
  <c r="B163" i="5"/>
  <c r="E151" i="5"/>
  <c r="F144" i="5"/>
  <c r="G144" i="5" s="1"/>
  <c r="H144" i="5" s="1"/>
  <c r="C156" i="5"/>
  <c r="D144" i="5"/>
  <c r="E137" i="5"/>
  <c r="G137" i="5" s="1"/>
  <c r="H137" i="5" s="1"/>
  <c r="D137" i="5"/>
  <c r="B149" i="5"/>
  <c r="I136" i="5"/>
  <c r="I139" i="5"/>
  <c r="I137" i="5"/>
  <c r="I130" i="14"/>
  <c r="F195" i="5"/>
  <c r="C207" i="5"/>
  <c r="U15" i="23"/>
  <c r="U15" i="19"/>
  <c r="I131" i="5"/>
  <c r="F149" i="5"/>
  <c r="C161" i="5"/>
  <c r="F140" i="5"/>
  <c r="G140" i="5" s="1"/>
  <c r="H140" i="5" s="1"/>
  <c r="C152" i="5"/>
  <c r="F146" i="5"/>
  <c r="G146" i="5" s="1"/>
  <c r="H146" i="5" s="1"/>
  <c r="C158" i="5"/>
  <c r="E153" i="5"/>
  <c r="D153" i="5"/>
  <c r="B165" i="5"/>
  <c r="F153" i="5"/>
  <c r="G153" i="5" s="1"/>
  <c r="H153" i="5" s="1"/>
  <c r="C165" i="5"/>
  <c r="F150" i="5"/>
  <c r="G150" i="5" s="1"/>
  <c r="H150" i="5" s="1"/>
  <c r="C162" i="5"/>
  <c r="I128" i="5"/>
  <c r="I130" i="13"/>
  <c r="K130" i="18" s="1"/>
  <c r="E168" i="5"/>
  <c r="B180" i="5"/>
  <c r="AI2" i="18"/>
  <c r="E158" i="5"/>
  <c r="D158" i="5"/>
  <c r="B170" i="5"/>
  <c r="U10" i="18"/>
  <c r="E203" i="5"/>
  <c r="B215" i="5"/>
  <c r="G141" i="5"/>
  <c r="H141" i="5" s="1"/>
  <c r="D146" i="5"/>
  <c r="I126" i="5"/>
  <c r="G136" i="4"/>
  <c r="H136" i="4" s="1"/>
  <c r="C159" i="4"/>
  <c r="F147" i="4"/>
  <c r="F138" i="4"/>
  <c r="G138" i="4" s="1"/>
  <c r="H138" i="4" s="1"/>
  <c r="C150" i="4"/>
  <c r="F145" i="4"/>
  <c r="G145" i="4" s="1"/>
  <c r="H145" i="4" s="1"/>
  <c r="C157" i="4"/>
  <c r="F148" i="4"/>
  <c r="C160" i="4"/>
  <c r="U10" i="19"/>
  <c r="K115" i="19"/>
  <c r="C192" i="4"/>
  <c r="F180" i="4"/>
  <c r="E147" i="4"/>
  <c r="B159" i="4"/>
  <c r="D147" i="4"/>
  <c r="D157" i="4"/>
  <c r="B169" i="4"/>
  <c r="E157" i="4"/>
  <c r="U14" i="19"/>
  <c r="I131" i="13"/>
  <c r="K131" i="19" s="1"/>
  <c r="K118" i="19"/>
  <c r="F158" i="4"/>
  <c r="G158" i="4" s="1"/>
  <c r="H158" i="4" s="1"/>
  <c r="C170" i="4"/>
  <c r="E143" i="4"/>
  <c r="G143" i="4" s="1"/>
  <c r="H143" i="4" s="1"/>
  <c r="D143" i="4"/>
  <c r="B155" i="4"/>
  <c r="I123" i="13"/>
  <c r="K123" i="18" s="1"/>
  <c r="C167" i="4"/>
  <c r="F155" i="4"/>
  <c r="D136" i="4"/>
  <c r="I136" i="4" s="1"/>
  <c r="B148" i="4"/>
  <c r="E136" i="4"/>
  <c r="E163" i="4"/>
  <c r="D163" i="4"/>
  <c r="B175" i="4"/>
  <c r="I132" i="4"/>
  <c r="G135" i="4"/>
  <c r="H135" i="4" s="1"/>
  <c r="C175" i="4"/>
  <c r="F163" i="4"/>
  <c r="G163" i="4" s="1"/>
  <c r="H163" i="4" s="1"/>
  <c r="U15" i="18"/>
  <c r="I135" i="4"/>
  <c r="I133" i="4"/>
  <c r="F141" i="4"/>
  <c r="C153" i="4"/>
  <c r="D145" i="4"/>
  <c r="D141" i="4"/>
  <c r="B153" i="4"/>
  <c r="E141" i="4"/>
  <c r="D140" i="4"/>
  <c r="B152" i="4"/>
  <c r="E140" i="4"/>
  <c r="G140" i="4" s="1"/>
  <c r="H140" i="4" s="1"/>
  <c r="C164" i="4"/>
  <c r="F152" i="4"/>
  <c r="I130" i="4"/>
  <c r="E150" i="4"/>
  <c r="B162" i="4"/>
  <c r="F137" i="4"/>
  <c r="C149" i="4"/>
  <c r="I134" i="4"/>
  <c r="U15" i="22"/>
  <c r="F154" i="4"/>
  <c r="C166" i="4"/>
  <c r="D137" i="4"/>
  <c r="B149" i="4"/>
  <c r="E137" i="4"/>
  <c r="E158" i="4"/>
  <c r="B170" i="4"/>
  <c r="D158" i="4"/>
  <c r="U8" i="18"/>
  <c r="U14" i="23"/>
  <c r="AI2" i="23"/>
  <c r="K27" i="23"/>
  <c r="D144" i="4"/>
  <c r="B156" i="4"/>
  <c r="E144" i="4"/>
  <c r="G144" i="4" s="1"/>
  <c r="H144" i="4" s="1"/>
  <c r="I137" i="4"/>
  <c r="E154" i="4"/>
  <c r="D154" i="4"/>
  <c r="B166" i="4"/>
  <c r="D138" i="4"/>
  <c r="C156" i="3"/>
  <c r="F144" i="3"/>
  <c r="G144" i="3" s="1"/>
  <c r="H144" i="3" s="1"/>
  <c r="C155" i="3"/>
  <c r="F143" i="3"/>
  <c r="G143" i="3" s="1"/>
  <c r="H143" i="3" s="1"/>
  <c r="D143" i="3"/>
  <c r="I126" i="13"/>
  <c r="K126" i="19" s="1"/>
  <c r="U11" i="22"/>
  <c r="I129" i="3"/>
  <c r="G161" i="3"/>
  <c r="H161" i="3" s="1"/>
  <c r="C159" i="3"/>
  <c r="F147" i="3"/>
  <c r="I125" i="13"/>
  <c r="K125" i="18" s="1"/>
  <c r="I133" i="3"/>
  <c r="U17" i="22"/>
  <c r="I135" i="3"/>
  <c r="I132" i="3"/>
  <c r="I124" i="13"/>
  <c r="K124" i="18" s="1"/>
  <c r="B179" i="3"/>
  <c r="E167" i="3"/>
  <c r="Q18" i="23"/>
  <c r="Q17" i="23"/>
  <c r="C178" i="3"/>
  <c r="F166" i="3"/>
  <c r="G166" i="3" s="1"/>
  <c r="H166" i="3" s="1"/>
  <c r="C158" i="3"/>
  <c r="F146" i="3"/>
  <c r="G146" i="3" s="1"/>
  <c r="H146" i="3" s="1"/>
  <c r="U16" i="18"/>
  <c r="E152" i="3"/>
  <c r="D152" i="3"/>
  <c r="B164" i="3"/>
  <c r="G135" i="3"/>
  <c r="H135" i="3" s="1"/>
  <c r="I130" i="3"/>
  <c r="C185" i="3"/>
  <c r="F173" i="3"/>
  <c r="C163" i="3"/>
  <c r="F151" i="3"/>
  <c r="G134" i="3"/>
  <c r="H134" i="3" s="1"/>
  <c r="U13" i="18"/>
  <c r="I131" i="3"/>
  <c r="D166" i="3"/>
  <c r="E148" i="3"/>
  <c r="G148" i="3" s="1"/>
  <c r="H148" i="3" s="1"/>
  <c r="D148" i="3"/>
  <c r="B160" i="3"/>
  <c r="F162" i="3"/>
  <c r="C174" i="3"/>
  <c r="E141" i="3"/>
  <c r="G141" i="3" s="1"/>
  <c r="H141" i="3" s="1"/>
  <c r="B153" i="3"/>
  <c r="D141" i="3"/>
  <c r="I142" i="3" s="1"/>
  <c r="C189" i="3"/>
  <c r="F177" i="3"/>
  <c r="E145" i="3"/>
  <c r="G145" i="3" s="1"/>
  <c r="H145" i="3" s="1"/>
  <c r="B157" i="3"/>
  <c r="D145" i="3"/>
  <c r="B163" i="3"/>
  <c r="E151" i="3"/>
  <c r="D151" i="3"/>
  <c r="C169" i="3"/>
  <c r="F157" i="3"/>
  <c r="E161" i="3"/>
  <c r="B173" i="3"/>
  <c r="D161" i="3"/>
  <c r="B159" i="3"/>
  <c r="E147" i="3"/>
  <c r="D147" i="3"/>
  <c r="U11" i="18"/>
  <c r="U16" i="19"/>
  <c r="I140" i="3"/>
  <c r="B158" i="3"/>
  <c r="E146" i="3"/>
  <c r="D146" i="3"/>
  <c r="U11" i="19"/>
  <c r="U17" i="19"/>
  <c r="I136" i="3"/>
  <c r="B190" i="3"/>
  <c r="E178" i="3"/>
  <c r="D178" i="3"/>
  <c r="B174" i="3"/>
  <c r="E162" i="3"/>
  <c r="D162" i="3"/>
  <c r="I137" i="3"/>
  <c r="U8" i="19"/>
  <c r="I139" i="3"/>
  <c r="F196" i="3"/>
  <c r="C208" i="3"/>
  <c r="AI2" i="19"/>
  <c r="K27" i="19"/>
  <c r="C152" i="3"/>
  <c r="F140" i="3"/>
  <c r="G140" i="3" s="1"/>
  <c r="H140" i="3" s="1"/>
  <c r="U13" i="19"/>
  <c r="E156" i="3"/>
  <c r="D156" i="3"/>
  <c r="B168" i="3"/>
  <c r="I138" i="3"/>
  <c r="U9" i="19"/>
  <c r="E141" i="25"/>
  <c r="B153" i="25"/>
  <c r="D141" i="25"/>
  <c r="B159" i="25"/>
  <c r="E147" i="25"/>
  <c r="D147" i="25"/>
  <c r="E145" i="25"/>
  <c r="D145" i="25"/>
  <c r="B157" i="25"/>
  <c r="B167" i="25"/>
  <c r="E155" i="25"/>
  <c r="D155" i="25"/>
  <c r="B198" i="25"/>
  <c r="E186" i="25"/>
  <c r="F141" i="25"/>
  <c r="G141" i="25" s="1"/>
  <c r="H141" i="25" s="1"/>
  <c r="C153" i="25"/>
  <c r="C168" i="25"/>
  <c r="F156" i="25"/>
  <c r="F150" i="25"/>
  <c r="G150" i="25" s="1"/>
  <c r="H150" i="25" s="1"/>
  <c r="C162" i="25"/>
  <c r="D150" i="25"/>
  <c r="G129" i="25"/>
  <c r="H129" i="25" s="1"/>
  <c r="I140" i="25"/>
  <c r="I138" i="25"/>
  <c r="I130" i="25"/>
  <c r="I131" i="25"/>
  <c r="I133" i="25"/>
  <c r="I139" i="25"/>
  <c r="I136" i="25"/>
  <c r="I135" i="25"/>
  <c r="F145" i="25"/>
  <c r="C157" i="25"/>
  <c r="E187" i="25"/>
  <c r="B199" i="25"/>
  <c r="F163" i="25"/>
  <c r="G163" i="25" s="1"/>
  <c r="H163" i="25" s="1"/>
  <c r="C175" i="25"/>
  <c r="D163" i="25"/>
  <c r="E170" i="25"/>
  <c r="B182" i="25"/>
  <c r="C164" i="25"/>
  <c r="F152" i="25"/>
  <c r="G152" i="25" s="1"/>
  <c r="H152" i="25" s="1"/>
  <c r="F161" i="25"/>
  <c r="G161" i="25" s="1"/>
  <c r="H161" i="25" s="1"/>
  <c r="C173" i="25"/>
  <c r="C154" i="25"/>
  <c r="F142" i="25"/>
  <c r="G142" i="25" s="1"/>
  <c r="H142" i="25" s="1"/>
  <c r="B168" i="25"/>
  <c r="D156" i="25"/>
  <c r="E156" i="25"/>
  <c r="F158" i="25"/>
  <c r="G158" i="25" s="1"/>
  <c r="H158" i="25" s="1"/>
  <c r="C170" i="25"/>
  <c r="I134" i="25"/>
  <c r="I132" i="25"/>
  <c r="B176" i="25"/>
  <c r="E164" i="25"/>
  <c r="D142" i="25"/>
  <c r="E154" i="25"/>
  <c r="B166" i="25"/>
  <c r="C159" i="25"/>
  <c r="F147" i="25"/>
  <c r="G147" i="25" s="1"/>
  <c r="H147" i="25" s="1"/>
  <c r="G135" i="25"/>
  <c r="H135" i="25" s="1"/>
  <c r="E161" i="25"/>
  <c r="D161" i="25"/>
  <c r="B173" i="25"/>
  <c r="C167" i="25"/>
  <c r="F155" i="25"/>
  <c r="G155" i="25" s="1"/>
  <c r="H155" i="25" s="1"/>
  <c r="I137" i="25"/>
  <c r="G143" i="25"/>
  <c r="H143" i="25" s="1"/>
  <c r="D135" i="14"/>
  <c r="E135" i="14"/>
  <c r="G135" i="14" s="1"/>
  <c r="H135" i="14" s="1"/>
  <c r="B147" i="14"/>
  <c r="E149" i="14"/>
  <c r="G149" i="14" s="1"/>
  <c r="H149" i="14" s="1"/>
  <c r="B161" i="14"/>
  <c r="D149" i="14"/>
  <c r="F171" i="14"/>
  <c r="C183" i="14"/>
  <c r="D143" i="14"/>
  <c r="B155" i="14"/>
  <c r="E143" i="14"/>
  <c r="G143" i="14" s="1"/>
  <c r="H143" i="14" s="1"/>
  <c r="E140" i="14"/>
  <c r="G140" i="14" s="1"/>
  <c r="H140" i="14" s="1"/>
  <c r="D140" i="14"/>
  <c r="B152" i="14"/>
  <c r="I134" i="14"/>
  <c r="I133" i="14"/>
  <c r="I125" i="14"/>
  <c r="I132" i="14"/>
  <c r="I127" i="14"/>
  <c r="F144" i="14"/>
  <c r="C156" i="14"/>
  <c r="F190" i="14"/>
  <c r="C202" i="14"/>
  <c r="I123" i="14"/>
  <c r="I131" i="14"/>
  <c r="E153" i="14"/>
  <c r="G153" i="14" s="1"/>
  <c r="H153" i="14" s="1"/>
  <c r="B165" i="14"/>
  <c r="D153" i="14"/>
  <c r="B170" i="14"/>
  <c r="E158" i="14"/>
  <c r="D158" i="14"/>
  <c r="I124" i="14"/>
  <c r="I137" i="22"/>
  <c r="F152" i="14"/>
  <c r="C164" i="14"/>
  <c r="F167" i="14"/>
  <c r="C179" i="14"/>
  <c r="D150" i="14"/>
  <c r="B162" i="14"/>
  <c r="E150" i="14"/>
  <c r="F175" i="14"/>
  <c r="C187" i="14"/>
  <c r="C162" i="14"/>
  <c r="F150" i="14"/>
  <c r="G150" i="14" s="1"/>
  <c r="H150" i="14" s="1"/>
  <c r="I130" i="22"/>
  <c r="D178" i="14"/>
  <c r="B190" i="14"/>
  <c r="E178" i="14"/>
  <c r="G178" i="14" s="1"/>
  <c r="H178" i="14" s="1"/>
  <c r="E144" i="14"/>
  <c r="D144" i="14"/>
  <c r="B156" i="14"/>
  <c r="E136" i="14"/>
  <c r="D136" i="14"/>
  <c r="B148" i="14"/>
  <c r="F136" i="14"/>
  <c r="C148" i="14"/>
  <c r="G124" i="14"/>
  <c r="H124" i="14" s="1"/>
  <c r="F146" i="14"/>
  <c r="G146" i="14" s="1"/>
  <c r="H146" i="14" s="1"/>
  <c r="C158" i="14"/>
  <c r="E157" i="14"/>
  <c r="G157" i="14" s="1"/>
  <c r="H157" i="14" s="1"/>
  <c r="B169" i="14"/>
  <c r="D157" i="14"/>
  <c r="D139" i="14"/>
  <c r="B151" i="14"/>
  <c r="E139" i="14"/>
  <c r="G139" i="14" s="1"/>
  <c r="H139" i="14" s="1"/>
  <c r="I128" i="14"/>
  <c r="I126" i="14"/>
  <c r="F162" i="13"/>
  <c r="C174" i="13"/>
  <c r="F140" i="13"/>
  <c r="C152" i="13"/>
  <c r="D139" i="13"/>
  <c r="B151" i="13"/>
  <c r="E139" i="13"/>
  <c r="G139" i="13" s="1"/>
  <c r="H139" i="13" s="1"/>
  <c r="I134" i="13"/>
  <c r="K119" i="19"/>
  <c r="K119" i="18"/>
  <c r="K122" i="18"/>
  <c r="K122" i="19"/>
  <c r="K117" i="19"/>
  <c r="K117" i="18"/>
  <c r="K124" i="19"/>
  <c r="E162" i="13"/>
  <c r="D162" i="13"/>
  <c r="B174" i="13"/>
  <c r="I129" i="13"/>
  <c r="F136" i="13"/>
  <c r="G136" i="13" s="1"/>
  <c r="H136" i="13" s="1"/>
  <c r="C148" i="13"/>
  <c r="K112" i="19"/>
  <c r="K112" i="18"/>
  <c r="F141" i="13"/>
  <c r="G141" i="13" s="1"/>
  <c r="H141" i="13" s="1"/>
  <c r="C153" i="13"/>
  <c r="D141" i="13"/>
  <c r="E149" i="13"/>
  <c r="B161" i="13"/>
  <c r="I124" i="19"/>
  <c r="C175" i="13"/>
  <c r="F163" i="13"/>
  <c r="F157" i="13"/>
  <c r="G157" i="13" s="1"/>
  <c r="H157" i="13" s="1"/>
  <c r="C169" i="13"/>
  <c r="C194" i="13"/>
  <c r="F182" i="13"/>
  <c r="K114" i="18"/>
  <c r="K114" i="19"/>
  <c r="D143" i="13"/>
  <c r="E143" i="13"/>
  <c r="G143" i="13" s="1"/>
  <c r="H143" i="13" s="1"/>
  <c r="B155" i="13"/>
  <c r="I134" i="18"/>
  <c r="E169" i="13"/>
  <c r="B181" i="13"/>
  <c r="C154" i="13"/>
  <c r="F142" i="13"/>
  <c r="G142" i="13" s="1"/>
  <c r="H142" i="13" s="1"/>
  <c r="I129" i="18"/>
  <c r="I131" i="19"/>
  <c r="K111" i="18"/>
  <c r="K111" i="19"/>
  <c r="I125" i="18"/>
  <c r="E165" i="13"/>
  <c r="B177" i="13"/>
  <c r="E140" i="13"/>
  <c r="B152" i="13"/>
  <c r="D140" i="13"/>
  <c r="E142" i="13"/>
  <c r="D142" i="13"/>
  <c r="B154" i="13"/>
  <c r="I131" i="23"/>
  <c r="I132" i="18"/>
  <c r="I127" i="19"/>
  <c r="C147" i="13"/>
  <c r="F135" i="13"/>
  <c r="G135" i="13" s="1"/>
  <c r="H135" i="13" s="1"/>
  <c r="D135" i="13"/>
  <c r="I122" i="19"/>
  <c r="I123" i="19"/>
  <c r="I128" i="13"/>
  <c r="E136" i="13"/>
  <c r="B148" i="13"/>
  <c r="D136" i="13"/>
  <c r="B158" i="13"/>
  <c r="E146" i="13"/>
  <c r="G146" i="13" s="1"/>
  <c r="H146" i="13" s="1"/>
  <c r="D146" i="13"/>
  <c r="I133" i="13"/>
  <c r="I132" i="13"/>
  <c r="E144" i="13"/>
  <c r="B156" i="13"/>
  <c r="D144" i="13"/>
  <c r="K116" i="19"/>
  <c r="K116" i="18"/>
  <c r="K121" i="19"/>
  <c r="K121" i="18"/>
  <c r="C167" i="13"/>
  <c r="F155" i="13"/>
  <c r="E159" i="13"/>
  <c r="B171" i="13"/>
  <c r="F137" i="13"/>
  <c r="G137" i="13" s="1"/>
  <c r="H137" i="13" s="1"/>
  <c r="C149" i="13"/>
  <c r="F144" i="13"/>
  <c r="G144" i="13" s="1"/>
  <c r="H144" i="13" s="1"/>
  <c r="C156" i="13"/>
  <c r="E152" i="19"/>
  <c r="B164" i="19"/>
  <c r="D152" i="19"/>
  <c r="F173" i="19"/>
  <c r="C185" i="19"/>
  <c r="B154" i="19"/>
  <c r="E142" i="19"/>
  <c r="D142" i="19"/>
  <c r="G161" i="19"/>
  <c r="H161" i="19" s="1"/>
  <c r="J161" i="19" s="1"/>
  <c r="B150" i="19"/>
  <c r="D138" i="19"/>
  <c r="E138" i="19"/>
  <c r="F175" i="19"/>
  <c r="C187" i="19"/>
  <c r="G163" i="19"/>
  <c r="H163" i="19" s="1"/>
  <c r="J163" i="19" s="1"/>
  <c r="B153" i="19"/>
  <c r="E141" i="19"/>
  <c r="G141" i="19" s="1"/>
  <c r="H141" i="19" s="1"/>
  <c r="J141" i="19" s="1"/>
  <c r="D141" i="19"/>
  <c r="C146" i="19"/>
  <c r="F134" i="19"/>
  <c r="G130" i="19"/>
  <c r="H130" i="19" s="1"/>
  <c r="J130" i="19" s="1"/>
  <c r="F142" i="19"/>
  <c r="G142" i="19" s="1"/>
  <c r="H142" i="19" s="1"/>
  <c r="J142" i="19" s="1"/>
  <c r="C154" i="19"/>
  <c r="B181" i="19"/>
  <c r="D169" i="19"/>
  <c r="E169" i="19"/>
  <c r="I126" i="19"/>
  <c r="F140" i="19"/>
  <c r="G140" i="19" s="1"/>
  <c r="H140" i="19" s="1"/>
  <c r="J140" i="19" s="1"/>
  <c r="C152" i="19"/>
  <c r="I128" i="19"/>
  <c r="E161" i="19"/>
  <c r="D161" i="19"/>
  <c r="B173" i="19"/>
  <c r="E144" i="19"/>
  <c r="G144" i="19" s="1"/>
  <c r="H144" i="19" s="1"/>
  <c r="J144" i="19" s="1"/>
  <c r="D144" i="19"/>
  <c r="B156" i="19"/>
  <c r="F189" i="19"/>
  <c r="C201" i="19"/>
  <c r="I130" i="19"/>
  <c r="I133" i="19"/>
  <c r="I132" i="19"/>
  <c r="C181" i="19"/>
  <c r="F169" i="19"/>
  <c r="B171" i="19"/>
  <c r="E159" i="19"/>
  <c r="D159" i="19"/>
  <c r="G157" i="19"/>
  <c r="H157" i="19" s="1"/>
  <c r="J157" i="19" s="1"/>
  <c r="B146" i="19"/>
  <c r="E134" i="19"/>
  <c r="D134" i="19"/>
  <c r="I136" i="19" s="1"/>
  <c r="C150" i="19"/>
  <c r="F138" i="19"/>
  <c r="G138" i="19" s="1"/>
  <c r="H138" i="19" s="1"/>
  <c r="J138" i="19" s="1"/>
  <c r="G147" i="19"/>
  <c r="H147" i="19" s="1"/>
  <c r="J147" i="19" s="1"/>
  <c r="F159" i="19"/>
  <c r="G159" i="19" s="1"/>
  <c r="H159" i="19" s="1"/>
  <c r="J159" i="19" s="1"/>
  <c r="C171" i="19"/>
  <c r="E163" i="19"/>
  <c r="D163" i="19"/>
  <c r="B175" i="19"/>
  <c r="B167" i="19"/>
  <c r="E155" i="19"/>
  <c r="D155" i="19"/>
  <c r="F172" i="19"/>
  <c r="C184" i="19"/>
  <c r="C192" i="19"/>
  <c r="F180" i="19"/>
  <c r="G143" i="19"/>
  <c r="H143" i="19" s="1"/>
  <c r="J143" i="19" s="1"/>
  <c r="C167" i="19"/>
  <c r="F155" i="19"/>
  <c r="G155" i="19" s="1"/>
  <c r="H155" i="19" s="1"/>
  <c r="J155" i="19" s="1"/>
  <c r="I129" i="19"/>
  <c r="E160" i="19"/>
  <c r="G160" i="19" s="1"/>
  <c r="H160" i="19" s="1"/>
  <c r="J160" i="19" s="1"/>
  <c r="D160" i="19"/>
  <c r="B172" i="19"/>
  <c r="E147" i="18"/>
  <c r="D147" i="18"/>
  <c r="B159" i="18"/>
  <c r="B192" i="18"/>
  <c r="E180" i="18"/>
  <c r="F151" i="18"/>
  <c r="G151" i="18" s="1"/>
  <c r="H151" i="18" s="1"/>
  <c r="J151" i="18" s="1"/>
  <c r="C163" i="18"/>
  <c r="C169" i="18"/>
  <c r="F157" i="18"/>
  <c r="G157" i="18" s="1"/>
  <c r="H157" i="18" s="1"/>
  <c r="J157" i="18" s="1"/>
  <c r="G135" i="18"/>
  <c r="H135" i="18" s="1"/>
  <c r="J135" i="18" s="1"/>
  <c r="C165" i="18"/>
  <c r="F153" i="18"/>
  <c r="E153" i="18"/>
  <c r="D153" i="18"/>
  <c r="B165" i="18"/>
  <c r="F160" i="18"/>
  <c r="C172" i="18"/>
  <c r="G145" i="18"/>
  <c r="H145" i="18" s="1"/>
  <c r="J145" i="18" s="1"/>
  <c r="C154" i="18"/>
  <c r="F142" i="18"/>
  <c r="G142" i="18" s="1"/>
  <c r="H142" i="18" s="1"/>
  <c r="J142" i="18" s="1"/>
  <c r="G130" i="18"/>
  <c r="H130" i="18" s="1"/>
  <c r="J130" i="18" s="1"/>
  <c r="G140" i="18"/>
  <c r="H140" i="18" s="1"/>
  <c r="J140" i="18" s="1"/>
  <c r="C170" i="18"/>
  <c r="F158" i="18"/>
  <c r="E186" i="18"/>
  <c r="B198" i="18"/>
  <c r="E152" i="18"/>
  <c r="D152" i="18"/>
  <c r="B164" i="18"/>
  <c r="I135" i="18"/>
  <c r="F137" i="18"/>
  <c r="C149" i="18"/>
  <c r="B163" i="18"/>
  <c r="E151" i="18"/>
  <c r="D151" i="18"/>
  <c r="B160" i="18"/>
  <c r="E148" i="18"/>
  <c r="D148" i="18"/>
  <c r="I133" i="18"/>
  <c r="G148" i="18"/>
  <c r="H148" i="18" s="1"/>
  <c r="J148" i="18" s="1"/>
  <c r="C168" i="18"/>
  <c r="F156" i="18"/>
  <c r="G156" i="18" s="1"/>
  <c r="H156" i="18" s="1"/>
  <c r="J156" i="18" s="1"/>
  <c r="D156" i="18"/>
  <c r="E137" i="18"/>
  <c r="B149" i="18"/>
  <c r="D137" i="18"/>
  <c r="I137" i="18" s="1"/>
  <c r="F162" i="18"/>
  <c r="G162" i="18" s="1"/>
  <c r="H162" i="18" s="1"/>
  <c r="J162" i="18" s="1"/>
  <c r="C174" i="18"/>
  <c r="D162" i="18"/>
  <c r="F167" i="18"/>
  <c r="G167" i="18" s="1"/>
  <c r="H167" i="18" s="1"/>
  <c r="J167" i="18" s="1"/>
  <c r="C179" i="18"/>
  <c r="E142" i="18"/>
  <c r="D142" i="18"/>
  <c r="B154" i="18"/>
  <c r="E167" i="18"/>
  <c r="D167" i="18"/>
  <c r="B179" i="18"/>
  <c r="D157" i="18"/>
  <c r="B169" i="18"/>
  <c r="E157" i="18"/>
  <c r="F147" i="18"/>
  <c r="G147" i="18" s="1"/>
  <c r="H147" i="18" s="1"/>
  <c r="J147" i="18" s="1"/>
  <c r="C159" i="18"/>
  <c r="I136" i="18"/>
  <c r="I130" i="18"/>
  <c r="I131" i="18"/>
  <c r="I128" i="18"/>
  <c r="E146" i="18"/>
  <c r="D146" i="18"/>
  <c r="B158" i="18"/>
  <c r="F152" i="18"/>
  <c r="G152" i="18" s="1"/>
  <c r="H152" i="18" s="1"/>
  <c r="J152" i="18" s="1"/>
  <c r="C164" i="18"/>
  <c r="G146" i="18"/>
  <c r="H146" i="18" s="1"/>
  <c r="J146" i="18" s="1"/>
  <c r="G155" i="18"/>
  <c r="H155" i="18" s="1"/>
  <c r="J155" i="18" s="1"/>
  <c r="I127" i="18"/>
  <c r="F156" i="22"/>
  <c r="C168" i="22"/>
  <c r="B155" i="22"/>
  <c r="E143" i="22"/>
  <c r="D143" i="22"/>
  <c r="F141" i="22"/>
  <c r="G141" i="22" s="1"/>
  <c r="H141" i="22" s="1"/>
  <c r="C153" i="22"/>
  <c r="F149" i="22"/>
  <c r="C161" i="22"/>
  <c r="F183" i="22"/>
  <c r="C195" i="22"/>
  <c r="D156" i="22"/>
  <c r="B168" i="22"/>
  <c r="E156" i="22"/>
  <c r="D152" i="22"/>
  <c r="B164" i="22"/>
  <c r="E152" i="22"/>
  <c r="E147" i="22"/>
  <c r="G147" i="22" s="1"/>
  <c r="H147" i="22" s="1"/>
  <c r="D147" i="22"/>
  <c r="B159" i="22"/>
  <c r="E149" i="22"/>
  <c r="D149" i="22"/>
  <c r="B161" i="22"/>
  <c r="B151" i="22"/>
  <c r="E139" i="22"/>
  <c r="G139" i="22" s="1"/>
  <c r="H139" i="22" s="1"/>
  <c r="D139" i="22"/>
  <c r="I138" i="22"/>
  <c r="C154" i="22"/>
  <c r="F142" i="22"/>
  <c r="C155" i="22"/>
  <c r="F143" i="22"/>
  <c r="G143" i="22" s="1"/>
  <c r="H143" i="22" s="1"/>
  <c r="B154" i="22"/>
  <c r="E142" i="22"/>
  <c r="D142" i="22"/>
  <c r="G140" i="22"/>
  <c r="H140" i="22" s="1"/>
  <c r="E158" i="22"/>
  <c r="D158" i="22"/>
  <c r="B170" i="22"/>
  <c r="F148" i="22"/>
  <c r="C160" i="22"/>
  <c r="I134" i="22"/>
  <c r="G131" i="22"/>
  <c r="H131" i="22" s="1"/>
  <c r="F181" i="22"/>
  <c r="C193" i="22"/>
  <c r="I135" i="22"/>
  <c r="C163" i="22"/>
  <c r="F151" i="22"/>
  <c r="I133" i="22"/>
  <c r="G136" i="22"/>
  <c r="H136" i="22" s="1"/>
  <c r="I131" i="22"/>
  <c r="I136" i="22"/>
  <c r="C170" i="22"/>
  <c r="F158" i="22"/>
  <c r="G158" i="22" s="1"/>
  <c r="H158" i="22" s="1"/>
  <c r="F152" i="22"/>
  <c r="C164" i="22"/>
  <c r="E174" i="22"/>
  <c r="B186" i="22"/>
  <c r="E157" i="22"/>
  <c r="G157" i="22" s="1"/>
  <c r="H157" i="22" s="1"/>
  <c r="D157" i="22"/>
  <c r="B169" i="22"/>
  <c r="I127" i="22"/>
  <c r="E153" i="22"/>
  <c r="D153" i="22"/>
  <c r="B165" i="22"/>
  <c r="D148" i="22"/>
  <c r="B160" i="22"/>
  <c r="E148" i="22"/>
  <c r="C162" i="22"/>
  <c r="F150" i="22"/>
  <c r="G150" i="22" s="1"/>
  <c r="H150" i="22" s="1"/>
  <c r="D150" i="22"/>
  <c r="I132" i="22"/>
  <c r="C147" i="23"/>
  <c r="F135" i="23"/>
  <c r="G135" i="23" s="1"/>
  <c r="H135" i="23" s="1"/>
  <c r="D135" i="23"/>
  <c r="E175" i="23"/>
  <c r="B187" i="23"/>
  <c r="B178" i="23"/>
  <c r="E166" i="23"/>
  <c r="G166" i="23" s="1"/>
  <c r="H166" i="23" s="1"/>
  <c r="D166" i="23"/>
  <c r="C186" i="23"/>
  <c r="F174" i="23"/>
  <c r="I124" i="23"/>
  <c r="B169" i="23"/>
  <c r="E157" i="23"/>
  <c r="D157" i="23"/>
  <c r="B156" i="23"/>
  <c r="E144" i="23"/>
  <c r="G144" i="23" s="1"/>
  <c r="H144" i="23" s="1"/>
  <c r="D144" i="23"/>
  <c r="I125" i="23"/>
  <c r="F146" i="23"/>
  <c r="G146" i="23" s="1"/>
  <c r="H146" i="23" s="1"/>
  <c r="C158" i="23"/>
  <c r="I126" i="23"/>
  <c r="C164" i="23"/>
  <c r="F152" i="23"/>
  <c r="G152" i="23" s="1"/>
  <c r="H152" i="23" s="1"/>
  <c r="D152" i="23"/>
  <c r="F151" i="23"/>
  <c r="G151" i="23" s="1"/>
  <c r="H151" i="23" s="1"/>
  <c r="C163" i="23"/>
  <c r="D151" i="23"/>
  <c r="I134" i="23"/>
  <c r="I130" i="23"/>
  <c r="I132" i="23"/>
  <c r="C160" i="23"/>
  <c r="F148" i="23"/>
  <c r="I133" i="23"/>
  <c r="B173" i="23"/>
  <c r="D161" i="23"/>
  <c r="E161" i="23"/>
  <c r="G143" i="23"/>
  <c r="H143" i="23" s="1"/>
  <c r="I123" i="23"/>
  <c r="I129" i="23"/>
  <c r="C173" i="23"/>
  <c r="F161" i="23"/>
  <c r="G161" i="23" s="1"/>
  <c r="H161" i="23" s="1"/>
  <c r="B165" i="23"/>
  <c r="D153" i="23"/>
  <c r="E153" i="23"/>
  <c r="G153" i="23" s="1"/>
  <c r="H153" i="23" s="1"/>
  <c r="B148" i="23"/>
  <c r="E136" i="23"/>
  <c r="G136" i="23" s="1"/>
  <c r="H136" i="23" s="1"/>
  <c r="D136" i="23"/>
  <c r="C190" i="23"/>
  <c r="F178" i="23"/>
  <c r="E155" i="23"/>
  <c r="D155" i="23"/>
  <c r="B167" i="23"/>
  <c r="C177" i="23"/>
  <c r="F165" i="23"/>
  <c r="I128" i="23"/>
  <c r="E138" i="23"/>
  <c r="G138" i="23" s="1"/>
  <c r="H138" i="23" s="1"/>
  <c r="D138" i="23"/>
  <c r="B150" i="23"/>
  <c r="F155" i="23"/>
  <c r="G155" i="23" s="1"/>
  <c r="H155" i="23" s="1"/>
  <c r="C167" i="23"/>
  <c r="C169" i="23"/>
  <c r="F157" i="23"/>
  <c r="F168" i="23"/>
  <c r="C180" i="23"/>
  <c r="G145" i="23"/>
  <c r="H145" i="23" s="1"/>
  <c r="I127" i="23"/>
  <c r="E158" i="23"/>
  <c r="B170" i="23"/>
  <c r="E159" i="23"/>
  <c r="B171" i="23"/>
  <c r="E176" i="23"/>
  <c r="B188" i="23"/>
  <c r="D146" i="23"/>
  <c r="I140" i="8" l="1"/>
  <c r="I135" i="8"/>
  <c r="I138" i="8"/>
  <c r="I141" i="3"/>
  <c r="I137" i="20"/>
  <c r="I144" i="20"/>
  <c r="I136" i="8"/>
  <c r="I145" i="8"/>
  <c r="I143" i="8"/>
  <c r="I142" i="8"/>
  <c r="I137" i="8"/>
  <c r="L123" i="18"/>
  <c r="I146" i="3"/>
  <c r="E157" i="20"/>
  <c r="D157" i="20"/>
  <c r="B169" i="20"/>
  <c r="I146" i="20"/>
  <c r="F182" i="20"/>
  <c r="C194" i="20"/>
  <c r="E147" i="20"/>
  <c r="G147" i="20" s="1"/>
  <c r="H147" i="20" s="1"/>
  <c r="D147" i="20"/>
  <c r="B159" i="20"/>
  <c r="F148" i="20"/>
  <c r="G148" i="20" s="1"/>
  <c r="H148" i="20" s="1"/>
  <c r="C160" i="20"/>
  <c r="I139" i="20"/>
  <c r="G136" i="20"/>
  <c r="H136" i="20" s="1"/>
  <c r="E152" i="20"/>
  <c r="D152" i="20"/>
  <c r="B164" i="20"/>
  <c r="F159" i="20"/>
  <c r="C171" i="20"/>
  <c r="E148" i="20"/>
  <c r="D148" i="20"/>
  <c r="B160" i="20"/>
  <c r="I140" i="20"/>
  <c r="I145" i="20"/>
  <c r="E153" i="20"/>
  <c r="D153" i="20"/>
  <c r="B165" i="20"/>
  <c r="F152" i="20"/>
  <c r="G152" i="20" s="1"/>
  <c r="H152" i="20" s="1"/>
  <c r="C164" i="20"/>
  <c r="G140" i="20"/>
  <c r="H140" i="20" s="1"/>
  <c r="C175" i="20"/>
  <c r="F163" i="20"/>
  <c r="G145" i="20"/>
  <c r="H145" i="20" s="1"/>
  <c r="E158" i="20"/>
  <c r="G158" i="20" s="1"/>
  <c r="H158" i="20" s="1"/>
  <c r="D158" i="20"/>
  <c r="B170" i="20"/>
  <c r="F157" i="20"/>
  <c r="G157" i="20" s="1"/>
  <c r="H157" i="20" s="1"/>
  <c r="C169" i="20"/>
  <c r="C174" i="20"/>
  <c r="F162" i="20"/>
  <c r="B178" i="20"/>
  <c r="E166" i="20"/>
  <c r="D166" i="20"/>
  <c r="I143" i="20"/>
  <c r="F166" i="20"/>
  <c r="C178" i="20"/>
  <c r="E155" i="20"/>
  <c r="D155" i="20"/>
  <c r="B167" i="20"/>
  <c r="F153" i="20"/>
  <c r="C165" i="20"/>
  <c r="G141" i="20"/>
  <c r="H141" i="20" s="1"/>
  <c r="G155" i="20"/>
  <c r="H155" i="20" s="1"/>
  <c r="B174" i="20"/>
  <c r="E162" i="20"/>
  <c r="D162" i="20"/>
  <c r="E151" i="20"/>
  <c r="G151" i="20" s="1"/>
  <c r="H151" i="20" s="1"/>
  <c r="B163" i="20"/>
  <c r="D151" i="20"/>
  <c r="F167" i="20"/>
  <c r="C179" i="20"/>
  <c r="E149" i="20"/>
  <c r="D149" i="20"/>
  <c r="B161" i="20"/>
  <c r="E156" i="20"/>
  <c r="D156" i="20"/>
  <c r="B168" i="20"/>
  <c r="I141" i="20"/>
  <c r="F156" i="20"/>
  <c r="C168" i="20"/>
  <c r="I138" i="20"/>
  <c r="I136" i="20"/>
  <c r="F149" i="20"/>
  <c r="C161" i="20"/>
  <c r="I142" i="20"/>
  <c r="F153" i="12"/>
  <c r="C165" i="12"/>
  <c r="F170" i="12"/>
  <c r="G170" i="12" s="1"/>
  <c r="H170" i="12" s="1"/>
  <c r="C182" i="12"/>
  <c r="I136" i="12"/>
  <c r="L131" i="19"/>
  <c r="I146" i="12"/>
  <c r="E148" i="12"/>
  <c r="G148" i="12" s="1"/>
  <c r="H148" i="12" s="1"/>
  <c r="D148" i="12"/>
  <c r="I150" i="12" s="1"/>
  <c r="B160" i="12"/>
  <c r="F149" i="12"/>
  <c r="C161" i="12"/>
  <c r="E149" i="12"/>
  <c r="D149" i="12"/>
  <c r="B161" i="12"/>
  <c r="D159" i="12"/>
  <c r="E159" i="12"/>
  <c r="B171" i="12"/>
  <c r="I148" i="12"/>
  <c r="D162" i="12"/>
  <c r="B174" i="12"/>
  <c r="E162" i="12"/>
  <c r="C166" i="12"/>
  <c r="F154" i="12"/>
  <c r="G154" i="12" s="1"/>
  <c r="H154" i="12" s="1"/>
  <c r="E153" i="12"/>
  <c r="D153" i="12"/>
  <c r="B165" i="12"/>
  <c r="E175" i="12"/>
  <c r="B187" i="12"/>
  <c r="D175" i="12"/>
  <c r="I147" i="12"/>
  <c r="I145" i="12"/>
  <c r="E152" i="12"/>
  <c r="D152" i="12"/>
  <c r="B164" i="12"/>
  <c r="D170" i="12"/>
  <c r="E170" i="12"/>
  <c r="B182" i="12"/>
  <c r="I141" i="12"/>
  <c r="I144" i="12"/>
  <c r="B166" i="12"/>
  <c r="E154" i="12"/>
  <c r="D154" i="12"/>
  <c r="G150" i="12"/>
  <c r="H150" i="12" s="1"/>
  <c r="E157" i="12"/>
  <c r="D157" i="12"/>
  <c r="B169" i="12"/>
  <c r="C174" i="12"/>
  <c r="F162" i="12"/>
  <c r="G162" i="12" s="1"/>
  <c r="H162" i="12" s="1"/>
  <c r="F157" i="12"/>
  <c r="G157" i="12" s="1"/>
  <c r="H157" i="12" s="1"/>
  <c r="C169" i="12"/>
  <c r="F167" i="12"/>
  <c r="G167" i="12" s="1"/>
  <c r="H167" i="12" s="1"/>
  <c r="C179" i="12"/>
  <c r="G152" i="12"/>
  <c r="H152" i="12" s="1"/>
  <c r="E156" i="12"/>
  <c r="D156" i="12"/>
  <c r="B168" i="12"/>
  <c r="F160" i="12"/>
  <c r="C172" i="12"/>
  <c r="D167" i="12"/>
  <c r="E179" i="12"/>
  <c r="B191" i="12"/>
  <c r="F164" i="12"/>
  <c r="C176" i="12"/>
  <c r="G147" i="12"/>
  <c r="H147" i="12" s="1"/>
  <c r="F168" i="12"/>
  <c r="C180" i="12"/>
  <c r="F187" i="12"/>
  <c r="C199" i="12"/>
  <c r="F159" i="12"/>
  <c r="G159" i="12" s="1"/>
  <c r="H159" i="12" s="1"/>
  <c r="C171" i="12"/>
  <c r="G156" i="12"/>
  <c r="H156" i="12" s="1"/>
  <c r="G175" i="12"/>
  <c r="H175" i="12" s="1"/>
  <c r="I137" i="12"/>
  <c r="I136" i="11"/>
  <c r="I140" i="11"/>
  <c r="F149" i="11"/>
  <c r="G149" i="11" s="1"/>
  <c r="H149" i="11" s="1"/>
  <c r="C161" i="11"/>
  <c r="F159" i="11"/>
  <c r="C171" i="11"/>
  <c r="I138" i="11"/>
  <c r="G147" i="11"/>
  <c r="H147" i="11" s="1"/>
  <c r="E168" i="11"/>
  <c r="D168" i="11"/>
  <c r="B180" i="11"/>
  <c r="C214" i="11"/>
  <c r="F202" i="11"/>
  <c r="E147" i="11"/>
  <c r="D147" i="11"/>
  <c r="B159" i="11"/>
  <c r="C170" i="11"/>
  <c r="F158" i="11"/>
  <c r="E169" i="11"/>
  <c r="D169" i="11"/>
  <c r="B181" i="11"/>
  <c r="I141" i="11"/>
  <c r="E161" i="11"/>
  <c r="D161" i="11"/>
  <c r="B173" i="11"/>
  <c r="B174" i="11"/>
  <c r="E162" i="11"/>
  <c r="D162" i="11"/>
  <c r="I144" i="11"/>
  <c r="E160" i="11"/>
  <c r="D160" i="11"/>
  <c r="B172" i="11"/>
  <c r="G156" i="11"/>
  <c r="H156" i="11" s="1"/>
  <c r="B170" i="11"/>
  <c r="D158" i="11"/>
  <c r="E158" i="11"/>
  <c r="F153" i="11"/>
  <c r="G153" i="11" s="1"/>
  <c r="H153" i="11" s="1"/>
  <c r="C165" i="11"/>
  <c r="D165" i="11" s="1"/>
  <c r="E163" i="11"/>
  <c r="G163" i="11" s="1"/>
  <c r="H163" i="11" s="1"/>
  <c r="D163" i="11"/>
  <c r="B175" i="11"/>
  <c r="E167" i="11"/>
  <c r="B179" i="11"/>
  <c r="G150" i="11"/>
  <c r="H150" i="11" s="1"/>
  <c r="F160" i="11"/>
  <c r="G160" i="11" s="1"/>
  <c r="H160" i="11" s="1"/>
  <c r="C172" i="11"/>
  <c r="F175" i="11"/>
  <c r="C187" i="11"/>
  <c r="F168" i="11"/>
  <c r="G168" i="11" s="1"/>
  <c r="H168" i="11" s="1"/>
  <c r="C180" i="11"/>
  <c r="I137" i="11"/>
  <c r="F164" i="11"/>
  <c r="G164" i="11" s="1"/>
  <c r="H164" i="11" s="1"/>
  <c r="C176" i="11"/>
  <c r="G148" i="11"/>
  <c r="H148" i="11" s="1"/>
  <c r="I142" i="11"/>
  <c r="I139" i="16"/>
  <c r="L139" i="18" s="1"/>
  <c r="G152" i="11"/>
  <c r="H152" i="11" s="1"/>
  <c r="I139" i="11"/>
  <c r="F155" i="11"/>
  <c r="G155" i="11" s="1"/>
  <c r="H155" i="11" s="1"/>
  <c r="C167" i="11"/>
  <c r="D167" i="11" s="1"/>
  <c r="E164" i="11"/>
  <c r="D164" i="11"/>
  <c r="B176" i="11"/>
  <c r="D153" i="11"/>
  <c r="F157" i="11"/>
  <c r="G157" i="11" s="1"/>
  <c r="H157" i="11" s="1"/>
  <c r="C169" i="11"/>
  <c r="I143" i="11"/>
  <c r="I135" i="11"/>
  <c r="D155" i="11"/>
  <c r="C174" i="11"/>
  <c r="F162" i="11"/>
  <c r="E165" i="11"/>
  <c r="B177" i="11"/>
  <c r="B202" i="11"/>
  <c r="E190" i="11"/>
  <c r="G190" i="11" s="1"/>
  <c r="H190" i="11" s="1"/>
  <c r="D190" i="11"/>
  <c r="I145" i="11"/>
  <c r="I152" i="11"/>
  <c r="I153" i="10"/>
  <c r="B202" i="10"/>
  <c r="E190" i="10"/>
  <c r="D190" i="10"/>
  <c r="G141" i="10"/>
  <c r="H141" i="10" s="1"/>
  <c r="F153" i="10"/>
  <c r="C165" i="10"/>
  <c r="I143" i="10"/>
  <c r="B163" i="10"/>
  <c r="E151" i="10"/>
  <c r="D151" i="10"/>
  <c r="I144" i="10"/>
  <c r="F157" i="10"/>
  <c r="C169" i="10"/>
  <c r="C163" i="10"/>
  <c r="F151" i="10"/>
  <c r="G151" i="10" s="1"/>
  <c r="H151" i="10" s="1"/>
  <c r="E157" i="10"/>
  <c r="D157" i="10"/>
  <c r="B169" i="10"/>
  <c r="G178" i="10"/>
  <c r="H178" i="10" s="1"/>
  <c r="C202" i="10"/>
  <c r="F190" i="10"/>
  <c r="G190" i="10" s="1"/>
  <c r="H190" i="10" s="1"/>
  <c r="C162" i="10"/>
  <c r="F150" i="10"/>
  <c r="G150" i="10" s="1"/>
  <c r="H150" i="10" s="1"/>
  <c r="D150" i="10"/>
  <c r="E167" i="10"/>
  <c r="B179" i="10"/>
  <c r="D167" i="10"/>
  <c r="C171" i="10"/>
  <c r="F159" i="10"/>
  <c r="I146" i="10"/>
  <c r="I141" i="10"/>
  <c r="I142" i="10"/>
  <c r="I138" i="10"/>
  <c r="E174" i="10"/>
  <c r="B186" i="10"/>
  <c r="E147" i="10"/>
  <c r="G147" i="10" s="1"/>
  <c r="H147" i="10" s="1"/>
  <c r="D147" i="10"/>
  <c r="B159" i="10"/>
  <c r="B170" i="10"/>
  <c r="E158" i="10"/>
  <c r="D158" i="10"/>
  <c r="C170" i="10"/>
  <c r="F158" i="10"/>
  <c r="G158" i="10" s="1"/>
  <c r="H158" i="10" s="1"/>
  <c r="I139" i="10"/>
  <c r="I140" i="10"/>
  <c r="I136" i="10"/>
  <c r="I135" i="10"/>
  <c r="F167" i="10"/>
  <c r="C179" i="10"/>
  <c r="E153" i="10"/>
  <c r="D153" i="10"/>
  <c r="B165" i="10"/>
  <c r="F149" i="10"/>
  <c r="G149" i="10" s="1"/>
  <c r="H149" i="10" s="1"/>
  <c r="C161" i="10"/>
  <c r="E149" i="10"/>
  <c r="B161" i="10"/>
  <c r="D149" i="10"/>
  <c r="I151" i="10" s="1"/>
  <c r="G137" i="10"/>
  <c r="H137" i="10" s="1"/>
  <c r="B174" i="8"/>
  <c r="E162" i="8"/>
  <c r="D162" i="8"/>
  <c r="E191" i="8"/>
  <c r="G191" i="8" s="1"/>
  <c r="H191" i="8" s="1"/>
  <c r="D191" i="8"/>
  <c r="B203" i="8"/>
  <c r="F169" i="8"/>
  <c r="C181" i="8"/>
  <c r="G157" i="8"/>
  <c r="H157" i="8" s="1"/>
  <c r="I139" i="8"/>
  <c r="B170" i="8"/>
  <c r="D158" i="8"/>
  <c r="E158" i="8"/>
  <c r="F156" i="8"/>
  <c r="C168" i="8"/>
  <c r="F148" i="8"/>
  <c r="C160" i="8"/>
  <c r="G144" i="8"/>
  <c r="H144" i="8" s="1"/>
  <c r="G136" i="8"/>
  <c r="H136" i="8" s="1"/>
  <c r="E147" i="8"/>
  <c r="G147" i="8" s="1"/>
  <c r="H147" i="8" s="1"/>
  <c r="D147" i="8"/>
  <c r="B159" i="8"/>
  <c r="E156" i="8"/>
  <c r="D156" i="8"/>
  <c r="B168" i="8"/>
  <c r="I146" i="8"/>
  <c r="E149" i="8"/>
  <c r="D149" i="8"/>
  <c r="B161" i="8"/>
  <c r="G150" i="8"/>
  <c r="H150" i="8" s="1"/>
  <c r="C170" i="8"/>
  <c r="F158" i="8"/>
  <c r="G158" i="8" s="1"/>
  <c r="H158" i="8" s="1"/>
  <c r="I144" i="8"/>
  <c r="E148" i="8"/>
  <c r="D148" i="8"/>
  <c r="B160" i="8"/>
  <c r="F162" i="8"/>
  <c r="G162" i="8" s="1"/>
  <c r="H162" i="8" s="1"/>
  <c r="C174" i="8"/>
  <c r="E157" i="8"/>
  <c r="D157" i="8"/>
  <c r="B169" i="8"/>
  <c r="L129" i="19"/>
  <c r="B202" i="8"/>
  <c r="E190" i="8"/>
  <c r="I141" i="8"/>
  <c r="F166" i="8"/>
  <c r="G166" i="8" s="1"/>
  <c r="H166" i="8" s="1"/>
  <c r="C178" i="8"/>
  <c r="D166" i="8"/>
  <c r="F161" i="8"/>
  <c r="C173" i="8"/>
  <c r="G149" i="8"/>
  <c r="H149" i="8" s="1"/>
  <c r="E153" i="8"/>
  <c r="G153" i="8" s="1"/>
  <c r="H153" i="8" s="1"/>
  <c r="D153" i="8"/>
  <c r="B165" i="8"/>
  <c r="E152" i="8"/>
  <c r="G152" i="8" s="1"/>
  <c r="H152" i="8" s="1"/>
  <c r="D152" i="8"/>
  <c r="B164" i="8"/>
  <c r="F165" i="8"/>
  <c r="C177" i="8"/>
  <c r="E163" i="8"/>
  <c r="G163" i="8" s="1"/>
  <c r="H163" i="8" s="1"/>
  <c r="D163" i="8"/>
  <c r="B175" i="8"/>
  <c r="F164" i="8"/>
  <c r="C176" i="8"/>
  <c r="I153" i="9"/>
  <c r="I149" i="9"/>
  <c r="I146" i="9"/>
  <c r="E147" i="9"/>
  <c r="G147" i="9" s="1"/>
  <c r="H147" i="9" s="1"/>
  <c r="D147" i="9"/>
  <c r="B159" i="9"/>
  <c r="I145" i="9"/>
  <c r="I141" i="9"/>
  <c r="L128" i="18"/>
  <c r="F159" i="9"/>
  <c r="C171" i="9"/>
  <c r="E146" i="9"/>
  <c r="B158" i="9"/>
  <c r="D146" i="9"/>
  <c r="E155" i="9"/>
  <c r="G155" i="9" s="1"/>
  <c r="H155" i="9" s="1"/>
  <c r="D155" i="9"/>
  <c r="B167" i="9"/>
  <c r="E148" i="9"/>
  <c r="G148" i="9" s="1"/>
  <c r="H148" i="9" s="1"/>
  <c r="D148" i="9"/>
  <c r="B160" i="9"/>
  <c r="F163" i="9"/>
  <c r="C175" i="9"/>
  <c r="F162" i="9"/>
  <c r="C174" i="9"/>
  <c r="E153" i="9"/>
  <c r="D153" i="9"/>
  <c r="B165" i="9"/>
  <c r="E156" i="9"/>
  <c r="G156" i="9" s="1"/>
  <c r="H156" i="9" s="1"/>
  <c r="D156" i="9"/>
  <c r="B168" i="9"/>
  <c r="F157" i="9"/>
  <c r="G157" i="9" s="1"/>
  <c r="H157" i="9" s="1"/>
  <c r="C169" i="9"/>
  <c r="G137" i="9"/>
  <c r="H137" i="9" s="1"/>
  <c r="I140" i="9"/>
  <c r="I142" i="9"/>
  <c r="F149" i="9"/>
  <c r="C161" i="9"/>
  <c r="I139" i="9"/>
  <c r="I144" i="9"/>
  <c r="I140" i="15"/>
  <c r="F167" i="9"/>
  <c r="C179" i="9"/>
  <c r="G134" i="9"/>
  <c r="H134" i="9" s="1"/>
  <c r="I137" i="9"/>
  <c r="I134" i="9"/>
  <c r="E166" i="9"/>
  <c r="B178" i="9"/>
  <c r="D166" i="9"/>
  <c r="E157" i="9"/>
  <c r="D157" i="9"/>
  <c r="B169" i="9"/>
  <c r="E151" i="9"/>
  <c r="G151" i="9" s="1"/>
  <c r="H151" i="9" s="1"/>
  <c r="B163" i="9"/>
  <c r="D151" i="9"/>
  <c r="I151" i="9" s="1"/>
  <c r="I155" i="9"/>
  <c r="I138" i="9"/>
  <c r="E162" i="9"/>
  <c r="D162" i="9"/>
  <c r="B174" i="9"/>
  <c r="G154" i="9"/>
  <c r="H154" i="9" s="1"/>
  <c r="C158" i="9"/>
  <c r="F146" i="9"/>
  <c r="F164" i="9"/>
  <c r="C176" i="9"/>
  <c r="F160" i="9"/>
  <c r="C172" i="9"/>
  <c r="F166" i="9"/>
  <c r="C178" i="9"/>
  <c r="I143" i="9"/>
  <c r="F153" i="9"/>
  <c r="C165" i="9"/>
  <c r="E149" i="9"/>
  <c r="D149" i="9"/>
  <c r="B161" i="9"/>
  <c r="E152" i="9"/>
  <c r="G152" i="9" s="1"/>
  <c r="H152" i="9" s="1"/>
  <c r="D152" i="9"/>
  <c r="B164" i="9"/>
  <c r="G141" i="9"/>
  <c r="H141" i="9" s="1"/>
  <c r="F168" i="9"/>
  <c r="C180" i="9"/>
  <c r="C178" i="16"/>
  <c r="F166" i="16"/>
  <c r="G166" i="16" s="1"/>
  <c r="H166" i="16" s="1"/>
  <c r="C198" i="16"/>
  <c r="F186" i="16"/>
  <c r="G186" i="16" s="1"/>
  <c r="H186" i="16" s="1"/>
  <c r="I145" i="16"/>
  <c r="I141" i="16"/>
  <c r="B176" i="16"/>
  <c r="E164" i="16"/>
  <c r="D164" i="16"/>
  <c r="C159" i="16"/>
  <c r="F147" i="16"/>
  <c r="G146" i="16"/>
  <c r="H146" i="16" s="1"/>
  <c r="G145" i="16"/>
  <c r="H145" i="16" s="1"/>
  <c r="F149" i="16"/>
  <c r="C161" i="16"/>
  <c r="E146" i="16"/>
  <c r="D146" i="16"/>
  <c r="I147" i="16" s="1"/>
  <c r="B158" i="16"/>
  <c r="E204" i="16"/>
  <c r="D204" i="16"/>
  <c r="B216" i="16"/>
  <c r="G137" i="16"/>
  <c r="H137" i="16" s="1"/>
  <c r="F153" i="16"/>
  <c r="C165" i="16"/>
  <c r="F158" i="16"/>
  <c r="C170" i="16"/>
  <c r="C172" i="16"/>
  <c r="F160" i="16"/>
  <c r="I140" i="16"/>
  <c r="F157" i="16"/>
  <c r="C169" i="16"/>
  <c r="L126" i="18"/>
  <c r="L126" i="19"/>
  <c r="G148" i="16"/>
  <c r="H148" i="16" s="1"/>
  <c r="B198" i="16"/>
  <c r="E186" i="16"/>
  <c r="D186" i="16"/>
  <c r="C176" i="16"/>
  <c r="F164" i="16"/>
  <c r="G164" i="16" s="1"/>
  <c r="H164" i="16" s="1"/>
  <c r="I143" i="16"/>
  <c r="B172" i="16"/>
  <c r="E160" i="16"/>
  <c r="D160" i="16"/>
  <c r="I135" i="16"/>
  <c r="I144" i="16"/>
  <c r="E151" i="16"/>
  <c r="D151" i="16"/>
  <c r="B163" i="16"/>
  <c r="E157" i="16"/>
  <c r="D157" i="16"/>
  <c r="B169" i="16"/>
  <c r="E153" i="16"/>
  <c r="D153" i="16"/>
  <c r="B165" i="16"/>
  <c r="C191" i="16"/>
  <c r="F179" i="16"/>
  <c r="L132" i="19"/>
  <c r="L132" i="18"/>
  <c r="L133" i="19"/>
  <c r="L133" i="18"/>
  <c r="L124" i="18"/>
  <c r="L124" i="19"/>
  <c r="L130" i="19"/>
  <c r="L130" i="18"/>
  <c r="I137" i="16"/>
  <c r="I134" i="16"/>
  <c r="G192" i="16"/>
  <c r="H192" i="16" s="1"/>
  <c r="I138" i="16"/>
  <c r="L127" i="18"/>
  <c r="L127" i="19"/>
  <c r="L125" i="18"/>
  <c r="L125" i="19"/>
  <c r="E147" i="16"/>
  <c r="B159" i="16"/>
  <c r="D147" i="16"/>
  <c r="I142" i="16"/>
  <c r="F204" i="16"/>
  <c r="G204" i="16" s="1"/>
  <c r="H204" i="16" s="1"/>
  <c r="C216" i="16"/>
  <c r="G139" i="16"/>
  <c r="H139" i="16" s="1"/>
  <c r="I136" i="16"/>
  <c r="B178" i="16"/>
  <c r="E166" i="16"/>
  <c r="D166" i="16"/>
  <c r="F151" i="16"/>
  <c r="C163" i="16"/>
  <c r="E149" i="16"/>
  <c r="D149" i="16"/>
  <c r="B161" i="16"/>
  <c r="E179" i="16"/>
  <c r="B191" i="16"/>
  <c r="D179" i="16"/>
  <c r="B172" i="15"/>
  <c r="D160" i="15"/>
  <c r="E160" i="15"/>
  <c r="G160" i="15" s="1"/>
  <c r="H160" i="15" s="1"/>
  <c r="B180" i="15"/>
  <c r="E168" i="15"/>
  <c r="D168" i="15"/>
  <c r="E169" i="15"/>
  <c r="B181" i="15"/>
  <c r="C214" i="15"/>
  <c r="F202" i="15"/>
  <c r="E190" i="15"/>
  <c r="D190" i="15"/>
  <c r="B202" i="15"/>
  <c r="I137" i="15"/>
  <c r="F147" i="15"/>
  <c r="G147" i="15" s="1"/>
  <c r="H147" i="15" s="1"/>
  <c r="C159" i="15"/>
  <c r="I138" i="15"/>
  <c r="E159" i="15"/>
  <c r="D159" i="15"/>
  <c r="B171" i="15"/>
  <c r="G156" i="15"/>
  <c r="H156" i="15" s="1"/>
  <c r="F163" i="15"/>
  <c r="G163" i="15" s="1"/>
  <c r="H163" i="15" s="1"/>
  <c r="C175" i="15"/>
  <c r="I139" i="15"/>
  <c r="E177" i="15"/>
  <c r="B189" i="15"/>
  <c r="E146" i="15"/>
  <c r="D146" i="15"/>
  <c r="I146" i="15" s="1"/>
  <c r="B158" i="15"/>
  <c r="G190" i="15"/>
  <c r="H190" i="15" s="1"/>
  <c r="B162" i="15"/>
  <c r="D150" i="15"/>
  <c r="E150" i="15"/>
  <c r="F168" i="15"/>
  <c r="G168" i="15" s="1"/>
  <c r="H168" i="15" s="1"/>
  <c r="C180" i="15"/>
  <c r="E167" i="15"/>
  <c r="D167" i="15"/>
  <c r="B179" i="15"/>
  <c r="I135" i="15"/>
  <c r="F153" i="15"/>
  <c r="G153" i="15" s="1"/>
  <c r="H153" i="15" s="1"/>
  <c r="C165" i="15"/>
  <c r="D153" i="15"/>
  <c r="F146" i="15"/>
  <c r="G146" i="15" s="1"/>
  <c r="H146" i="15" s="1"/>
  <c r="C158" i="15"/>
  <c r="F150" i="15"/>
  <c r="G150" i="15" s="1"/>
  <c r="H150" i="15" s="1"/>
  <c r="C162" i="15"/>
  <c r="E149" i="15"/>
  <c r="D149" i="15"/>
  <c r="B161" i="15"/>
  <c r="F152" i="15"/>
  <c r="G152" i="15" s="1"/>
  <c r="H152" i="15" s="1"/>
  <c r="C164" i="15"/>
  <c r="F157" i="15"/>
  <c r="G157" i="15" s="1"/>
  <c r="H157" i="15" s="1"/>
  <c r="C169" i="15"/>
  <c r="D169" i="15" s="1"/>
  <c r="F184" i="15"/>
  <c r="C196" i="15"/>
  <c r="I145" i="15"/>
  <c r="I134" i="15"/>
  <c r="I143" i="15"/>
  <c r="I142" i="15"/>
  <c r="I141" i="15"/>
  <c r="I144" i="15"/>
  <c r="B175" i="15"/>
  <c r="E163" i="15"/>
  <c r="D163" i="15"/>
  <c r="B176" i="15"/>
  <c r="E164" i="15"/>
  <c r="D164" i="15"/>
  <c r="F167" i="15"/>
  <c r="G167" i="15" s="1"/>
  <c r="H167" i="15" s="1"/>
  <c r="C179" i="15"/>
  <c r="G138" i="15"/>
  <c r="H138" i="15" s="1"/>
  <c r="F149" i="15"/>
  <c r="C161" i="15"/>
  <c r="G137" i="15"/>
  <c r="H137" i="15" s="1"/>
  <c r="I148" i="7"/>
  <c r="G154" i="7"/>
  <c r="H154" i="7" s="1"/>
  <c r="F167" i="7"/>
  <c r="G167" i="7" s="1"/>
  <c r="H167" i="7" s="1"/>
  <c r="C179" i="7"/>
  <c r="D167" i="7"/>
  <c r="I138" i="7"/>
  <c r="G156" i="7"/>
  <c r="H156" i="7" s="1"/>
  <c r="I144" i="7"/>
  <c r="D164" i="7"/>
  <c r="B176" i="7"/>
  <c r="E164" i="7"/>
  <c r="E157" i="7"/>
  <c r="D157" i="7"/>
  <c r="B169" i="7"/>
  <c r="D156" i="7"/>
  <c r="B168" i="7"/>
  <c r="E156" i="7"/>
  <c r="E173" i="7"/>
  <c r="D173" i="7"/>
  <c r="B185" i="7"/>
  <c r="B175" i="7"/>
  <c r="E163" i="7"/>
  <c r="D163" i="7"/>
  <c r="C180" i="7"/>
  <c r="F168" i="7"/>
  <c r="E166" i="7"/>
  <c r="D166" i="7"/>
  <c r="B178" i="7"/>
  <c r="I150" i="7"/>
  <c r="I149" i="7"/>
  <c r="F166" i="7"/>
  <c r="C178" i="7"/>
  <c r="I155" i="7"/>
  <c r="B210" i="7"/>
  <c r="E198" i="7"/>
  <c r="B203" i="7"/>
  <c r="E191" i="7"/>
  <c r="I141" i="7"/>
  <c r="F160" i="7"/>
  <c r="C172" i="7"/>
  <c r="I145" i="7"/>
  <c r="I136" i="7"/>
  <c r="I143" i="7"/>
  <c r="F173" i="7"/>
  <c r="C185" i="7"/>
  <c r="I140" i="7"/>
  <c r="D148" i="7"/>
  <c r="I152" i="7" s="1"/>
  <c r="B160" i="7"/>
  <c r="E148" i="7"/>
  <c r="G148" i="7" s="1"/>
  <c r="H148" i="7" s="1"/>
  <c r="I147" i="7"/>
  <c r="C174" i="7"/>
  <c r="F162" i="7"/>
  <c r="G162" i="7" s="1"/>
  <c r="H162" i="7" s="1"/>
  <c r="D162" i="7"/>
  <c r="F153" i="7"/>
  <c r="C165" i="7"/>
  <c r="G141" i="7"/>
  <c r="H141" i="7" s="1"/>
  <c r="F163" i="7"/>
  <c r="G163" i="7" s="1"/>
  <c r="H163" i="7" s="1"/>
  <c r="C175" i="7"/>
  <c r="F146" i="7"/>
  <c r="G146" i="7" s="1"/>
  <c r="H146" i="7" s="1"/>
  <c r="C158" i="7"/>
  <c r="D158" i="7" s="1"/>
  <c r="I135" i="7"/>
  <c r="B170" i="7"/>
  <c r="E158" i="7"/>
  <c r="F169" i="7"/>
  <c r="C181" i="7"/>
  <c r="G157" i="7"/>
  <c r="H157" i="7" s="1"/>
  <c r="F159" i="7"/>
  <c r="G159" i="7" s="1"/>
  <c r="H159" i="7" s="1"/>
  <c r="C171" i="7"/>
  <c r="D159" i="7"/>
  <c r="C176" i="7"/>
  <c r="F164" i="7"/>
  <c r="G164" i="7" s="1"/>
  <c r="H164" i="7" s="1"/>
  <c r="G152" i="7"/>
  <c r="H152" i="7" s="1"/>
  <c r="E153" i="7"/>
  <c r="B165" i="7"/>
  <c r="D153" i="7"/>
  <c r="I146" i="7"/>
  <c r="I142" i="7"/>
  <c r="F158" i="6"/>
  <c r="C170" i="6"/>
  <c r="E174" i="6"/>
  <c r="D174" i="6"/>
  <c r="B186" i="6"/>
  <c r="K130" i="19"/>
  <c r="I144" i="6"/>
  <c r="G154" i="6"/>
  <c r="H154" i="6" s="1"/>
  <c r="F149" i="6"/>
  <c r="G149" i="6" s="1"/>
  <c r="H149" i="6" s="1"/>
  <c r="C161" i="6"/>
  <c r="E156" i="6"/>
  <c r="D156" i="6"/>
  <c r="B168" i="6"/>
  <c r="C178" i="6"/>
  <c r="F166" i="6"/>
  <c r="G137" i="6"/>
  <c r="H137" i="6" s="1"/>
  <c r="F157" i="6"/>
  <c r="C169" i="6"/>
  <c r="F148" i="6"/>
  <c r="C160" i="6"/>
  <c r="I143" i="6"/>
  <c r="E151" i="6"/>
  <c r="G151" i="6" s="1"/>
  <c r="H151" i="6" s="1"/>
  <c r="D151" i="6"/>
  <c r="B163" i="6"/>
  <c r="I145" i="6"/>
  <c r="F156" i="6"/>
  <c r="G156" i="6" s="1"/>
  <c r="H156" i="6" s="1"/>
  <c r="C168" i="6"/>
  <c r="I138" i="6"/>
  <c r="I140" i="6"/>
  <c r="I136" i="6"/>
  <c r="E157" i="6"/>
  <c r="D157" i="6"/>
  <c r="B169" i="6"/>
  <c r="E153" i="6"/>
  <c r="D153" i="6"/>
  <c r="B165" i="6"/>
  <c r="G144" i="6"/>
  <c r="H144" i="6" s="1"/>
  <c r="B178" i="6"/>
  <c r="E166" i="6"/>
  <c r="D166" i="6"/>
  <c r="E155" i="6"/>
  <c r="G155" i="6" s="1"/>
  <c r="H155" i="6" s="1"/>
  <c r="D155" i="6"/>
  <c r="B167" i="6"/>
  <c r="E158" i="6"/>
  <c r="D158" i="6"/>
  <c r="B170" i="6"/>
  <c r="I146" i="6"/>
  <c r="K127" i="18"/>
  <c r="F174" i="6"/>
  <c r="G174" i="6" s="1"/>
  <c r="H174" i="6" s="1"/>
  <c r="C186" i="6"/>
  <c r="G162" i="6"/>
  <c r="H162" i="6" s="1"/>
  <c r="E148" i="6"/>
  <c r="D148" i="6"/>
  <c r="B160" i="6"/>
  <c r="E149" i="6"/>
  <c r="D149" i="6"/>
  <c r="B161" i="6"/>
  <c r="E152" i="6"/>
  <c r="D152" i="6"/>
  <c r="B164" i="6"/>
  <c r="E147" i="6"/>
  <c r="G147" i="6" s="1"/>
  <c r="H147" i="6" s="1"/>
  <c r="D147" i="6"/>
  <c r="I154" i="6" s="1"/>
  <c r="B159" i="6"/>
  <c r="F152" i="6"/>
  <c r="C164" i="6"/>
  <c r="F153" i="6"/>
  <c r="C165" i="6"/>
  <c r="I142" i="6"/>
  <c r="E170" i="5"/>
  <c r="B182" i="5"/>
  <c r="E166" i="5"/>
  <c r="D166" i="5"/>
  <c r="B178" i="5"/>
  <c r="I143" i="18"/>
  <c r="E149" i="5"/>
  <c r="D149" i="5"/>
  <c r="B161" i="5"/>
  <c r="E215" i="5"/>
  <c r="B227" i="5"/>
  <c r="E180" i="5"/>
  <c r="B192" i="5"/>
  <c r="E157" i="5"/>
  <c r="G157" i="5" s="1"/>
  <c r="H157" i="5" s="1"/>
  <c r="D157" i="5"/>
  <c r="B169" i="5"/>
  <c r="I155" i="5"/>
  <c r="F156" i="5"/>
  <c r="G156" i="5" s="1"/>
  <c r="H156" i="5" s="1"/>
  <c r="C168" i="5"/>
  <c r="D156" i="5"/>
  <c r="I141" i="5"/>
  <c r="D195" i="5"/>
  <c r="E195" i="5"/>
  <c r="B207" i="5"/>
  <c r="E163" i="5"/>
  <c r="D163" i="5"/>
  <c r="B175" i="5"/>
  <c r="I138" i="5"/>
  <c r="E174" i="5"/>
  <c r="D174" i="5"/>
  <c r="B186" i="5"/>
  <c r="G195" i="5"/>
  <c r="H195" i="5" s="1"/>
  <c r="F162" i="5"/>
  <c r="G162" i="5" s="1"/>
  <c r="H162" i="5" s="1"/>
  <c r="C174" i="5"/>
  <c r="F165" i="5"/>
  <c r="C177" i="5"/>
  <c r="F155" i="5"/>
  <c r="G155" i="5" s="1"/>
  <c r="H155" i="5" s="1"/>
  <c r="C167" i="5"/>
  <c r="D155" i="5"/>
  <c r="E165" i="5"/>
  <c r="D165" i="5"/>
  <c r="B177" i="5"/>
  <c r="K126" i="18"/>
  <c r="D152" i="5"/>
  <c r="E152" i="5"/>
  <c r="B164" i="5"/>
  <c r="F207" i="5"/>
  <c r="C219" i="5"/>
  <c r="F219" i="5" s="1"/>
  <c r="G151" i="5"/>
  <c r="H151" i="5" s="1"/>
  <c r="I154" i="5"/>
  <c r="C175" i="5"/>
  <c r="F163" i="5"/>
  <c r="I147" i="25"/>
  <c r="F158" i="5"/>
  <c r="G158" i="5" s="1"/>
  <c r="H158" i="5" s="1"/>
  <c r="C170" i="5"/>
  <c r="I151" i="5"/>
  <c r="I149" i="5"/>
  <c r="E184" i="5"/>
  <c r="B196" i="5"/>
  <c r="I147" i="5"/>
  <c r="I146" i="5"/>
  <c r="I145" i="5"/>
  <c r="F166" i="5"/>
  <c r="C178" i="5"/>
  <c r="F148" i="5"/>
  <c r="G148" i="5" s="1"/>
  <c r="H148" i="5" s="1"/>
  <c r="C160" i="5"/>
  <c r="D148" i="5"/>
  <c r="K125" i="19"/>
  <c r="C173" i="5"/>
  <c r="F161" i="5"/>
  <c r="G154" i="5"/>
  <c r="H154" i="5" s="1"/>
  <c r="I143" i="5"/>
  <c r="F152" i="5"/>
  <c r="C164" i="5"/>
  <c r="I144" i="5"/>
  <c r="G149" i="5"/>
  <c r="H149" i="5" s="1"/>
  <c r="I142" i="5"/>
  <c r="F169" i="5"/>
  <c r="C181" i="5"/>
  <c r="I140" i="5"/>
  <c r="E155" i="4"/>
  <c r="G155" i="4" s="1"/>
  <c r="H155" i="4" s="1"/>
  <c r="B167" i="4"/>
  <c r="D155" i="4"/>
  <c r="I142" i="4"/>
  <c r="I141" i="4"/>
  <c r="G152" i="4"/>
  <c r="H152" i="4" s="1"/>
  <c r="I140" i="4"/>
  <c r="D153" i="4"/>
  <c r="B165" i="4"/>
  <c r="E153" i="4"/>
  <c r="K131" i="18"/>
  <c r="K123" i="19"/>
  <c r="D169" i="4"/>
  <c r="B181" i="4"/>
  <c r="E169" i="4"/>
  <c r="I146" i="4"/>
  <c r="F153" i="4"/>
  <c r="G153" i="4" s="1"/>
  <c r="H153" i="4" s="1"/>
  <c r="C165" i="4"/>
  <c r="I158" i="4"/>
  <c r="I151" i="4"/>
  <c r="I150" i="4"/>
  <c r="G141" i="4"/>
  <c r="H141" i="4" s="1"/>
  <c r="E159" i="4"/>
  <c r="B171" i="4"/>
  <c r="D159" i="4"/>
  <c r="E170" i="4"/>
  <c r="B182" i="4"/>
  <c r="D170" i="4"/>
  <c r="F192" i="4"/>
  <c r="C204" i="4"/>
  <c r="I143" i="4"/>
  <c r="I139" i="4"/>
  <c r="C176" i="4"/>
  <c r="F164" i="4"/>
  <c r="D149" i="4"/>
  <c r="E149" i="4"/>
  <c r="B161" i="4"/>
  <c r="D152" i="4"/>
  <c r="B164" i="4"/>
  <c r="E152" i="4"/>
  <c r="I138" i="4"/>
  <c r="F170" i="4"/>
  <c r="G170" i="4" s="1"/>
  <c r="H170" i="4" s="1"/>
  <c r="C182" i="4"/>
  <c r="I146" i="25"/>
  <c r="C187" i="4"/>
  <c r="F175" i="4"/>
  <c r="F166" i="4"/>
  <c r="C178" i="4"/>
  <c r="C172" i="4"/>
  <c r="F160" i="4"/>
  <c r="F167" i="4"/>
  <c r="C179" i="4"/>
  <c r="B178" i="4"/>
  <c r="D166" i="4"/>
  <c r="E166" i="4"/>
  <c r="G154" i="4"/>
  <c r="H154" i="4" s="1"/>
  <c r="D156" i="4"/>
  <c r="B168" i="4"/>
  <c r="E156" i="4"/>
  <c r="G156" i="4" s="1"/>
  <c r="H156" i="4" s="1"/>
  <c r="I142" i="23"/>
  <c r="E175" i="4"/>
  <c r="B187" i="4"/>
  <c r="D175" i="4"/>
  <c r="F157" i="4"/>
  <c r="G157" i="4" s="1"/>
  <c r="H157" i="4" s="1"/>
  <c r="C169" i="4"/>
  <c r="F149" i="4"/>
  <c r="G149" i="4" s="1"/>
  <c r="H149" i="4" s="1"/>
  <c r="C161" i="4"/>
  <c r="F150" i="4"/>
  <c r="G150" i="4" s="1"/>
  <c r="H150" i="4" s="1"/>
  <c r="C162" i="4"/>
  <c r="I143" i="25"/>
  <c r="G137" i="4"/>
  <c r="H137" i="4" s="1"/>
  <c r="D150" i="4"/>
  <c r="D148" i="4"/>
  <c r="I148" i="4" s="1"/>
  <c r="B160" i="4"/>
  <c r="E148" i="4"/>
  <c r="G148" i="4" s="1"/>
  <c r="H148" i="4" s="1"/>
  <c r="G147" i="4"/>
  <c r="H147" i="4" s="1"/>
  <c r="E162" i="4"/>
  <c r="B174" i="4"/>
  <c r="D162" i="4"/>
  <c r="I147" i="4"/>
  <c r="I145" i="4"/>
  <c r="C171" i="4"/>
  <c r="F159" i="4"/>
  <c r="G159" i="4" s="1"/>
  <c r="H159" i="4" s="1"/>
  <c r="I144" i="4"/>
  <c r="F169" i="3"/>
  <c r="C181" i="3"/>
  <c r="B175" i="3"/>
  <c r="E163" i="3"/>
  <c r="D163" i="3"/>
  <c r="I143" i="14"/>
  <c r="I152" i="3"/>
  <c r="B191" i="3"/>
  <c r="E179" i="3"/>
  <c r="C190" i="3"/>
  <c r="F178" i="3"/>
  <c r="G178" i="3" s="1"/>
  <c r="H178" i="3" s="1"/>
  <c r="I147" i="3"/>
  <c r="I150" i="3"/>
  <c r="B170" i="3"/>
  <c r="E158" i="3"/>
  <c r="D158" i="3"/>
  <c r="C186" i="3"/>
  <c r="F174" i="3"/>
  <c r="G174" i="3" s="1"/>
  <c r="H174" i="3" s="1"/>
  <c r="C201" i="3"/>
  <c r="F189" i="3"/>
  <c r="G162" i="3"/>
  <c r="H162" i="3" s="1"/>
  <c r="I144" i="3"/>
  <c r="E157" i="3"/>
  <c r="G157" i="3" s="1"/>
  <c r="H157" i="3" s="1"/>
  <c r="B169" i="3"/>
  <c r="D157" i="3"/>
  <c r="E153" i="3"/>
  <c r="G153" i="3" s="1"/>
  <c r="H153" i="3" s="1"/>
  <c r="D153" i="3"/>
  <c r="B165" i="3"/>
  <c r="E160" i="3"/>
  <c r="G160" i="3" s="1"/>
  <c r="H160" i="3" s="1"/>
  <c r="D160" i="3"/>
  <c r="B172" i="3"/>
  <c r="E168" i="3"/>
  <c r="D168" i="3"/>
  <c r="B180" i="3"/>
  <c r="G147" i="3"/>
  <c r="H147" i="3" s="1"/>
  <c r="C171" i="3"/>
  <c r="F159" i="3"/>
  <c r="F152" i="3"/>
  <c r="G152" i="3" s="1"/>
  <c r="H152" i="3" s="1"/>
  <c r="C164" i="3"/>
  <c r="D159" i="3"/>
  <c r="B171" i="3"/>
  <c r="E159" i="3"/>
  <c r="C175" i="3"/>
  <c r="F163" i="3"/>
  <c r="G163" i="3" s="1"/>
  <c r="H163" i="3" s="1"/>
  <c r="I148" i="3"/>
  <c r="I143" i="3"/>
  <c r="G173" i="3"/>
  <c r="H173" i="3" s="1"/>
  <c r="C167" i="3"/>
  <c r="F155" i="3"/>
  <c r="G155" i="3" s="1"/>
  <c r="H155" i="3" s="1"/>
  <c r="D155" i="3"/>
  <c r="B202" i="3"/>
  <c r="E190" i="3"/>
  <c r="D190" i="3"/>
  <c r="I145" i="3"/>
  <c r="C220" i="3"/>
  <c r="F220" i="3" s="1"/>
  <c r="F208" i="3"/>
  <c r="E173" i="3"/>
  <c r="B185" i="3"/>
  <c r="D173" i="3"/>
  <c r="F185" i="3"/>
  <c r="C197" i="3"/>
  <c r="B186" i="3"/>
  <c r="E174" i="3"/>
  <c r="D174" i="3"/>
  <c r="C168" i="3"/>
  <c r="F156" i="3"/>
  <c r="G156" i="3" s="1"/>
  <c r="H156" i="3" s="1"/>
  <c r="C170" i="3"/>
  <c r="F158" i="3"/>
  <c r="G158" i="3" s="1"/>
  <c r="H158" i="3" s="1"/>
  <c r="G151" i="3"/>
  <c r="H151" i="3" s="1"/>
  <c r="I139" i="13"/>
  <c r="K139" i="19" s="1"/>
  <c r="I149" i="3"/>
  <c r="E164" i="3"/>
  <c r="D164" i="3"/>
  <c r="B176" i="3"/>
  <c r="I151" i="3"/>
  <c r="F154" i="25"/>
  <c r="G154" i="25" s="1"/>
  <c r="H154" i="25" s="1"/>
  <c r="C166" i="25"/>
  <c r="I148" i="25"/>
  <c r="G156" i="25"/>
  <c r="H156" i="25" s="1"/>
  <c r="B210" i="25"/>
  <c r="E198" i="25"/>
  <c r="F175" i="25"/>
  <c r="G175" i="25" s="1"/>
  <c r="H175" i="25" s="1"/>
  <c r="C187" i="25"/>
  <c r="D175" i="25"/>
  <c r="F170" i="25"/>
  <c r="G170" i="25" s="1"/>
  <c r="H170" i="25" s="1"/>
  <c r="C182" i="25"/>
  <c r="F159" i="25"/>
  <c r="G159" i="25" s="1"/>
  <c r="H159" i="25" s="1"/>
  <c r="C171" i="25"/>
  <c r="D170" i="25"/>
  <c r="B178" i="25"/>
  <c r="D166" i="25"/>
  <c r="E166" i="25"/>
  <c r="F157" i="25"/>
  <c r="G157" i="25" s="1"/>
  <c r="H157" i="25" s="1"/>
  <c r="C169" i="25"/>
  <c r="F173" i="25"/>
  <c r="G173" i="25" s="1"/>
  <c r="H173" i="25" s="1"/>
  <c r="C185" i="25"/>
  <c r="C180" i="25"/>
  <c r="F168" i="25"/>
  <c r="G168" i="25" s="1"/>
  <c r="H168" i="25" s="1"/>
  <c r="F153" i="25"/>
  <c r="G153" i="25" s="1"/>
  <c r="H153" i="25" s="1"/>
  <c r="C165" i="25"/>
  <c r="F167" i="25"/>
  <c r="G167" i="25" s="1"/>
  <c r="H167" i="25" s="1"/>
  <c r="C179" i="25"/>
  <c r="E173" i="25"/>
  <c r="B185" i="25"/>
  <c r="D173" i="25"/>
  <c r="D154" i="25"/>
  <c r="G145" i="25"/>
  <c r="H145" i="25" s="1"/>
  <c r="D159" i="25"/>
  <c r="E159" i="25"/>
  <c r="B171" i="25"/>
  <c r="C174" i="25"/>
  <c r="F162" i="25"/>
  <c r="G162" i="25" s="1"/>
  <c r="H162" i="25" s="1"/>
  <c r="D162" i="25"/>
  <c r="I152" i="25"/>
  <c r="I141" i="25"/>
  <c r="I151" i="25"/>
  <c r="I150" i="25"/>
  <c r="I145" i="25"/>
  <c r="E153" i="25"/>
  <c r="D153" i="25"/>
  <c r="B165" i="25"/>
  <c r="B180" i="25"/>
  <c r="E168" i="25"/>
  <c r="D168" i="25"/>
  <c r="C176" i="25"/>
  <c r="F164" i="25"/>
  <c r="G164" i="25" s="1"/>
  <c r="H164" i="25" s="1"/>
  <c r="I149" i="25"/>
  <c r="I144" i="25"/>
  <c r="B194" i="25"/>
  <c r="E182" i="25"/>
  <c r="I142" i="25"/>
  <c r="E167" i="25"/>
  <c r="D167" i="25"/>
  <c r="B179" i="25"/>
  <c r="E157" i="25"/>
  <c r="B169" i="25"/>
  <c r="D157" i="25"/>
  <c r="B211" i="25"/>
  <c r="E199" i="25"/>
  <c r="D164" i="25"/>
  <c r="B188" i="25"/>
  <c r="E176" i="25"/>
  <c r="G144" i="14"/>
  <c r="H144" i="14" s="1"/>
  <c r="E156" i="14"/>
  <c r="D156" i="14"/>
  <c r="B168" i="14"/>
  <c r="F187" i="14"/>
  <c r="C199" i="14"/>
  <c r="E190" i="14"/>
  <c r="B202" i="14"/>
  <c r="D190" i="14"/>
  <c r="I140" i="14"/>
  <c r="I142" i="14"/>
  <c r="G190" i="14"/>
  <c r="H190" i="14" s="1"/>
  <c r="C174" i="14"/>
  <c r="F162" i="14"/>
  <c r="G162" i="14" s="1"/>
  <c r="H162" i="14" s="1"/>
  <c r="B174" i="14"/>
  <c r="D162" i="14"/>
  <c r="E162" i="14"/>
  <c r="E152" i="14"/>
  <c r="G152" i="14" s="1"/>
  <c r="H152" i="14" s="1"/>
  <c r="D152" i="14"/>
  <c r="B164" i="14"/>
  <c r="I137" i="14"/>
  <c r="I139" i="14"/>
  <c r="I138" i="14"/>
  <c r="E151" i="14"/>
  <c r="G151" i="14" s="1"/>
  <c r="H151" i="14" s="1"/>
  <c r="D151" i="14"/>
  <c r="B163" i="14"/>
  <c r="F179" i="14"/>
  <c r="C191" i="14"/>
  <c r="E155" i="14"/>
  <c r="G155" i="14" s="1"/>
  <c r="H155" i="14" s="1"/>
  <c r="D155" i="14"/>
  <c r="B167" i="14"/>
  <c r="F156" i="14"/>
  <c r="C168" i="14"/>
  <c r="E169" i="14"/>
  <c r="G169" i="14" s="1"/>
  <c r="H169" i="14" s="1"/>
  <c r="B181" i="14"/>
  <c r="D169" i="14"/>
  <c r="C170" i="14"/>
  <c r="F158" i="14"/>
  <c r="G158" i="14" s="1"/>
  <c r="H158" i="14" s="1"/>
  <c r="C214" i="14"/>
  <c r="F202" i="14"/>
  <c r="F164" i="14"/>
  <c r="C176" i="14"/>
  <c r="E165" i="14"/>
  <c r="G165" i="14" s="1"/>
  <c r="H165" i="14" s="1"/>
  <c r="B177" i="14"/>
  <c r="D165" i="14"/>
  <c r="I150" i="22"/>
  <c r="G136" i="14"/>
  <c r="H136" i="14" s="1"/>
  <c r="I146" i="14"/>
  <c r="I145" i="14"/>
  <c r="I144" i="14"/>
  <c r="I136" i="14"/>
  <c r="I141" i="14"/>
  <c r="F183" i="14"/>
  <c r="C195" i="14"/>
  <c r="C160" i="14"/>
  <c r="F148" i="14"/>
  <c r="E161" i="14"/>
  <c r="G161" i="14" s="1"/>
  <c r="H161" i="14" s="1"/>
  <c r="B173" i="14"/>
  <c r="D161" i="14"/>
  <c r="I144" i="22"/>
  <c r="I135" i="14"/>
  <c r="D170" i="14"/>
  <c r="B182" i="14"/>
  <c r="E170" i="14"/>
  <c r="E148" i="14"/>
  <c r="D148" i="14"/>
  <c r="B160" i="14"/>
  <c r="E147" i="14"/>
  <c r="G147" i="14" s="1"/>
  <c r="H147" i="14" s="1"/>
  <c r="D147" i="14"/>
  <c r="B159" i="14"/>
  <c r="K129" i="19"/>
  <c r="K129" i="18"/>
  <c r="D155" i="13"/>
  <c r="E155" i="13"/>
  <c r="B167" i="13"/>
  <c r="I137" i="13"/>
  <c r="I138" i="13"/>
  <c r="B183" i="13"/>
  <c r="E171" i="13"/>
  <c r="I148" i="18"/>
  <c r="C179" i="13"/>
  <c r="F167" i="13"/>
  <c r="E154" i="13"/>
  <c r="B166" i="13"/>
  <c r="D154" i="13"/>
  <c r="F194" i="13"/>
  <c r="C206" i="13"/>
  <c r="F169" i="13"/>
  <c r="G169" i="13" s="1"/>
  <c r="H169" i="13" s="1"/>
  <c r="C181" i="13"/>
  <c r="K128" i="19"/>
  <c r="K128" i="18"/>
  <c r="F149" i="13"/>
  <c r="G149" i="13" s="1"/>
  <c r="H149" i="13" s="1"/>
  <c r="C161" i="13"/>
  <c r="I146" i="13"/>
  <c r="I136" i="13"/>
  <c r="C159" i="13"/>
  <c r="F147" i="13"/>
  <c r="G147" i="13" s="1"/>
  <c r="H147" i="13" s="1"/>
  <c r="D147" i="13"/>
  <c r="I139" i="18"/>
  <c r="E152" i="13"/>
  <c r="B164" i="13"/>
  <c r="D152" i="13"/>
  <c r="C187" i="13"/>
  <c r="F175" i="13"/>
  <c r="F148" i="13"/>
  <c r="G148" i="13" s="1"/>
  <c r="H148" i="13" s="1"/>
  <c r="C160" i="13"/>
  <c r="G155" i="13"/>
  <c r="H155" i="13" s="1"/>
  <c r="K134" i="19"/>
  <c r="K134" i="18"/>
  <c r="F156" i="13"/>
  <c r="G156" i="13" s="1"/>
  <c r="H156" i="13" s="1"/>
  <c r="C168" i="13"/>
  <c r="I144" i="18"/>
  <c r="E177" i="13"/>
  <c r="B189" i="13"/>
  <c r="I135" i="13"/>
  <c r="I141" i="13"/>
  <c r="I140" i="13"/>
  <c r="I138" i="23"/>
  <c r="K132" i="18"/>
  <c r="K132" i="19"/>
  <c r="I142" i="13"/>
  <c r="K133" i="19"/>
  <c r="K133" i="18"/>
  <c r="I143" i="13"/>
  <c r="F153" i="13"/>
  <c r="G153" i="13" s="1"/>
  <c r="H153" i="13" s="1"/>
  <c r="C165" i="13"/>
  <c r="D153" i="13"/>
  <c r="F152" i="13"/>
  <c r="G152" i="13" s="1"/>
  <c r="H152" i="13" s="1"/>
  <c r="C164" i="13"/>
  <c r="I135" i="23"/>
  <c r="G140" i="13"/>
  <c r="H140" i="13" s="1"/>
  <c r="E174" i="13"/>
  <c r="B186" i="13"/>
  <c r="D174" i="13"/>
  <c r="E156" i="13"/>
  <c r="B168" i="13"/>
  <c r="D156" i="13"/>
  <c r="E161" i="13"/>
  <c r="B173" i="13"/>
  <c r="D149" i="13"/>
  <c r="D151" i="13"/>
  <c r="B163" i="13"/>
  <c r="E151" i="13"/>
  <c r="G151" i="13" s="1"/>
  <c r="H151" i="13" s="1"/>
  <c r="E158" i="13"/>
  <c r="G158" i="13" s="1"/>
  <c r="H158" i="13" s="1"/>
  <c r="D158" i="13"/>
  <c r="B170" i="13"/>
  <c r="F174" i="13"/>
  <c r="G174" i="13" s="1"/>
  <c r="H174" i="13" s="1"/>
  <c r="C186" i="13"/>
  <c r="F154" i="13"/>
  <c r="G154" i="13" s="1"/>
  <c r="H154" i="13" s="1"/>
  <c r="C166" i="13"/>
  <c r="G162" i="13"/>
  <c r="H162" i="13" s="1"/>
  <c r="E148" i="13"/>
  <c r="B160" i="13"/>
  <c r="D148" i="13"/>
  <c r="D169" i="13"/>
  <c r="I144" i="13"/>
  <c r="E181" i="13"/>
  <c r="B193" i="13"/>
  <c r="I145" i="13"/>
  <c r="E181" i="19"/>
  <c r="D181" i="19"/>
  <c r="B193" i="19"/>
  <c r="B176" i="19"/>
  <c r="E164" i="19"/>
  <c r="F150" i="19"/>
  <c r="C162" i="19"/>
  <c r="I140" i="19"/>
  <c r="I138" i="19"/>
  <c r="B183" i="19"/>
  <c r="D171" i="19"/>
  <c r="E171" i="19"/>
  <c r="G169" i="19"/>
  <c r="H169" i="19" s="1"/>
  <c r="J169" i="19" s="1"/>
  <c r="C193" i="19"/>
  <c r="F181" i="19"/>
  <c r="G175" i="19"/>
  <c r="H175" i="19" s="1"/>
  <c r="J175" i="19" s="1"/>
  <c r="I143" i="19"/>
  <c r="F192" i="19"/>
  <c r="C204" i="19"/>
  <c r="E150" i="19"/>
  <c r="D150" i="19"/>
  <c r="B162" i="19"/>
  <c r="F184" i="19"/>
  <c r="C196" i="19"/>
  <c r="B168" i="19"/>
  <c r="D156" i="19"/>
  <c r="E156" i="19"/>
  <c r="G156" i="19" s="1"/>
  <c r="H156" i="19" s="1"/>
  <c r="J156" i="19" s="1"/>
  <c r="F154" i="19"/>
  <c r="C166" i="19"/>
  <c r="I145" i="19"/>
  <c r="I144" i="19"/>
  <c r="I142" i="19"/>
  <c r="I139" i="19"/>
  <c r="G173" i="19"/>
  <c r="H173" i="19" s="1"/>
  <c r="J173" i="19" s="1"/>
  <c r="C183" i="19"/>
  <c r="F171" i="19"/>
  <c r="G171" i="19" s="1"/>
  <c r="H171" i="19" s="1"/>
  <c r="J171" i="19" s="1"/>
  <c r="E146" i="19"/>
  <c r="D146" i="19"/>
  <c r="I148" i="19" s="1"/>
  <c r="B158" i="19"/>
  <c r="G134" i="19"/>
  <c r="H134" i="19" s="1"/>
  <c r="J134" i="19" s="1"/>
  <c r="E172" i="19"/>
  <c r="G172" i="19" s="1"/>
  <c r="H172" i="19" s="1"/>
  <c r="J172" i="19" s="1"/>
  <c r="D172" i="19"/>
  <c r="B184" i="19"/>
  <c r="F146" i="19"/>
  <c r="G146" i="19" s="1"/>
  <c r="H146" i="19" s="1"/>
  <c r="J146" i="19" s="1"/>
  <c r="C158" i="19"/>
  <c r="E153" i="19"/>
  <c r="G153" i="19" s="1"/>
  <c r="H153" i="19" s="1"/>
  <c r="J153" i="19" s="1"/>
  <c r="D153" i="19"/>
  <c r="B165" i="19"/>
  <c r="C179" i="19"/>
  <c r="F167" i="19"/>
  <c r="G167" i="19" s="1"/>
  <c r="H167" i="19" s="1"/>
  <c r="J167" i="19" s="1"/>
  <c r="C199" i="19"/>
  <c r="F187" i="19"/>
  <c r="I141" i="19"/>
  <c r="F201" i="19"/>
  <c r="C213" i="19"/>
  <c r="I135" i="19"/>
  <c r="E167" i="19"/>
  <c r="D167" i="19"/>
  <c r="B179" i="19"/>
  <c r="B185" i="19"/>
  <c r="E173" i="19"/>
  <c r="D173" i="19"/>
  <c r="I134" i="19"/>
  <c r="D175" i="19"/>
  <c r="E175" i="19"/>
  <c r="B187" i="19"/>
  <c r="I137" i="19"/>
  <c r="D154" i="19"/>
  <c r="E154" i="19"/>
  <c r="B166" i="19"/>
  <c r="F152" i="19"/>
  <c r="G152" i="19" s="1"/>
  <c r="H152" i="19" s="1"/>
  <c r="J152" i="19" s="1"/>
  <c r="C164" i="19"/>
  <c r="C197" i="19"/>
  <c r="F185" i="19"/>
  <c r="D149" i="18"/>
  <c r="I151" i="18" s="1"/>
  <c r="B161" i="18"/>
  <c r="E149" i="18"/>
  <c r="E158" i="18"/>
  <c r="D158" i="18"/>
  <c r="B170" i="18"/>
  <c r="F164" i="18"/>
  <c r="G164" i="18" s="1"/>
  <c r="H164" i="18" s="1"/>
  <c r="J164" i="18" s="1"/>
  <c r="C176" i="18"/>
  <c r="I141" i="18"/>
  <c r="C184" i="18"/>
  <c r="F172" i="18"/>
  <c r="E165" i="18"/>
  <c r="D165" i="18"/>
  <c r="B177" i="18"/>
  <c r="I145" i="18"/>
  <c r="D160" i="18"/>
  <c r="E160" i="18"/>
  <c r="G160" i="18" s="1"/>
  <c r="H160" i="18" s="1"/>
  <c r="J160" i="18" s="1"/>
  <c r="B172" i="18"/>
  <c r="G153" i="18"/>
  <c r="H153" i="18" s="1"/>
  <c r="J153" i="18" s="1"/>
  <c r="I140" i="18"/>
  <c r="C177" i="18"/>
  <c r="F165" i="18"/>
  <c r="G165" i="18" s="1"/>
  <c r="H165" i="18" s="1"/>
  <c r="J165" i="18" s="1"/>
  <c r="B175" i="18"/>
  <c r="E163" i="18"/>
  <c r="D163" i="18"/>
  <c r="C161" i="18"/>
  <c r="F149" i="18"/>
  <c r="G149" i="18" s="1"/>
  <c r="H149" i="18" s="1"/>
  <c r="J149" i="18" s="1"/>
  <c r="D179" i="18"/>
  <c r="E179" i="18"/>
  <c r="B191" i="18"/>
  <c r="B210" i="18"/>
  <c r="E198" i="18"/>
  <c r="E192" i="18"/>
  <c r="B204" i="18"/>
  <c r="F163" i="18"/>
  <c r="G163" i="18" s="1"/>
  <c r="H163" i="18" s="1"/>
  <c r="J163" i="18" s="1"/>
  <c r="C175" i="18"/>
  <c r="B171" i="18"/>
  <c r="E159" i="18"/>
  <c r="D159" i="18"/>
  <c r="F154" i="18"/>
  <c r="C166" i="18"/>
  <c r="E154" i="18"/>
  <c r="D154" i="18"/>
  <c r="B166" i="18"/>
  <c r="G137" i="18"/>
  <c r="H137" i="18" s="1"/>
  <c r="J137" i="18" s="1"/>
  <c r="B181" i="18"/>
  <c r="E169" i="18"/>
  <c r="D169" i="18"/>
  <c r="B176" i="18"/>
  <c r="E164" i="18"/>
  <c r="D164" i="18"/>
  <c r="C186" i="18"/>
  <c r="F174" i="18"/>
  <c r="G174" i="18" s="1"/>
  <c r="H174" i="18" s="1"/>
  <c r="J174" i="18" s="1"/>
  <c r="D174" i="18"/>
  <c r="C180" i="18"/>
  <c r="F168" i="18"/>
  <c r="G168" i="18" s="1"/>
  <c r="H168" i="18" s="1"/>
  <c r="J168" i="18" s="1"/>
  <c r="D168" i="18"/>
  <c r="I147" i="18"/>
  <c r="C171" i="18"/>
  <c r="F159" i="18"/>
  <c r="G158" i="18"/>
  <c r="H158" i="18" s="1"/>
  <c r="J158" i="18" s="1"/>
  <c r="I142" i="18"/>
  <c r="I146" i="18"/>
  <c r="F169" i="18"/>
  <c r="C181" i="18"/>
  <c r="F179" i="18"/>
  <c r="G179" i="18" s="1"/>
  <c r="H179" i="18" s="1"/>
  <c r="J179" i="18" s="1"/>
  <c r="C191" i="18"/>
  <c r="F170" i="18"/>
  <c r="C182" i="18"/>
  <c r="I138" i="18"/>
  <c r="F193" i="22"/>
  <c r="C205" i="22"/>
  <c r="I140" i="22"/>
  <c r="C174" i="22"/>
  <c r="F162" i="22"/>
  <c r="G162" i="22" s="1"/>
  <c r="H162" i="22" s="1"/>
  <c r="D162" i="22"/>
  <c r="E159" i="22"/>
  <c r="G159" i="22" s="1"/>
  <c r="H159" i="22" s="1"/>
  <c r="D159" i="22"/>
  <c r="B171" i="22"/>
  <c r="D164" i="22"/>
  <c r="B176" i="22"/>
  <c r="E164" i="22"/>
  <c r="E151" i="22"/>
  <c r="G151" i="22" s="1"/>
  <c r="H151" i="22" s="1"/>
  <c r="D151" i="22"/>
  <c r="I153" i="22" s="1"/>
  <c r="B163" i="22"/>
  <c r="E161" i="22"/>
  <c r="D161" i="22"/>
  <c r="B173" i="22"/>
  <c r="I146" i="22"/>
  <c r="D160" i="22"/>
  <c r="B172" i="22"/>
  <c r="E160" i="22"/>
  <c r="E170" i="22"/>
  <c r="D170" i="22"/>
  <c r="B182" i="22"/>
  <c r="I147" i="22"/>
  <c r="F170" i="22"/>
  <c r="C182" i="22"/>
  <c r="I143" i="22"/>
  <c r="G148" i="22"/>
  <c r="H148" i="22" s="1"/>
  <c r="F161" i="22"/>
  <c r="C173" i="22"/>
  <c r="E169" i="22"/>
  <c r="G169" i="22" s="1"/>
  <c r="H169" i="22" s="1"/>
  <c r="D169" i="22"/>
  <c r="B181" i="22"/>
  <c r="I142" i="22"/>
  <c r="F168" i="22"/>
  <c r="C180" i="22"/>
  <c r="F163" i="22"/>
  <c r="C175" i="22"/>
  <c r="D168" i="22"/>
  <c r="B180" i="22"/>
  <c r="E168" i="22"/>
  <c r="G156" i="22"/>
  <c r="H156" i="22" s="1"/>
  <c r="I149" i="22"/>
  <c r="F160" i="22"/>
  <c r="C172" i="22"/>
  <c r="G149" i="22"/>
  <c r="H149" i="22" s="1"/>
  <c r="D154" i="22"/>
  <c r="E154" i="22"/>
  <c r="B166" i="22"/>
  <c r="F153" i="22"/>
  <c r="G153" i="22" s="1"/>
  <c r="H153" i="22" s="1"/>
  <c r="C165" i="22"/>
  <c r="E186" i="22"/>
  <c r="B198" i="22"/>
  <c r="I148" i="22"/>
  <c r="B167" i="22"/>
  <c r="D155" i="22"/>
  <c r="E155" i="22"/>
  <c r="F164" i="22"/>
  <c r="G164" i="22" s="1"/>
  <c r="H164" i="22" s="1"/>
  <c r="C176" i="22"/>
  <c r="C167" i="22"/>
  <c r="F155" i="22"/>
  <c r="G155" i="22" s="1"/>
  <c r="H155" i="22" s="1"/>
  <c r="I141" i="22"/>
  <c r="G142" i="22"/>
  <c r="H142" i="22" s="1"/>
  <c r="I145" i="22"/>
  <c r="E165" i="22"/>
  <c r="D165" i="22"/>
  <c r="B177" i="22"/>
  <c r="C207" i="22"/>
  <c r="F195" i="22"/>
  <c r="G152" i="22"/>
  <c r="H152" i="22" s="1"/>
  <c r="F154" i="22"/>
  <c r="C166" i="22"/>
  <c r="I139" i="22"/>
  <c r="F158" i="23"/>
  <c r="G158" i="23" s="1"/>
  <c r="H158" i="23" s="1"/>
  <c r="C170" i="23"/>
  <c r="F180" i="23"/>
  <c r="C192" i="23"/>
  <c r="E156" i="23"/>
  <c r="G156" i="23" s="1"/>
  <c r="H156" i="23" s="1"/>
  <c r="D156" i="23"/>
  <c r="B168" i="23"/>
  <c r="C181" i="23"/>
  <c r="F169" i="23"/>
  <c r="B160" i="23"/>
  <c r="E148" i="23"/>
  <c r="G148" i="23" s="1"/>
  <c r="H148" i="23" s="1"/>
  <c r="D148" i="23"/>
  <c r="F173" i="23"/>
  <c r="C185" i="23"/>
  <c r="I139" i="23"/>
  <c r="E169" i="23"/>
  <c r="D169" i="23"/>
  <c r="B181" i="23"/>
  <c r="I136" i="23"/>
  <c r="G165" i="23"/>
  <c r="H165" i="23" s="1"/>
  <c r="E188" i="23"/>
  <c r="B200" i="23"/>
  <c r="E171" i="23"/>
  <c r="B183" i="23"/>
  <c r="F164" i="23"/>
  <c r="G164" i="23" s="1"/>
  <c r="H164" i="23" s="1"/>
  <c r="C176" i="23"/>
  <c r="D164" i="23"/>
  <c r="B177" i="23"/>
  <c r="E165" i="23"/>
  <c r="D165" i="23"/>
  <c r="I141" i="23"/>
  <c r="I140" i="23"/>
  <c r="G157" i="23"/>
  <c r="H157" i="23" s="1"/>
  <c r="F167" i="23"/>
  <c r="C179" i="23"/>
  <c r="E173" i="23"/>
  <c r="D173" i="23"/>
  <c r="B185" i="23"/>
  <c r="F160" i="23"/>
  <c r="C172" i="23"/>
  <c r="B190" i="23"/>
  <c r="E178" i="23"/>
  <c r="G178" i="23" s="1"/>
  <c r="H178" i="23" s="1"/>
  <c r="D178" i="23"/>
  <c r="F177" i="23"/>
  <c r="C189" i="23"/>
  <c r="I137" i="23"/>
  <c r="I143" i="23"/>
  <c r="B199" i="23"/>
  <c r="E187" i="23"/>
  <c r="F147" i="23"/>
  <c r="G147" i="23" s="1"/>
  <c r="H147" i="23" s="1"/>
  <c r="C159" i="23"/>
  <c r="D147" i="23"/>
  <c r="F190" i="23"/>
  <c r="C202" i="23"/>
  <c r="D158" i="23"/>
  <c r="B182" i="23"/>
  <c r="E170" i="23"/>
  <c r="D170" i="23"/>
  <c r="E150" i="23"/>
  <c r="G150" i="23" s="1"/>
  <c r="H150" i="23" s="1"/>
  <c r="D150" i="23"/>
  <c r="B162" i="23"/>
  <c r="F186" i="23"/>
  <c r="C198" i="23"/>
  <c r="E167" i="23"/>
  <c r="D167" i="23"/>
  <c r="B179" i="23"/>
  <c r="F163" i="23"/>
  <c r="G163" i="23" s="1"/>
  <c r="H163" i="23" s="1"/>
  <c r="C175" i="23"/>
  <c r="D163" i="23"/>
  <c r="I146" i="23"/>
  <c r="I144" i="23"/>
  <c r="I145" i="23"/>
  <c r="L139" i="19" l="1"/>
  <c r="I155" i="8"/>
  <c r="I156" i="8"/>
  <c r="I154" i="8"/>
  <c r="I158" i="20"/>
  <c r="I160" i="3"/>
  <c r="I156" i="20"/>
  <c r="E167" i="20"/>
  <c r="D167" i="20"/>
  <c r="B179" i="20"/>
  <c r="F161" i="20"/>
  <c r="C173" i="20"/>
  <c r="C190" i="20"/>
  <c r="F178" i="20"/>
  <c r="I147" i="20"/>
  <c r="I154" i="20"/>
  <c r="G149" i="20"/>
  <c r="H149" i="20" s="1"/>
  <c r="G166" i="20"/>
  <c r="H166" i="20" s="1"/>
  <c r="I151" i="20"/>
  <c r="I148" i="20"/>
  <c r="F171" i="20"/>
  <c r="C183" i="20"/>
  <c r="F168" i="20"/>
  <c r="C180" i="20"/>
  <c r="E164" i="20"/>
  <c r="D164" i="20"/>
  <c r="B176" i="20"/>
  <c r="G153" i="20"/>
  <c r="H153" i="20" s="1"/>
  <c r="E160" i="20"/>
  <c r="D160" i="20"/>
  <c r="B172" i="20"/>
  <c r="E178" i="20"/>
  <c r="B190" i="20"/>
  <c r="D178" i="20"/>
  <c r="F165" i="20"/>
  <c r="C177" i="20"/>
  <c r="G156" i="20"/>
  <c r="H156" i="20" s="1"/>
  <c r="I155" i="20"/>
  <c r="G162" i="20"/>
  <c r="H162" i="20" s="1"/>
  <c r="E168" i="20"/>
  <c r="D168" i="20"/>
  <c r="B180" i="20"/>
  <c r="F174" i="20"/>
  <c r="G174" i="20" s="1"/>
  <c r="H174" i="20" s="1"/>
  <c r="C186" i="20"/>
  <c r="F169" i="20"/>
  <c r="G169" i="20" s="1"/>
  <c r="H169" i="20" s="1"/>
  <c r="C181" i="20"/>
  <c r="F160" i="20"/>
  <c r="C172" i="20"/>
  <c r="E161" i="20"/>
  <c r="D161" i="20"/>
  <c r="B173" i="20"/>
  <c r="E170" i="20"/>
  <c r="G170" i="20" s="1"/>
  <c r="H170" i="20" s="1"/>
  <c r="D170" i="20"/>
  <c r="B182" i="20"/>
  <c r="E159" i="20"/>
  <c r="G159" i="20" s="1"/>
  <c r="H159" i="20" s="1"/>
  <c r="D159" i="20"/>
  <c r="B171" i="20"/>
  <c r="C191" i="20"/>
  <c r="F179" i="20"/>
  <c r="G167" i="20"/>
  <c r="H167" i="20" s="1"/>
  <c r="I157" i="20"/>
  <c r="C206" i="20"/>
  <c r="F194" i="20"/>
  <c r="I150" i="20"/>
  <c r="E163" i="20"/>
  <c r="G163" i="20" s="1"/>
  <c r="H163" i="20" s="1"/>
  <c r="B175" i="20"/>
  <c r="D163" i="20"/>
  <c r="C187" i="20"/>
  <c r="F175" i="20"/>
  <c r="E169" i="20"/>
  <c r="D169" i="20"/>
  <c r="B181" i="20"/>
  <c r="I152" i="20"/>
  <c r="F164" i="20"/>
  <c r="C176" i="20"/>
  <c r="E174" i="20"/>
  <c r="D174" i="20"/>
  <c r="B186" i="20"/>
  <c r="I149" i="20"/>
  <c r="E165" i="20"/>
  <c r="D165" i="20"/>
  <c r="B177" i="20"/>
  <c r="I153" i="20"/>
  <c r="E168" i="12"/>
  <c r="D168" i="12"/>
  <c r="B180" i="12"/>
  <c r="G153" i="12"/>
  <c r="H153" i="12" s="1"/>
  <c r="E187" i="12"/>
  <c r="D187" i="12"/>
  <c r="B199" i="12"/>
  <c r="I152" i="12"/>
  <c r="F179" i="12"/>
  <c r="G179" i="12" s="1"/>
  <c r="H179" i="12" s="1"/>
  <c r="C191" i="12"/>
  <c r="E165" i="12"/>
  <c r="D165" i="12"/>
  <c r="B177" i="12"/>
  <c r="C186" i="12"/>
  <c r="F174" i="12"/>
  <c r="C178" i="12"/>
  <c r="F166" i="12"/>
  <c r="G166" i="12" s="1"/>
  <c r="H166" i="12" s="1"/>
  <c r="B186" i="12"/>
  <c r="E174" i="12"/>
  <c r="D174" i="12"/>
  <c r="C183" i="12"/>
  <c r="F171" i="12"/>
  <c r="G171" i="12" s="1"/>
  <c r="H171" i="12" s="1"/>
  <c r="B183" i="12"/>
  <c r="E171" i="12"/>
  <c r="D171" i="12"/>
  <c r="I158" i="12"/>
  <c r="F176" i="12"/>
  <c r="C188" i="12"/>
  <c r="G149" i="12"/>
  <c r="H149" i="12" s="1"/>
  <c r="B178" i="12"/>
  <c r="E166" i="12"/>
  <c r="D166" i="12"/>
  <c r="E160" i="12"/>
  <c r="D160" i="12"/>
  <c r="B172" i="12"/>
  <c r="F169" i="12"/>
  <c r="C181" i="12"/>
  <c r="I156" i="12"/>
  <c r="I153" i="12"/>
  <c r="E169" i="12"/>
  <c r="D169" i="12"/>
  <c r="B181" i="12"/>
  <c r="F199" i="12"/>
  <c r="C211" i="12"/>
  <c r="G187" i="12"/>
  <c r="H187" i="12" s="1"/>
  <c r="E161" i="12"/>
  <c r="D161" i="12"/>
  <c r="I161" i="12" s="1"/>
  <c r="B173" i="12"/>
  <c r="F180" i="12"/>
  <c r="C192" i="12"/>
  <c r="I160" i="12"/>
  <c r="G168" i="12"/>
  <c r="H168" i="12" s="1"/>
  <c r="I149" i="12"/>
  <c r="F161" i="12"/>
  <c r="C173" i="12"/>
  <c r="I151" i="12"/>
  <c r="B203" i="12"/>
  <c r="D191" i="12"/>
  <c r="E191" i="12"/>
  <c r="B194" i="12"/>
  <c r="E182" i="12"/>
  <c r="D182" i="12"/>
  <c r="I159" i="12"/>
  <c r="I154" i="12"/>
  <c r="I157" i="12"/>
  <c r="D179" i="12"/>
  <c r="E164" i="12"/>
  <c r="G164" i="12" s="1"/>
  <c r="H164" i="12" s="1"/>
  <c r="D164" i="12"/>
  <c r="B176" i="12"/>
  <c r="I155" i="12"/>
  <c r="C194" i="12"/>
  <c r="F182" i="12"/>
  <c r="G182" i="12" s="1"/>
  <c r="H182" i="12" s="1"/>
  <c r="F172" i="12"/>
  <c r="C184" i="12"/>
  <c r="G160" i="12"/>
  <c r="H160" i="12" s="1"/>
  <c r="F165" i="12"/>
  <c r="G165" i="12" s="1"/>
  <c r="H165" i="12" s="1"/>
  <c r="C177" i="12"/>
  <c r="I159" i="11"/>
  <c r="C183" i="11"/>
  <c r="F171" i="11"/>
  <c r="B186" i="11"/>
  <c r="E174" i="11"/>
  <c r="D174" i="11"/>
  <c r="E173" i="11"/>
  <c r="B185" i="11"/>
  <c r="F176" i="11"/>
  <c r="C188" i="11"/>
  <c r="G175" i="11"/>
  <c r="H175" i="11" s="1"/>
  <c r="F180" i="11"/>
  <c r="C192" i="11"/>
  <c r="E181" i="11"/>
  <c r="D181" i="11"/>
  <c r="B193" i="11"/>
  <c r="C199" i="11"/>
  <c r="F187" i="11"/>
  <c r="B214" i="11"/>
  <c r="E202" i="11"/>
  <c r="G202" i="11" s="1"/>
  <c r="H202" i="11" s="1"/>
  <c r="D202" i="11"/>
  <c r="F172" i="11"/>
  <c r="G172" i="11" s="1"/>
  <c r="H172" i="11" s="1"/>
  <c r="C184" i="11"/>
  <c r="E177" i="11"/>
  <c r="D177" i="11"/>
  <c r="B189" i="11"/>
  <c r="G158" i="11"/>
  <c r="H158" i="11" s="1"/>
  <c r="I157" i="11"/>
  <c r="C182" i="11"/>
  <c r="F170" i="11"/>
  <c r="G162" i="11"/>
  <c r="H162" i="11" s="1"/>
  <c r="E179" i="11"/>
  <c r="B191" i="11"/>
  <c r="E159" i="11"/>
  <c r="D159" i="11"/>
  <c r="I161" i="11" s="1"/>
  <c r="B171" i="11"/>
  <c r="C186" i="11"/>
  <c r="F174" i="11"/>
  <c r="G174" i="11" s="1"/>
  <c r="H174" i="11" s="1"/>
  <c r="I158" i="11"/>
  <c r="I147" i="11"/>
  <c r="I150" i="11"/>
  <c r="I151" i="11"/>
  <c r="I156" i="11"/>
  <c r="I154" i="11"/>
  <c r="I148" i="11"/>
  <c r="I155" i="11"/>
  <c r="I153" i="11"/>
  <c r="I149" i="11"/>
  <c r="E180" i="11"/>
  <c r="D180" i="11"/>
  <c r="B192" i="11"/>
  <c r="I164" i="11"/>
  <c r="E176" i="11"/>
  <c r="D176" i="11"/>
  <c r="B188" i="11"/>
  <c r="E172" i="11"/>
  <c r="D172" i="11"/>
  <c r="B184" i="11"/>
  <c r="E175" i="11"/>
  <c r="D175" i="11"/>
  <c r="B187" i="11"/>
  <c r="C226" i="11"/>
  <c r="F226" i="11" s="1"/>
  <c r="F214" i="11"/>
  <c r="F165" i="11"/>
  <c r="G165" i="11" s="1"/>
  <c r="H165" i="11" s="1"/>
  <c r="C177" i="11"/>
  <c r="F169" i="11"/>
  <c r="G169" i="11" s="1"/>
  <c r="H169" i="11" s="1"/>
  <c r="C181" i="11"/>
  <c r="G159" i="11"/>
  <c r="H159" i="11" s="1"/>
  <c r="F161" i="11"/>
  <c r="G161" i="11" s="1"/>
  <c r="H161" i="11" s="1"/>
  <c r="C173" i="11"/>
  <c r="I166" i="11"/>
  <c r="I165" i="11"/>
  <c r="I169" i="11"/>
  <c r="E170" i="11"/>
  <c r="D170" i="11"/>
  <c r="B182" i="11"/>
  <c r="C179" i="11"/>
  <c r="F167" i="11"/>
  <c r="G167" i="11" s="1"/>
  <c r="H167" i="11" s="1"/>
  <c r="I162" i="11"/>
  <c r="C191" i="10"/>
  <c r="F179" i="10"/>
  <c r="G167" i="10"/>
  <c r="H167" i="10" s="1"/>
  <c r="F202" i="10"/>
  <c r="G202" i="10" s="1"/>
  <c r="H202" i="10" s="1"/>
  <c r="C214" i="10"/>
  <c r="I157" i="10"/>
  <c r="I156" i="10"/>
  <c r="E165" i="10"/>
  <c r="D165" i="10"/>
  <c r="B177" i="10"/>
  <c r="B182" i="10"/>
  <c r="E170" i="10"/>
  <c r="D170" i="10"/>
  <c r="F163" i="10"/>
  <c r="G163" i="10" s="1"/>
  <c r="H163" i="10" s="1"/>
  <c r="C175" i="10"/>
  <c r="B191" i="10"/>
  <c r="E179" i="10"/>
  <c r="D179" i="10"/>
  <c r="B171" i="10"/>
  <c r="E159" i="10"/>
  <c r="G159" i="10" s="1"/>
  <c r="H159" i="10" s="1"/>
  <c r="D159" i="10"/>
  <c r="I149" i="10"/>
  <c r="C182" i="10"/>
  <c r="F170" i="10"/>
  <c r="G170" i="10" s="1"/>
  <c r="H170" i="10" s="1"/>
  <c r="I169" i="10"/>
  <c r="I158" i="10"/>
  <c r="I150" i="10"/>
  <c r="B198" i="10"/>
  <c r="E186" i="10"/>
  <c r="E169" i="10"/>
  <c r="D169" i="10"/>
  <c r="B181" i="10"/>
  <c r="G157" i="10"/>
  <c r="H157" i="10" s="1"/>
  <c r="I147" i="10"/>
  <c r="F169" i="10"/>
  <c r="G169" i="10" s="1"/>
  <c r="H169" i="10" s="1"/>
  <c r="C181" i="10"/>
  <c r="I148" i="10"/>
  <c r="B175" i="10"/>
  <c r="E163" i="10"/>
  <c r="D163" i="10"/>
  <c r="F165" i="10"/>
  <c r="G165" i="10" s="1"/>
  <c r="H165" i="10" s="1"/>
  <c r="C177" i="10"/>
  <c r="C174" i="10"/>
  <c r="F162" i="10"/>
  <c r="G162" i="10" s="1"/>
  <c r="H162" i="10" s="1"/>
  <c r="D162" i="10"/>
  <c r="I163" i="10" s="1"/>
  <c r="I155" i="10"/>
  <c r="I152" i="10"/>
  <c r="G153" i="10"/>
  <c r="H153" i="10" s="1"/>
  <c r="I154" i="10"/>
  <c r="I160" i="10"/>
  <c r="I159" i="10"/>
  <c r="C183" i="10"/>
  <c r="F171" i="10"/>
  <c r="I166" i="10"/>
  <c r="E161" i="10"/>
  <c r="D161" i="10"/>
  <c r="I164" i="10" s="1"/>
  <c r="B173" i="10"/>
  <c r="F161" i="10"/>
  <c r="C173" i="10"/>
  <c r="D202" i="10"/>
  <c r="E202" i="10"/>
  <c r="B214" i="10"/>
  <c r="F173" i="8"/>
  <c r="C185" i="8"/>
  <c r="C190" i="8"/>
  <c r="F178" i="8"/>
  <c r="G178" i="8" s="1"/>
  <c r="H178" i="8" s="1"/>
  <c r="D178" i="8"/>
  <c r="F160" i="8"/>
  <c r="G160" i="8" s="1"/>
  <c r="H160" i="8" s="1"/>
  <c r="C172" i="8"/>
  <c r="G148" i="8"/>
  <c r="H148" i="8" s="1"/>
  <c r="F168" i="8"/>
  <c r="C180" i="8"/>
  <c r="B214" i="8"/>
  <c r="E202" i="8"/>
  <c r="E169" i="8"/>
  <c r="D169" i="8"/>
  <c r="B181" i="8"/>
  <c r="G156" i="8"/>
  <c r="H156" i="8" s="1"/>
  <c r="G161" i="8"/>
  <c r="H161" i="8" s="1"/>
  <c r="I150" i="16"/>
  <c r="L150" i="18" s="1"/>
  <c r="I158" i="8"/>
  <c r="I150" i="8"/>
  <c r="I149" i="8"/>
  <c r="I153" i="8"/>
  <c r="F176" i="8"/>
  <c r="C188" i="8"/>
  <c r="I147" i="8"/>
  <c r="E170" i="8"/>
  <c r="D170" i="8"/>
  <c r="B182" i="8"/>
  <c r="C186" i="8"/>
  <c r="F174" i="8"/>
  <c r="E175" i="8"/>
  <c r="G175" i="8" s="1"/>
  <c r="H175" i="8" s="1"/>
  <c r="D175" i="8"/>
  <c r="B187" i="8"/>
  <c r="E160" i="8"/>
  <c r="D160" i="8"/>
  <c r="B172" i="8"/>
  <c r="I157" i="8"/>
  <c r="F177" i="8"/>
  <c r="C189" i="8"/>
  <c r="I148" i="8"/>
  <c r="G169" i="8"/>
  <c r="H169" i="8" s="1"/>
  <c r="I151" i="8"/>
  <c r="G165" i="8"/>
  <c r="H165" i="8" s="1"/>
  <c r="E168" i="8"/>
  <c r="D168" i="8"/>
  <c r="B180" i="8"/>
  <c r="I152" i="8"/>
  <c r="E159" i="8"/>
  <c r="G159" i="8" s="1"/>
  <c r="H159" i="8" s="1"/>
  <c r="D159" i="8"/>
  <c r="I170" i="8" s="1"/>
  <c r="B171" i="8"/>
  <c r="F181" i="8"/>
  <c r="C193" i="8"/>
  <c r="F170" i="8"/>
  <c r="C182" i="8"/>
  <c r="E203" i="8"/>
  <c r="G203" i="8" s="1"/>
  <c r="H203" i="8" s="1"/>
  <c r="D203" i="8"/>
  <c r="B215" i="8"/>
  <c r="E164" i="8"/>
  <c r="G164" i="8" s="1"/>
  <c r="H164" i="8" s="1"/>
  <c r="D164" i="8"/>
  <c r="B176" i="8"/>
  <c r="E165" i="8"/>
  <c r="D165" i="8"/>
  <c r="B177" i="8"/>
  <c r="E161" i="8"/>
  <c r="D161" i="8"/>
  <c r="B173" i="8"/>
  <c r="B186" i="8"/>
  <c r="E174" i="8"/>
  <c r="D174" i="8"/>
  <c r="G168" i="9"/>
  <c r="H168" i="9" s="1"/>
  <c r="G162" i="9"/>
  <c r="H162" i="9" s="1"/>
  <c r="F175" i="9"/>
  <c r="C187" i="9"/>
  <c r="E165" i="9"/>
  <c r="D165" i="9"/>
  <c r="B177" i="9"/>
  <c r="I156" i="9"/>
  <c r="F180" i="9"/>
  <c r="C192" i="9"/>
  <c r="I157" i="9"/>
  <c r="E160" i="9"/>
  <c r="G160" i="9" s="1"/>
  <c r="H160" i="9" s="1"/>
  <c r="D160" i="9"/>
  <c r="B172" i="9"/>
  <c r="I146" i="16"/>
  <c r="L146" i="19" s="1"/>
  <c r="F178" i="9"/>
  <c r="G178" i="9" s="1"/>
  <c r="H178" i="9" s="1"/>
  <c r="C190" i="9"/>
  <c r="F179" i="9"/>
  <c r="C191" i="9"/>
  <c r="E158" i="9"/>
  <c r="D158" i="9"/>
  <c r="I159" i="9" s="1"/>
  <c r="B170" i="9"/>
  <c r="E168" i="9"/>
  <c r="D168" i="9"/>
  <c r="B180" i="9"/>
  <c r="E163" i="9"/>
  <c r="G163" i="9" s="1"/>
  <c r="H163" i="9" s="1"/>
  <c r="D163" i="9"/>
  <c r="B175" i="9"/>
  <c r="E164" i="9"/>
  <c r="G164" i="9" s="1"/>
  <c r="H164" i="9" s="1"/>
  <c r="D164" i="9"/>
  <c r="B176" i="9"/>
  <c r="F172" i="9"/>
  <c r="C184" i="9"/>
  <c r="E167" i="9"/>
  <c r="B179" i="9"/>
  <c r="D167" i="9"/>
  <c r="G167" i="9"/>
  <c r="H167" i="9" s="1"/>
  <c r="I148" i="15"/>
  <c r="G166" i="9"/>
  <c r="H166" i="9" s="1"/>
  <c r="F161" i="9"/>
  <c r="G161" i="9" s="1"/>
  <c r="H161" i="9" s="1"/>
  <c r="C173" i="9"/>
  <c r="E169" i="9"/>
  <c r="D169" i="9"/>
  <c r="B181" i="9"/>
  <c r="F165" i="9"/>
  <c r="G165" i="9" s="1"/>
  <c r="H165" i="9" s="1"/>
  <c r="C177" i="9"/>
  <c r="F176" i="9"/>
  <c r="C188" i="9"/>
  <c r="F171" i="9"/>
  <c r="C183" i="9"/>
  <c r="G146" i="9"/>
  <c r="H146" i="9" s="1"/>
  <c r="G149" i="9"/>
  <c r="H149" i="9" s="1"/>
  <c r="I160" i="9"/>
  <c r="F158" i="9"/>
  <c r="C170" i="9"/>
  <c r="I147" i="9"/>
  <c r="E178" i="9"/>
  <c r="D178" i="9"/>
  <c r="B190" i="9"/>
  <c r="I152" i="9"/>
  <c r="I154" i="9"/>
  <c r="C186" i="9"/>
  <c r="F174" i="9"/>
  <c r="G153" i="9"/>
  <c r="H153" i="9" s="1"/>
  <c r="E159" i="9"/>
  <c r="G159" i="9" s="1"/>
  <c r="H159" i="9" s="1"/>
  <c r="B171" i="9"/>
  <c r="D159" i="9"/>
  <c r="B186" i="9"/>
  <c r="E174" i="9"/>
  <c r="D174" i="9"/>
  <c r="E161" i="9"/>
  <c r="D161" i="9"/>
  <c r="B173" i="9"/>
  <c r="I150" i="9"/>
  <c r="F169" i="9"/>
  <c r="G169" i="9" s="1"/>
  <c r="H169" i="9" s="1"/>
  <c r="C181" i="9"/>
  <c r="I148" i="9"/>
  <c r="E163" i="16"/>
  <c r="B175" i="16"/>
  <c r="D163" i="16"/>
  <c r="E159" i="16"/>
  <c r="D159" i="16"/>
  <c r="B171" i="16"/>
  <c r="L144" i="18"/>
  <c r="L144" i="19"/>
  <c r="E158" i="16"/>
  <c r="G158" i="16" s="1"/>
  <c r="H158" i="16" s="1"/>
  <c r="D158" i="16"/>
  <c r="I158" i="16" s="1"/>
  <c r="B170" i="16"/>
  <c r="I151" i="16"/>
  <c r="L142" i="18"/>
  <c r="L142" i="19"/>
  <c r="B228" i="16"/>
  <c r="E216" i="16"/>
  <c r="D216" i="16"/>
  <c r="I227" i="16" s="1"/>
  <c r="I153" i="16"/>
  <c r="L135" i="19"/>
  <c r="L135" i="18"/>
  <c r="I157" i="16"/>
  <c r="I149" i="16"/>
  <c r="E169" i="16"/>
  <c r="D169" i="16"/>
  <c r="B181" i="16"/>
  <c r="F216" i="16"/>
  <c r="C228" i="16"/>
  <c r="F228" i="16" s="1"/>
  <c r="G147" i="16"/>
  <c r="H147" i="16" s="1"/>
  <c r="L147" i="18"/>
  <c r="L147" i="19"/>
  <c r="G153" i="16"/>
  <c r="H153" i="16" s="1"/>
  <c r="G149" i="16"/>
  <c r="H149" i="16" s="1"/>
  <c r="L138" i="19"/>
  <c r="L138" i="18"/>
  <c r="F159" i="16"/>
  <c r="G159" i="16" s="1"/>
  <c r="H159" i="16" s="1"/>
  <c r="C171" i="16"/>
  <c r="C182" i="16"/>
  <c r="F170" i="16"/>
  <c r="F165" i="16"/>
  <c r="C177" i="16"/>
  <c r="F161" i="16"/>
  <c r="G161" i="16" s="1"/>
  <c r="H161" i="16" s="1"/>
  <c r="C173" i="16"/>
  <c r="B184" i="16"/>
  <c r="E172" i="16"/>
  <c r="D172" i="16"/>
  <c r="L143" i="19"/>
  <c r="L143" i="18"/>
  <c r="I148" i="16"/>
  <c r="L134" i="19"/>
  <c r="L134" i="18"/>
  <c r="C188" i="16"/>
  <c r="F176" i="16"/>
  <c r="L137" i="18"/>
  <c r="L137" i="19"/>
  <c r="B188" i="16"/>
  <c r="E176" i="16"/>
  <c r="D176" i="16"/>
  <c r="E191" i="16"/>
  <c r="D191" i="16"/>
  <c r="B203" i="16"/>
  <c r="E198" i="16"/>
  <c r="D198" i="16"/>
  <c r="B210" i="16"/>
  <c r="L141" i="19"/>
  <c r="L141" i="18"/>
  <c r="L145" i="18"/>
  <c r="L145" i="19"/>
  <c r="E161" i="16"/>
  <c r="D161" i="16"/>
  <c r="B173" i="16"/>
  <c r="E165" i="16"/>
  <c r="D165" i="16"/>
  <c r="B177" i="16"/>
  <c r="F198" i="16"/>
  <c r="G198" i="16" s="1"/>
  <c r="H198" i="16" s="1"/>
  <c r="C210" i="16"/>
  <c r="B190" i="16"/>
  <c r="D178" i="16"/>
  <c r="E178" i="16"/>
  <c r="I152" i="16"/>
  <c r="F169" i="16"/>
  <c r="C181" i="16"/>
  <c r="I154" i="16"/>
  <c r="L136" i="19"/>
  <c r="L136" i="18"/>
  <c r="C175" i="16"/>
  <c r="F163" i="16"/>
  <c r="G163" i="16" s="1"/>
  <c r="H163" i="16" s="1"/>
  <c r="G157" i="16"/>
  <c r="H157" i="16" s="1"/>
  <c r="I155" i="16"/>
  <c r="G151" i="16"/>
  <c r="H151" i="16" s="1"/>
  <c r="L140" i="19"/>
  <c r="L140" i="18"/>
  <c r="I156" i="16"/>
  <c r="G179" i="16"/>
  <c r="H179" i="16" s="1"/>
  <c r="G160" i="16"/>
  <c r="H160" i="16" s="1"/>
  <c r="F191" i="16"/>
  <c r="G191" i="16" s="1"/>
  <c r="H191" i="16" s="1"/>
  <c r="C203" i="16"/>
  <c r="C184" i="16"/>
  <c r="F172" i="16"/>
  <c r="C190" i="16"/>
  <c r="F178" i="16"/>
  <c r="G178" i="16" s="1"/>
  <c r="H178" i="16" s="1"/>
  <c r="F161" i="15"/>
  <c r="C173" i="15"/>
  <c r="G149" i="15"/>
  <c r="H149" i="15" s="1"/>
  <c r="I150" i="15"/>
  <c r="F165" i="15"/>
  <c r="G165" i="15" s="1"/>
  <c r="H165" i="15" s="1"/>
  <c r="C177" i="15"/>
  <c r="D165" i="15"/>
  <c r="I149" i="15"/>
  <c r="B188" i="15"/>
  <c r="E176" i="15"/>
  <c r="B214" i="15"/>
  <c r="E202" i="15"/>
  <c r="D202" i="15"/>
  <c r="F179" i="15"/>
  <c r="G179" i="15" s="1"/>
  <c r="H179" i="15" s="1"/>
  <c r="C191" i="15"/>
  <c r="D175" i="15"/>
  <c r="B187" i="15"/>
  <c r="E175" i="15"/>
  <c r="G202" i="15"/>
  <c r="H202" i="15" s="1"/>
  <c r="F159" i="15"/>
  <c r="G159" i="15" s="1"/>
  <c r="H159" i="15" s="1"/>
  <c r="C171" i="15"/>
  <c r="B191" i="15"/>
  <c r="E179" i="15"/>
  <c r="D179" i="15"/>
  <c r="F180" i="15"/>
  <c r="C192" i="15"/>
  <c r="C226" i="15"/>
  <c r="F226" i="15" s="1"/>
  <c r="F214" i="15"/>
  <c r="B183" i="15"/>
  <c r="E171" i="15"/>
  <c r="E181" i="15"/>
  <c r="B193" i="15"/>
  <c r="E158" i="15"/>
  <c r="D158" i="15"/>
  <c r="I158" i="15" s="1"/>
  <c r="B170" i="15"/>
  <c r="I157" i="15"/>
  <c r="I154" i="15"/>
  <c r="I153" i="15"/>
  <c r="I156" i="15"/>
  <c r="I155" i="15"/>
  <c r="F196" i="15"/>
  <c r="C208" i="15"/>
  <c r="E161" i="15"/>
  <c r="D161" i="15"/>
  <c r="B173" i="15"/>
  <c r="F158" i="15"/>
  <c r="G158" i="15" s="1"/>
  <c r="H158" i="15" s="1"/>
  <c r="C170" i="15"/>
  <c r="B174" i="15"/>
  <c r="E162" i="15"/>
  <c r="D162" i="15"/>
  <c r="I151" i="15"/>
  <c r="B192" i="15"/>
  <c r="E180" i="15"/>
  <c r="D180" i="15"/>
  <c r="C174" i="15"/>
  <c r="F162" i="15"/>
  <c r="F169" i="15"/>
  <c r="G169" i="15" s="1"/>
  <c r="H169" i="15" s="1"/>
  <c r="C181" i="15"/>
  <c r="D181" i="15" s="1"/>
  <c r="E189" i="15"/>
  <c r="B201" i="15"/>
  <c r="I147" i="15"/>
  <c r="B184" i="15"/>
  <c r="E172" i="15"/>
  <c r="G172" i="15" s="1"/>
  <c r="H172" i="15" s="1"/>
  <c r="D172" i="15"/>
  <c r="F164" i="15"/>
  <c r="G164" i="15" s="1"/>
  <c r="H164" i="15" s="1"/>
  <c r="C176" i="15"/>
  <c r="I152" i="15"/>
  <c r="F175" i="15"/>
  <c r="C187" i="15"/>
  <c r="I160" i="7"/>
  <c r="F180" i="7"/>
  <c r="C192" i="7"/>
  <c r="F185" i="7"/>
  <c r="C197" i="7"/>
  <c r="G173" i="7"/>
  <c r="H173" i="7" s="1"/>
  <c r="B187" i="7"/>
  <c r="E175" i="7"/>
  <c r="D175" i="7"/>
  <c r="E185" i="7"/>
  <c r="D185" i="7"/>
  <c r="B197" i="7"/>
  <c r="I159" i="7"/>
  <c r="F174" i="7"/>
  <c r="G174" i="7" s="1"/>
  <c r="H174" i="7" s="1"/>
  <c r="C186" i="7"/>
  <c r="D174" i="7"/>
  <c r="F176" i="7"/>
  <c r="G176" i="7" s="1"/>
  <c r="H176" i="7" s="1"/>
  <c r="C188" i="7"/>
  <c r="B215" i="7"/>
  <c r="E203" i="7"/>
  <c r="G168" i="7"/>
  <c r="H168" i="7" s="1"/>
  <c r="I164" i="7"/>
  <c r="I154" i="7"/>
  <c r="F171" i="7"/>
  <c r="G171" i="7" s="1"/>
  <c r="H171" i="7" s="1"/>
  <c r="C183" i="7"/>
  <c r="D171" i="7"/>
  <c r="F172" i="7"/>
  <c r="C184" i="7"/>
  <c r="D168" i="7"/>
  <c r="B180" i="7"/>
  <c r="E168" i="7"/>
  <c r="I153" i="7"/>
  <c r="I151" i="7"/>
  <c r="B190" i="7"/>
  <c r="E178" i="7"/>
  <c r="D178" i="7"/>
  <c r="D160" i="7"/>
  <c r="B172" i="7"/>
  <c r="E160" i="7"/>
  <c r="G160" i="7" s="1"/>
  <c r="H160" i="7" s="1"/>
  <c r="E165" i="7"/>
  <c r="D165" i="7"/>
  <c r="B177" i="7"/>
  <c r="I163" i="7"/>
  <c r="F181" i="7"/>
  <c r="C193" i="7"/>
  <c r="E169" i="7"/>
  <c r="G169" i="7" s="1"/>
  <c r="H169" i="7" s="1"/>
  <c r="D169" i="7"/>
  <c r="B181" i="7"/>
  <c r="C170" i="7"/>
  <c r="F158" i="7"/>
  <c r="G158" i="7" s="1"/>
  <c r="H158" i="7" s="1"/>
  <c r="E170" i="7"/>
  <c r="B182" i="7"/>
  <c r="D176" i="7"/>
  <c r="B188" i="7"/>
  <c r="E176" i="7"/>
  <c r="F175" i="7"/>
  <c r="C187" i="7"/>
  <c r="B222" i="7"/>
  <c r="E210" i="7"/>
  <c r="I158" i="7"/>
  <c r="I156" i="7"/>
  <c r="F179" i="7"/>
  <c r="G179" i="7" s="1"/>
  <c r="H179" i="7" s="1"/>
  <c r="C191" i="7"/>
  <c r="D179" i="7"/>
  <c r="F165" i="7"/>
  <c r="C177" i="7"/>
  <c r="F178" i="7"/>
  <c r="G178" i="7" s="1"/>
  <c r="H178" i="7" s="1"/>
  <c r="C190" i="7"/>
  <c r="G153" i="7"/>
  <c r="H153" i="7" s="1"/>
  <c r="G166" i="7"/>
  <c r="H166" i="7" s="1"/>
  <c r="I166" i="7"/>
  <c r="I157" i="7"/>
  <c r="F186" i="6"/>
  <c r="C198" i="6"/>
  <c r="I150" i="6"/>
  <c r="I147" i="6"/>
  <c r="E163" i="6"/>
  <c r="G163" i="6" s="1"/>
  <c r="H163" i="6" s="1"/>
  <c r="D163" i="6"/>
  <c r="I164" i="6" s="1"/>
  <c r="B175" i="6"/>
  <c r="I151" i="6"/>
  <c r="I148" i="6"/>
  <c r="E170" i="6"/>
  <c r="D170" i="6"/>
  <c r="B182" i="6"/>
  <c r="F168" i="6"/>
  <c r="C180" i="6"/>
  <c r="G157" i="6"/>
  <c r="H157" i="6" s="1"/>
  <c r="I149" i="6"/>
  <c r="I155" i="6"/>
  <c r="F160" i="6"/>
  <c r="G160" i="6" s="1"/>
  <c r="H160" i="6" s="1"/>
  <c r="C172" i="6"/>
  <c r="F169" i="6"/>
  <c r="C181" i="6"/>
  <c r="F165" i="6"/>
  <c r="G165" i="6" s="1"/>
  <c r="H165" i="6" s="1"/>
  <c r="C177" i="6"/>
  <c r="G153" i="6"/>
  <c r="H153" i="6" s="1"/>
  <c r="F164" i="6"/>
  <c r="G164" i="6" s="1"/>
  <c r="H164" i="6" s="1"/>
  <c r="C176" i="6"/>
  <c r="C190" i="6"/>
  <c r="F178" i="6"/>
  <c r="G178" i="6" s="1"/>
  <c r="H178" i="6" s="1"/>
  <c r="G166" i="6"/>
  <c r="H166" i="6" s="1"/>
  <c r="G152" i="6"/>
  <c r="H152" i="6" s="1"/>
  <c r="E168" i="6"/>
  <c r="D168" i="6"/>
  <c r="B180" i="6"/>
  <c r="G148" i="6"/>
  <c r="H148" i="6" s="1"/>
  <c r="E167" i="6"/>
  <c r="G167" i="6" s="1"/>
  <c r="H167" i="6" s="1"/>
  <c r="D167" i="6"/>
  <c r="B179" i="6"/>
  <c r="B190" i="6"/>
  <c r="E178" i="6"/>
  <c r="D178" i="6"/>
  <c r="E159" i="6"/>
  <c r="G159" i="6" s="1"/>
  <c r="H159" i="6" s="1"/>
  <c r="D159" i="6"/>
  <c r="I169" i="6" s="1"/>
  <c r="B171" i="6"/>
  <c r="E165" i="6"/>
  <c r="D165" i="6"/>
  <c r="B177" i="6"/>
  <c r="F161" i="6"/>
  <c r="G161" i="6" s="1"/>
  <c r="H161" i="6" s="1"/>
  <c r="C173" i="6"/>
  <c r="E164" i="6"/>
  <c r="D164" i="6"/>
  <c r="B176" i="6"/>
  <c r="E169" i="6"/>
  <c r="D169" i="6"/>
  <c r="B181" i="6"/>
  <c r="I158" i="6"/>
  <c r="I153" i="6"/>
  <c r="I156" i="6"/>
  <c r="I148" i="13"/>
  <c r="K148" i="19" s="1"/>
  <c r="I157" i="6"/>
  <c r="E186" i="6"/>
  <c r="D186" i="6"/>
  <c r="B198" i="6"/>
  <c r="E161" i="6"/>
  <c r="D161" i="6"/>
  <c r="B173" i="6"/>
  <c r="F170" i="6"/>
  <c r="G170" i="6" s="1"/>
  <c r="H170" i="6" s="1"/>
  <c r="C182" i="6"/>
  <c r="E160" i="6"/>
  <c r="D160" i="6"/>
  <c r="B172" i="6"/>
  <c r="I152" i="6"/>
  <c r="G158" i="6"/>
  <c r="H158" i="6" s="1"/>
  <c r="B219" i="5"/>
  <c r="E207" i="5"/>
  <c r="D207" i="5"/>
  <c r="I157" i="5"/>
  <c r="F175" i="5"/>
  <c r="C187" i="5"/>
  <c r="E175" i="5"/>
  <c r="D175" i="5"/>
  <c r="B187" i="5"/>
  <c r="G163" i="5"/>
  <c r="H163" i="5" s="1"/>
  <c r="F168" i="5"/>
  <c r="G168" i="5" s="1"/>
  <c r="H168" i="5" s="1"/>
  <c r="C180" i="5"/>
  <c r="D168" i="5"/>
  <c r="E182" i="5"/>
  <c r="B194" i="5"/>
  <c r="F181" i="5"/>
  <c r="C193" i="5"/>
  <c r="G207" i="5"/>
  <c r="H207" i="5" s="1"/>
  <c r="D164" i="5"/>
  <c r="E164" i="5"/>
  <c r="B176" i="5"/>
  <c r="E169" i="5"/>
  <c r="G169" i="5" s="1"/>
  <c r="H169" i="5" s="1"/>
  <c r="D169" i="5"/>
  <c r="B181" i="5"/>
  <c r="I147" i="13"/>
  <c r="K147" i="19" s="1"/>
  <c r="F164" i="5"/>
  <c r="G164" i="5" s="1"/>
  <c r="H164" i="5" s="1"/>
  <c r="C176" i="5"/>
  <c r="E192" i="5"/>
  <c r="B204" i="5"/>
  <c r="F170" i="5"/>
  <c r="G170" i="5" s="1"/>
  <c r="H170" i="5" s="1"/>
  <c r="C182" i="5"/>
  <c r="D182" i="5" s="1"/>
  <c r="I168" i="5"/>
  <c r="G152" i="5"/>
  <c r="H152" i="5" s="1"/>
  <c r="E177" i="5"/>
  <c r="D177" i="5"/>
  <c r="B189" i="5"/>
  <c r="D170" i="5"/>
  <c r="E227" i="5"/>
  <c r="I159" i="5"/>
  <c r="I158" i="5"/>
  <c r="I153" i="5"/>
  <c r="I150" i="5"/>
  <c r="I152" i="5"/>
  <c r="F167" i="5"/>
  <c r="G167" i="5" s="1"/>
  <c r="H167" i="5" s="1"/>
  <c r="C179" i="5"/>
  <c r="D167" i="5"/>
  <c r="I148" i="5"/>
  <c r="F178" i="5"/>
  <c r="G178" i="5" s="1"/>
  <c r="H178" i="5" s="1"/>
  <c r="C190" i="5"/>
  <c r="G165" i="5"/>
  <c r="H165" i="5" s="1"/>
  <c r="E161" i="5"/>
  <c r="G161" i="5" s="1"/>
  <c r="H161" i="5" s="1"/>
  <c r="D161" i="5"/>
  <c r="B173" i="5"/>
  <c r="F173" i="5"/>
  <c r="C185" i="5"/>
  <c r="F160" i="5"/>
  <c r="G160" i="5" s="1"/>
  <c r="H160" i="5" s="1"/>
  <c r="C172" i="5"/>
  <c r="D160" i="5"/>
  <c r="I166" i="5" s="1"/>
  <c r="I156" i="5"/>
  <c r="F177" i="5"/>
  <c r="G177" i="5" s="1"/>
  <c r="H177" i="5" s="1"/>
  <c r="C189" i="5"/>
  <c r="I156" i="25"/>
  <c r="G166" i="5"/>
  <c r="H166" i="5" s="1"/>
  <c r="F174" i="5"/>
  <c r="G174" i="5" s="1"/>
  <c r="H174" i="5" s="1"/>
  <c r="C186" i="5"/>
  <c r="E196" i="5"/>
  <c r="B208" i="5"/>
  <c r="E186" i="5"/>
  <c r="D186" i="5"/>
  <c r="B198" i="5"/>
  <c r="E178" i="5"/>
  <c r="D178" i="5"/>
  <c r="B190" i="5"/>
  <c r="I168" i="4"/>
  <c r="C184" i="4"/>
  <c r="F172" i="4"/>
  <c r="C190" i="4"/>
  <c r="F178" i="4"/>
  <c r="F182" i="4"/>
  <c r="C194" i="4"/>
  <c r="G160" i="4"/>
  <c r="H160" i="4" s="1"/>
  <c r="F162" i="4"/>
  <c r="G162" i="4" s="1"/>
  <c r="H162" i="4" s="1"/>
  <c r="C174" i="4"/>
  <c r="E181" i="4"/>
  <c r="B193" i="4"/>
  <c r="F165" i="4"/>
  <c r="C177" i="4"/>
  <c r="F161" i="4"/>
  <c r="G161" i="4" s="1"/>
  <c r="H161" i="4" s="1"/>
  <c r="C173" i="4"/>
  <c r="I152" i="4"/>
  <c r="I161" i="4"/>
  <c r="D164" i="4"/>
  <c r="B176" i="4"/>
  <c r="E164" i="4"/>
  <c r="F171" i="4"/>
  <c r="G171" i="4" s="1"/>
  <c r="H171" i="4" s="1"/>
  <c r="C183" i="4"/>
  <c r="C191" i="4"/>
  <c r="F179" i="4"/>
  <c r="G166" i="4"/>
  <c r="H166" i="4" s="1"/>
  <c r="C199" i="4"/>
  <c r="F187" i="4"/>
  <c r="G187" i="4" s="1"/>
  <c r="H187" i="4" s="1"/>
  <c r="I163" i="4"/>
  <c r="I162" i="4"/>
  <c r="D161" i="4"/>
  <c r="B173" i="4"/>
  <c r="E161" i="4"/>
  <c r="E178" i="4"/>
  <c r="D178" i="4"/>
  <c r="B190" i="4"/>
  <c r="E174" i="4"/>
  <c r="B186" i="4"/>
  <c r="D174" i="4"/>
  <c r="D160" i="4"/>
  <c r="B172" i="4"/>
  <c r="E160" i="4"/>
  <c r="I159" i="4"/>
  <c r="I157" i="4"/>
  <c r="I155" i="4"/>
  <c r="D165" i="4"/>
  <c r="B177" i="4"/>
  <c r="E165" i="4"/>
  <c r="E171" i="4"/>
  <c r="D171" i="4"/>
  <c r="B183" i="4"/>
  <c r="G175" i="4"/>
  <c r="H175" i="4" s="1"/>
  <c r="I156" i="4"/>
  <c r="I160" i="4"/>
  <c r="G167" i="4"/>
  <c r="H167" i="4" s="1"/>
  <c r="I150" i="13"/>
  <c r="K150" i="19" s="1"/>
  <c r="F169" i="4"/>
  <c r="G169" i="4" s="1"/>
  <c r="H169" i="4" s="1"/>
  <c r="C181" i="4"/>
  <c r="I164" i="4"/>
  <c r="G164" i="4"/>
  <c r="H164" i="4" s="1"/>
  <c r="E167" i="4"/>
  <c r="B179" i="4"/>
  <c r="D167" i="4"/>
  <c r="C188" i="4"/>
  <c r="F176" i="4"/>
  <c r="E187" i="4"/>
  <c r="B199" i="4"/>
  <c r="D187" i="4"/>
  <c r="I166" i="4"/>
  <c r="I147" i="19"/>
  <c r="I149" i="19"/>
  <c r="D168" i="4"/>
  <c r="B180" i="4"/>
  <c r="E168" i="4"/>
  <c r="G168" i="4" s="1"/>
  <c r="H168" i="4" s="1"/>
  <c r="E182" i="4"/>
  <c r="B194" i="4"/>
  <c r="D182" i="4"/>
  <c r="I149" i="4"/>
  <c r="C216" i="4"/>
  <c r="F204" i="4"/>
  <c r="I167" i="4"/>
  <c r="I165" i="4"/>
  <c r="I151" i="23"/>
  <c r="I154" i="4"/>
  <c r="I153" i="4"/>
  <c r="E169" i="3"/>
  <c r="G169" i="3" s="1"/>
  <c r="H169" i="3" s="1"/>
  <c r="D169" i="3"/>
  <c r="B181" i="3"/>
  <c r="I159" i="3"/>
  <c r="F186" i="3"/>
  <c r="C198" i="3"/>
  <c r="F164" i="3"/>
  <c r="G164" i="3" s="1"/>
  <c r="H164" i="3" s="1"/>
  <c r="C176" i="3"/>
  <c r="D176" i="3" s="1"/>
  <c r="C187" i="3"/>
  <c r="F175" i="3"/>
  <c r="G175" i="3" s="1"/>
  <c r="H175" i="3" s="1"/>
  <c r="F170" i="3"/>
  <c r="C182" i="3"/>
  <c r="E176" i="3"/>
  <c r="B188" i="3"/>
  <c r="I153" i="13"/>
  <c r="K153" i="19" s="1"/>
  <c r="C180" i="3"/>
  <c r="F168" i="3"/>
  <c r="G168" i="3" s="1"/>
  <c r="H168" i="3" s="1"/>
  <c r="I155" i="3"/>
  <c r="B182" i="3"/>
  <c r="E170" i="3"/>
  <c r="D170" i="3"/>
  <c r="I156" i="3"/>
  <c r="I153" i="3"/>
  <c r="C193" i="3"/>
  <c r="F181" i="3"/>
  <c r="I158" i="3"/>
  <c r="B183" i="3"/>
  <c r="D171" i="3"/>
  <c r="E171" i="3"/>
  <c r="I157" i="3"/>
  <c r="C183" i="3"/>
  <c r="F171" i="3"/>
  <c r="K139" i="18"/>
  <c r="E185" i="3"/>
  <c r="D185" i="3"/>
  <c r="B197" i="3"/>
  <c r="I161" i="3"/>
  <c r="F201" i="3"/>
  <c r="C213" i="3"/>
  <c r="I157" i="23"/>
  <c r="I154" i="3"/>
  <c r="G159" i="3"/>
  <c r="H159" i="3" s="1"/>
  <c r="B198" i="3"/>
  <c r="E186" i="3"/>
  <c r="D186" i="3"/>
  <c r="C202" i="3"/>
  <c r="F190" i="3"/>
  <c r="G190" i="3" s="1"/>
  <c r="H190" i="3" s="1"/>
  <c r="C209" i="3"/>
  <c r="F197" i="3"/>
  <c r="G185" i="3"/>
  <c r="H185" i="3" s="1"/>
  <c r="I163" i="3"/>
  <c r="E180" i="3"/>
  <c r="D180" i="3"/>
  <c r="B192" i="3"/>
  <c r="B203" i="3"/>
  <c r="E191" i="3"/>
  <c r="I153" i="14"/>
  <c r="E165" i="3"/>
  <c r="G165" i="3" s="1"/>
  <c r="H165" i="3" s="1"/>
  <c r="D165" i="3"/>
  <c r="I165" i="3" s="1"/>
  <c r="B177" i="3"/>
  <c r="I151" i="13"/>
  <c r="K151" i="19" s="1"/>
  <c r="E172" i="3"/>
  <c r="G172" i="3" s="1"/>
  <c r="H172" i="3" s="1"/>
  <c r="D172" i="3"/>
  <c r="B184" i="3"/>
  <c r="E175" i="3"/>
  <c r="B187" i="3"/>
  <c r="D175" i="3"/>
  <c r="I147" i="14"/>
  <c r="E202" i="3"/>
  <c r="D202" i="3"/>
  <c r="B214" i="3"/>
  <c r="I164" i="3"/>
  <c r="I149" i="13"/>
  <c r="K149" i="18" s="1"/>
  <c r="C179" i="3"/>
  <c r="F167" i="3"/>
  <c r="G167" i="3" s="1"/>
  <c r="H167" i="3" s="1"/>
  <c r="D167" i="3"/>
  <c r="I162" i="3"/>
  <c r="E165" i="25"/>
  <c r="B177" i="25"/>
  <c r="D165" i="25"/>
  <c r="I167" i="25" s="1"/>
  <c r="C188" i="25"/>
  <c r="F176" i="25"/>
  <c r="G176" i="25" s="1"/>
  <c r="H176" i="25" s="1"/>
  <c r="F165" i="25"/>
  <c r="C177" i="25"/>
  <c r="B200" i="25"/>
  <c r="E188" i="25"/>
  <c r="D188" i="25"/>
  <c r="I155" i="25"/>
  <c r="I157" i="25"/>
  <c r="I160" i="25"/>
  <c r="I159" i="25"/>
  <c r="I158" i="25"/>
  <c r="I153" i="25"/>
  <c r="C186" i="25"/>
  <c r="F174" i="25"/>
  <c r="G174" i="25" s="1"/>
  <c r="H174" i="25" s="1"/>
  <c r="D174" i="25"/>
  <c r="F185" i="25"/>
  <c r="G185" i="25" s="1"/>
  <c r="H185" i="25" s="1"/>
  <c r="C197" i="25"/>
  <c r="B192" i="25"/>
  <c r="D180" i="25"/>
  <c r="E180" i="25"/>
  <c r="C183" i="25"/>
  <c r="F171" i="25"/>
  <c r="G171" i="25" s="1"/>
  <c r="H171" i="25" s="1"/>
  <c r="E169" i="25"/>
  <c r="B181" i="25"/>
  <c r="D169" i="25"/>
  <c r="B191" i="25"/>
  <c r="E179" i="25"/>
  <c r="D179" i="25"/>
  <c r="B222" i="25"/>
  <c r="E210" i="25"/>
  <c r="I161" i="25"/>
  <c r="D176" i="25"/>
  <c r="C192" i="25"/>
  <c r="F180" i="25"/>
  <c r="F169" i="25"/>
  <c r="C181" i="25"/>
  <c r="E178" i="25"/>
  <c r="D178" i="25"/>
  <c r="B190" i="25"/>
  <c r="C194" i="25"/>
  <c r="F182" i="25"/>
  <c r="G182" i="25" s="1"/>
  <c r="H182" i="25" s="1"/>
  <c r="E211" i="25"/>
  <c r="B223" i="25"/>
  <c r="D182" i="25"/>
  <c r="E185" i="25"/>
  <c r="D185" i="25"/>
  <c r="B197" i="25"/>
  <c r="C178" i="25"/>
  <c r="F166" i="25"/>
  <c r="G166" i="25" s="1"/>
  <c r="H166" i="25" s="1"/>
  <c r="E194" i="25"/>
  <c r="B206" i="25"/>
  <c r="I164" i="25"/>
  <c r="I162" i="25"/>
  <c r="I163" i="25"/>
  <c r="B183" i="25"/>
  <c r="E171" i="25"/>
  <c r="D171" i="25"/>
  <c r="F187" i="25"/>
  <c r="G187" i="25" s="1"/>
  <c r="H187" i="25" s="1"/>
  <c r="C199" i="25"/>
  <c r="D187" i="25"/>
  <c r="C191" i="25"/>
  <c r="F179" i="25"/>
  <c r="G179" i="25" s="1"/>
  <c r="H179" i="25" s="1"/>
  <c r="I154" i="25"/>
  <c r="E177" i="14"/>
  <c r="G177" i="14" s="1"/>
  <c r="H177" i="14" s="1"/>
  <c r="B189" i="14"/>
  <c r="D177" i="14"/>
  <c r="I148" i="14"/>
  <c r="E164" i="14"/>
  <c r="D164" i="14"/>
  <c r="B176" i="14"/>
  <c r="I151" i="14"/>
  <c r="C188" i="14"/>
  <c r="F176" i="14"/>
  <c r="B194" i="14"/>
  <c r="E182" i="14"/>
  <c r="I154" i="14"/>
  <c r="C186" i="14"/>
  <c r="F174" i="14"/>
  <c r="G174" i="14" s="1"/>
  <c r="H174" i="14" s="1"/>
  <c r="I149" i="14"/>
  <c r="E159" i="14"/>
  <c r="G159" i="14" s="1"/>
  <c r="H159" i="14" s="1"/>
  <c r="D159" i="14"/>
  <c r="B171" i="14"/>
  <c r="C182" i="14"/>
  <c r="F170" i="14"/>
  <c r="G170" i="14" s="1"/>
  <c r="H170" i="14" s="1"/>
  <c r="I155" i="14"/>
  <c r="G164" i="14"/>
  <c r="H164" i="14" s="1"/>
  <c r="C226" i="14"/>
  <c r="F226" i="14" s="1"/>
  <c r="F214" i="14"/>
  <c r="E163" i="14"/>
  <c r="G163" i="14" s="1"/>
  <c r="H163" i="14" s="1"/>
  <c r="D163" i="14"/>
  <c r="B175" i="14"/>
  <c r="I152" i="14"/>
  <c r="G148" i="14"/>
  <c r="H148" i="14" s="1"/>
  <c r="E174" i="14"/>
  <c r="B186" i="14"/>
  <c r="D174" i="14"/>
  <c r="E173" i="14"/>
  <c r="G173" i="14" s="1"/>
  <c r="H173" i="14" s="1"/>
  <c r="B185" i="14"/>
  <c r="D173" i="14"/>
  <c r="F160" i="14"/>
  <c r="G160" i="14" s="1"/>
  <c r="H160" i="14" s="1"/>
  <c r="C172" i="14"/>
  <c r="F168" i="14"/>
  <c r="G168" i="14" s="1"/>
  <c r="H168" i="14" s="1"/>
  <c r="C180" i="14"/>
  <c r="I158" i="14"/>
  <c r="I156" i="14"/>
  <c r="I157" i="14"/>
  <c r="E181" i="14"/>
  <c r="G181" i="14" s="1"/>
  <c r="H181" i="14" s="1"/>
  <c r="B193" i="14"/>
  <c r="D181" i="14"/>
  <c r="B214" i="14"/>
  <c r="E202" i="14"/>
  <c r="G202" i="14" s="1"/>
  <c r="H202" i="14" s="1"/>
  <c r="D202" i="14"/>
  <c r="G156" i="14"/>
  <c r="H156" i="14" s="1"/>
  <c r="F195" i="14"/>
  <c r="C207" i="14"/>
  <c r="E167" i="14"/>
  <c r="G167" i="14" s="1"/>
  <c r="H167" i="14" s="1"/>
  <c r="D167" i="14"/>
  <c r="B179" i="14"/>
  <c r="I150" i="14"/>
  <c r="E160" i="14"/>
  <c r="D160" i="14"/>
  <c r="B172" i="14"/>
  <c r="F199" i="14"/>
  <c r="C211" i="14"/>
  <c r="F191" i="14"/>
  <c r="C203" i="14"/>
  <c r="E168" i="14"/>
  <c r="D168" i="14"/>
  <c r="B180" i="14"/>
  <c r="C171" i="13"/>
  <c r="F159" i="13"/>
  <c r="G159" i="13" s="1"/>
  <c r="H159" i="13" s="1"/>
  <c r="D159" i="13"/>
  <c r="I159" i="13" s="1"/>
  <c r="K136" i="19"/>
  <c r="K136" i="18"/>
  <c r="K140" i="18"/>
  <c r="K140" i="19"/>
  <c r="F186" i="13"/>
  <c r="G186" i="13" s="1"/>
  <c r="H186" i="13" s="1"/>
  <c r="C198" i="13"/>
  <c r="E166" i="13"/>
  <c r="B178" i="13"/>
  <c r="D166" i="13"/>
  <c r="B195" i="13"/>
  <c r="E183" i="13"/>
  <c r="B182" i="13"/>
  <c r="D170" i="13"/>
  <c r="E170" i="13"/>
  <c r="G170" i="13" s="1"/>
  <c r="H170" i="13" s="1"/>
  <c r="F181" i="13"/>
  <c r="G181" i="13" s="1"/>
  <c r="H181" i="13" s="1"/>
  <c r="C193" i="13"/>
  <c r="E189" i="13"/>
  <c r="B201" i="13"/>
  <c r="E193" i="13"/>
  <c r="B205" i="13"/>
  <c r="I156" i="18"/>
  <c r="D181" i="13"/>
  <c r="F164" i="13"/>
  <c r="C176" i="13"/>
  <c r="F161" i="13"/>
  <c r="G161" i="13" s="1"/>
  <c r="H161" i="13" s="1"/>
  <c r="C173" i="13"/>
  <c r="C218" i="13"/>
  <c r="F218" i="13" s="1"/>
  <c r="F206" i="13"/>
  <c r="D161" i="13"/>
  <c r="K146" i="19"/>
  <c r="K146" i="18"/>
  <c r="K142" i="18"/>
  <c r="K142" i="19"/>
  <c r="E168" i="13"/>
  <c r="B180" i="13"/>
  <c r="D168" i="13"/>
  <c r="C191" i="13"/>
  <c r="F179" i="13"/>
  <c r="D186" i="13"/>
  <c r="E186" i="13"/>
  <c r="B198" i="13"/>
  <c r="I154" i="13"/>
  <c r="K138" i="18"/>
  <c r="K138" i="19"/>
  <c r="K144" i="18"/>
  <c r="K144" i="19"/>
  <c r="D163" i="13"/>
  <c r="B175" i="13"/>
  <c r="E163" i="13"/>
  <c r="G163" i="13" s="1"/>
  <c r="H163" i="13" s="1"/>
  <c r="K135" i="18"/>
  <c r="K135" i="19"/>
  <c r="I152" i="18"/>
  <c r="I156" i="13"/>
  <c r="C199" i="13"/>
  <c r="F187" i="13"/>
  <c r="K137" i="19"/>
  <c r="K137" i="18"/>
  <c r="K143" i="18"/>
  <c r="K143" i="19"/>
  <c r="I153" i="18"/>
  <c r="K145" i="19"/>
  <c r="K145" i="18"/>
  <c r="F160" i="13"/>
  <c r="G160" i="13" s="1"/>
  <c r="H160" i="13" s="1"/>
  <c r="C172" i="13"/>
  <c r="E164" i="13"/>
  <c r="B176" i="13"/>
  <c r="D164" i="13"/>
  <c r="I153" i="19"/>
  <c r="E160" i="13"/>
  <c r="B172" i="13"/>
  <c r="D160" i="13"/>
  <c r="I146" i="19"/>
  <c r="I152" i="13"/>
  <c r="I155" i="13"/>
  <c r="K141" i="18"/>
  <c r="K141" i="19"/>
  <c r="E173" i="13"/>
  <c r="D173" i="13"/>
  <c r="B185" i="13"/>
  <c r="F168" i="13"/>
  <c r="C180" i="13"/>
  <c r="I158" i="18"/>
  <c r="I157" i="13"/>
  <c r="D167" i="13"/>
  <c r="B179" i="13"/>
  <c r="E167" i="13"/>
  <c r="G167" i="13" s="1"/>
  <c r="H167" i="13" s="1"/>
  <c r="F165" i="13"/>
  <c r="G165" i="13" s="1"/>
  <c r="H165" i="13" s="1"/>
  <c r="C177" i="13"/>
  <c r="D165" i="13"/>
  <c r="I152" i="23"/>
  <c r="C178" i="13"/>
  <c r="F166" i="13"/>
  <c r="G166" i="13" s="1"/>
  <c r="H166" i="13" s="1"/>
  <c r="I158" i="13"/>
  <c r="F179" i="19"/>
  <c r="G179" i="19" s="1"/>
  <c r="H179" i="19" s="1"/>
  <c r="J179" i="19" s="1"/>
  <c r="C191" i="19"/>
  <c r="E162" i="19"/>
  <c r="D162" i="19"/>
  <c r="B174" i="19"/>
  <c r="C176" i="19"/>
  <c r="F164" i="19"/>
  <c r="G164" i="19" s="1"/>
  <c r="H164" i="19" s="1"/>
  <c r="J164" i="19" s="1"/>
  <c r="E158" i="19"/>
  <c r="D158" i="19"/>
  <c r="I161" i="19" s="1"/>
  <c r="B170" i="19"/>
  <c r="B199" i="19"/>
  <c r="E187" i="19"/>
  <c r="D187" i="19"/>
  <c r="G181" i="19"/>
  <c r="H181" i="19" s="1"/>
  <c r="J181" i="19" s="1"/>
  <c r="C205" i="19"/>
  <c r="F193" i="19"/>
  <c r="E183" i="19"/>
  <c r="D183" i="19"/>
  <c r="B195" i="19"/>
  <c r="D179" i="19"/>
  <c r="E179" i="19"/>
  <c r="B191" i="19"/>
  <c r="C178" i="19"/>
  <c r="F166" i="19"/>
  <c r="I149" i="23"/>
  <c r="G150" i="19"/>
  <c r="H150" i="19" s="1"/>
  <c r="J150" i="19" s="1"/>
  <c r="F204" i="19"/>
  <c r="C216" i="19"/>
  <c r="I157" i="19"/>
  <c r="I156" i="19"/>
  <c r="F183" i="19"/>
  <c r="C195" i="19"/>
  <c r="E185" i="19"/>
  <c r="G185" i="19" s="1"/>
  <c r="H185" i="19" s="1"/>
  <c r="J185" i="19" s="1"/>
  <c r="D185" i="19"/>
  <c r="B197" i="19"/>
  <c r="G154" i="19"/>
  <c r="H154" i="19" s="1"/>
  <c r="J154" i="19" s="1"/>
  <c r="I155" i="19"/>
  <c r="I151" i="19"/>
  <c r="D164" i="19"/>
  <c r="B177" i="19"/>
  <c r="D165" i="19"/>
  <c r="E165" i="19"/>
  <c r="G165" i="19" s="1"/>
  <c r="H165" i="19" s="1"/>
  <c r="J165" i="19" s="1"/>
  <c r="F197" i="19"/>
  <c r="C209" i="19"/>
  <c r="F158" i="19"/>
  <c r="G158" i="19" s="1"/>
  <c r="H158" i="19" s="1"/>
  <c r="J158" i="19" s="1"/>
  <c r="C170" i="19"/>
  <c r="I150" i="19"/>
  <c r="B196" i="19"/>
  <c r="E184" i="19"/>
  <c r="G184" i="19" s="1"/>
  <c r="H184" i="19" s="1"/>
  <c r="J184" i="19" s="1"/>
  <c r="D184" i="19"/>
  <c r="E166" i="19"/>
  <c r="D166" i="19"/>
  <c r="B178" i="19"/>
  <c r="I154" i="19"/>
  <c r="I150" i="23"/>
  <c r="I152" i="19"/>
  <c r="I148" i="23"/>
  <c r="C174" i="19"/>
  <c r="F162" i="19"/>
  <c r="G162" i="19" s="1"/>
  <c r="H162" i="19" s="1"/>
  <c r="J162" i="19" s="1"/>
  <c r="C225" i="19"/>
  <c r="F225" i="19" s="1"/>
  <c r="F213" i="19"/>
  <c r="G187" i="19"/>
  <c r="H187" i="19" s="1"/>
  <c r="J187" i="19" s="1"/>
  <c r="E168" i="19"/>
  <c r="G168" i="19" s="1"/>
  <c r="H168" i="19" s="1"/>
  <c r="J168" i="19" s="1"/>
  <c r="B180" i="19"/>
  <c r="D168" i="19"/>
  <c r="E176" i="19"/>
  <c r="D176" i="19"/>
  <c r="B188" i="19"/>
  <c r="I147" i="23"/>
  <c r="C211" i="19"/>
  <c r="F199" i="19"/>
  <c r="F196" i="19"/>
  <c r="C208" i="19"/>
  <c r="E193" i="19"/>
  <c r="D193" i="19"/>
  <c r="B205" i="19"/>
  <c r="C203" i="18"/>
  <c r="F191" i="18"/>
  <c r="D181" i="18"/>
  <c r="E181" i="18"/>
  <c r="B193" i="18"/>
  <c r="C189" i="18"/>
  <c r="F177" i="18"/>
  <c r="G154" i="18"/>
  <c r="H154" i="18" s="1"/>
  <c r="J154" i="18" s="1"/>
  <c r="I159" i="18"/>
  <c r="B183" i="18"/>
  <c r="E171" i="18"/>
  <c r="D171" i="18"/>
  <c r="B189" i="18"/>
  <c r="D177" i="18"/>
  <c r="E177" i="18"/>
  <c r="E176" i="18"/>
  <c r="D176" i="18"/>
  <c r="B188" i="18"/>
  <c r="F182" i="18"/>
  <c r="C194" i="18"/>
  <c r="E172" i="18"/>
  <c r="G172" i="18" s="1"/>
  <c r="H172" i="18" s="1"/>
  <c r="J172" i="18" s="1"/>
  <c r="B184" i="18"/>
  <c r="D172" i="18"/>
  <c r="I157" i="18"/>
  <c r="I155" i="18"/>
  <c r="G159" i="18"/>
  <c r="H159" i="18" s="1"/>
  <c r="J159" i="18" s="1"/>
  <c r="B216" i="18"/>
  <c r="E204" i="18"/>
  <c r="F181" i="18"/>
  <c r="C193" i="18"/>
  <c r="F175" i="18"/>
  <c r="C187" i="18"/>
  <c r="C192" i="18"/>
  <c r="F180" i="18"/>
  <c r="G180" i="18" s="1"/>
  <c r="H180" i="18" s="1"/>
  <c r="J180" i="18" s="1"/>
  <c r="D180" i="18"/>
  <c r="G169" i="18"/>
  <c r="H169" i="18" s="1"/>
  <c r="J169" i="18" s="1"/>
  <c r="F184" i="18"/>
  <c r="C196" i="18"/>
  <c r="F176" i="18"/>
  <c r="C188" i="18"/>
  <c r="E210" i="18"/>
  <c r="B222" i="18"/>
  <c r="B203" i="18"/>
  <c r="E191" i="18"/>
  <c r="D191" i="18"/>
  <c r="D170" i="18"/>
  <c r="E170" i="18"/>
  <c r="G170" i="18" s="1"/>
  <c r="H170" i="18" s="1"/>
  <c r="J170" i="18" s="1"/>
  <c r="B182" i="18"/>
  <c r="F166" i="18"/>
  <c r="G166" i="18" s="1"/>
  <c r="H166" i="18" s="1"/>
  <c r="J166" i="18" s="1"/>
  <c r="C178" i="18"/>
  <c r="F186" i="18"/>
  <c r="G186" i="18" s="1"/>
  <c r="H186" i="18" s="1"/>
  <c r="J186" i="18" s="1"/>
  <c r="C198" i="18"/>
  <c r="D186" i="18"/>
  <c r="F171" i="18"/>
  <c r="C183" i="18"/>
  <c r="B187" i="18"/>
  <c r="D175" i="18"/>
  <c r="E175" i="18"/>
  <c r="E166" i="18"/>
  <c r="D166" i="18"/>
  <c r="B178" i="18"/>
  <c r="I154" i="18"/>
  <c r="C173" i="18"/>
  <c r="F161" i="18"/>
  <c r="B173" i="18"/>
  <c r="E161" i="18"/>
  <c r="D161" i="18"/>
  <c r="I165" i="18" s="1"/>
  <c r="I160" i="18"/>
  <c r="I149" i="18"/>
  <c r="I150" i="18"/>
  <c r="F207" i="22"/>
  <c r="C219" i="22"/>
  <c r="F219" i="22" s="1"/>
  <c r="C187" i="22"/>
  <c r="F175" i="22"/>
  <c r="F166" i="22"/>
  <c r="C178" i="22"/>
  <c r="I158" i="22"/>
  <c r="D172" i="22"/>
  <c r="B184" i="22"/>
  <c r="E172" i="22"/>
  <c r="E173" i="22"/>
  <c r="D173" i="22"/>
  <c r="B185" i="22"/>
  <c r="G154" i="22"/>
  <c r="H154" i="22" s="1"/>
  <c r="F172" i="22"/>
  <c r="G172" i="22" s="1"/>
  <c r="H172" i="22" s="1"/>
  <c r="C184" i="22"/>
  <c r="E177" i="22"/>
  <c r="D177" i="22"/>
  <c r="B189" i="22"/>
  <c r="D180" i="22"/>
  <c r="B192" i="22"/>
  <c r="E180" i="22"/>
  <c r="I162" i="22"/>
  <c r="I152" i="22"/>
  <c r="F180" i="22"/>
  <c r="C192" i="22"/>
  <c r="G168" i="22"/>
  <c r="H168" i="22" s="1"/>
  <c r="I156" i="22"/>
  <c r="E167" i="22"/>
  <c r="D167" i="22"/>
  <c r="B179" i="22"/>
  <c r="F173" i="22"/>
  <c r="C185" i="22"/>
  <c r="F174" i="22"/>
  <c r="G174" i="22" s="1"/>
  <c r="H174" i="22" s="1"/>
  <c r="C186" i="22"/>
  <c r="D174" i="22"/>
  <c r="I154" i="22"/>
  <c r="D176" i="22"/>
  <c r="B188" i="22"/>
  <c r="E176" i="22"/>
  <c r="C179" i="22"/>
  <c r="F167" i="22"/>
  <c r="G167" i="22" s="1"/>
  <c r="H167" i="22" s="1"/>
  <c r="G161" i="22"/>
  <c r="H161" i="22" s="1"/>
  <c r="F165" i="22"/>
  <c r="G165" i="22" s="1"/>
  <c r="H165" i="22" s="1"/>
  <c r="C177" i="22"/>
  <c r="C194" i="22"/>
  <c r="F182" i="22"/>
  <c r="B194" i="22"/>
  <c r="D182" i="22"/>
  <c r="E182" i="22"/>
  <c r="E171" i="22"/>
  <c r="G171" i="22" s="1"/>
  <c r="H171" i="22" s="1"/>
  <c r="B183" i="22"/>
  <c r="D171" i="22"/>
  <c r="I157" i="22"/>
  <c r="E198" i="22"/>
  <c r="B210" i="22"/>
  <c r="F205" i="22"/>
  <c r="C217" i="22"/>
  <c r="G170" i="22"/>
  <c r="H170" i="22" s="1"/>
  <c r="I151" i="22"/>
  <c r="G160" i="22"/>
  <c r="H160" i="22" s="1"/>
  <c r="I161" i="22"/>
  <c r="E163" i="22"/>
  <c r="G163" i="22" s="1"/>
  <c r="H163" i="22" s="1"/>
  <c r="D163" i="22"/>
  <c r="B175" i="22"/>
  <c r="F176" i="22"/>
  <c r="G176" i="22" s="1"/>
  <c r="H176" i="22" s="1"/>
  <c r="C188" i="22"/>
  <c r="E181" i="22"/>
  <c r="G181" i="22" s="1"/>
  <c r="H181" i="22" s="1"/>
  <c r="D181" i="22"/>
  <c r="B193" i="22"/>
  <c r="I159" i="22"/>
  <c r="E166" i="22"/>
  <c r="D166" i="22"/>
  <c r="B178" i="22"/>
  <c r="I160" i="22"/>
  <c r="I155" i="22"/>
  <c r="G173" i="23"/>
  <c r="H173" i="23" s="1"/>
  <c r="E179" i="23"/>
  <c r="D179" i="23"/>
  <c r="B191" i="23"/>
  <c r="D162" i="23"/>
  <c r="E162" i="23"/>
  <c r="G162" i="23" s="1"/>
  <c r="H162" i="23" s="1"/>
  <c r="B174" i="23"/>
  <c r="E185" i="23"/>
  <c r="D185" i="23"/>
  <c r="B197" i="23"/>
  <c r="G167" i="23"/>
  <c r="H167" i="23" s="1"/>
  <c r="E160" i="23"/>
  <c r="D160" i="23"/>
  <c r="B172" i="23"/>
  <c r="G160" i="23"/>
  <c r="H160" i="23" s="1"/>
  <c r="E182" i="23"/>
  <c r="B194" i="23"/>
  <c r="F202" i="23"/>
  <c r="C214" i="23"/>
  <c r="E181" i="23"/>
  <c r="D181" i="23"/>
  <c r="B193" i="23"/>
  <c r="G190" i="23"/>
  <c r="H190" i="23" s="1"/>
  <c r="G169" i="23"/>
  <c r="H169" i="23" s="1"/>
  <c r="F185" i="23"/>
  <c r="G185" i="23" s="1"/>
  <c r="H185" i="23" s="1"/>
  <c r="C197" i="23"/>
  <c r="I158" i="23"/>
  <c r="I156" i="23"/>
  <c r="I153" i="23"/>
  <c r="F181" i="23"/>
  <c r="C193" i="23"/>
  <c r="F159" i="23"/>
  <c r="G159" i="23" s="1"/>
  <c r="H159" i="23" s="1"/>
  <c r="C171" i="23"/>
  <c r="D159" i="23"/>
  <c r="I159" i="23" s="1"/>
  <c r="I155" i="23"/>
  <c r="E168" i="23"/>
  <c r="G168" i="23" s="1"/>
  <c r="H168" i="23" s="1"/>
  <c r="D168" i="23"/>
  <c r="B180" i="23"/>
  <c r="F198" i="23"/>
  <c r="C210" i="23"/>
  <c r="F172" i="23"/>
  <c r="C184" i="23"/>
  <c r="F179" i="23"/>
  <c r="G179" i="23" s="1"/>
  <c r="H179" i="23" s="1"/>
  <c r="C191" i="23"/>
  <c r="E177" i="23"/>
  <c r="G177" i="23" s="1"/>
  <c r="H177" i="23" s="1"/>
  <c r="D177" i="23"/>
  <c r="B189" i="23"/>
  <c r="F192" i="23"/>
  <c r="C204" i="23"/>
  <c r="E199" i="23"/>
  <c r="B211" i="23"/>
  <c r="F176" i="23"/>
  <c r="G176" i="23" s="1"/>
  <c r="H176" i="23" s="1"/>
  <c r="C188" i="23"/>
  <c r="D176" i="23"/>
  <c r="F175" i="23"/>
  <c r="G175" i="23" s="1"/>
  <c r="H175" i="23" s="1"/>
  <c r="C187" i="23"/>
  <c r="D175" i="23"/>
  <c r="F189" i="23"/>
  <c r="C201" i="23"/>
  <c r="E190" i="23"/>
  <c r="D190" i="23"/>
  <c r="B202" i="23"/>
  <c r="B212" i="23"/>
  <c r="E200" i="23"/>
  <c r="I154" i="23"/>
  <c r="C182" i="23"/>
  <c r="D182" i="23" s="1"/>
  <c r="F170" i="23"/>
  <c r="G170" i="23" s="1"/>
  <c r="H170" i="23" s="1"/>
  <c r="B195" i="23"/>
  <c r="E183" i="23"/>
  <c r="I166" i="3" l="1"/>
  <c r="I167" i="3"/>
  <c r="I170" i="20"/>
  <c r="I170" i="3"/>
  <c r="I173" i="3"/>
  <c r="G179" i="20"/>
  <c r="H179" i="20" s="1"/>
  <c r="E172" i="20"/>
  <c r="D172" i="20"/>
  <c r="B184" i="20"/>
  <c r="C203" i="20"/>
  <c r="F191" i="20"/>
  <c r="E171" i="20"/>
  <c r="D171" i="20"/>
  <c r="I171" i="20" s="1"/>
  <c r="B183" i="20"/>
  <c r="E177" i="20"/>
  <c r="D177" i="20"/>
  <c r="B189" i="20"/>
  <c r="E186" i="20"/>
  <c r="D186" i="20"/>
  <c r="B198" i="20"/>
  <c r="B194" i="20"/>
  <c r="E182" i="20"/>
  <c r="G182" i="20" s="1"/>
  <c r="H182" i="20" s="1"/>
  <c r="D182" i="20"/>
  <c r="F180" i="20"/>
  <c r="C192" i="20"/>
  <c r="G168" i="20"/>
  <c r="H168" i="20" s="1"/>
  <c r="F176" i="20"/>
  <c r="G176" i="20" s="1"/>
  <c r="H176" i="20" s="1"/>
  <c r="C188" i="20"/>
  <c r="E173" i="20"/>
  <c r="D173" i="20"/>
  <c r="B185" i="20"/>
  <c r="I166" i="20"/>
  <c r="G164" i="20"/>
  <c r="H164" i="20" s="1"/>
  <c r="E176" i="20"/>
  <c r="D176" i="20"/>
  <c r="B188" i="20"/>
  <c r="I169" i="20"/>
  <c r="I160" i="20"/>
  <c r="I168" i="20"/>
  <c r="C195" i="20"/>
  <c r="F183" i="20"/>
  <c r="F172" i="20"/>
  <c r="C184" i="20"/>
  <c r="G171" i="20"/>
  <c r="H171" i="20" s="1"/>
  <c r="G160" i="20"/>
  <c r="H160" i="20" s="1"/>
  <c r="E181" i="20"/>
  <c r="D181" i="20"/>
  <c r="B193" i="20"/>
  <c r="F181" i="20"/>
  <c r="G181" i="20" s="1"/>
  <c r="H181" i="20" s="1"/>
  <c r="C193" i="20"/>
  <c r="I167" i="20"/>
  <c r="I164" i="20"/>
  <c r="F186" i="20"/>
  <c r="G186" i="20" s="1"/>
  <c r="H186" i="20" s="1"/>
  <c r="C198" i="20"/>
  <c r="I159" i="20"/>
  <c r="G175" i="20"/>
  <c r="H175" i="20" s="1"/>
  <c r="C199" i="20"/>
  <c r="F187" i="20"/>
  <c r="E180" i="20"/>
  <c r="D180" i="20"/>
  <c r="B192" i="20"/>
  <c r="G178" i="20"/>
  <c r="H178" i="20" s="1"/>
  <c r="F190" i="20"/>
  <c r="C202" i="20"/>
  <c r="F173" i="20"/>
  <c r="C185" i="20"/>
  <c r="G161" i="20"/>
  <c r="H161" i="20" s="1"/>
  <c r="I163" i="20"/>
  <c r="E179" i="20"/>
  <c r="B191" i="20"/>
  <c r="D179" i="20"/>
  <c r="I162" i="20"/>
  <c r="F177" i="20"/>
  <c r="G177" i="20" s="1"/>
  <c r="H177" i="20" s="1"/>
  <c r="C189" i="20"/>
  <c r="G165" i="20"/>
  <c r="H165" i="20" s="1"/>
  <c r="E175" i="20"/>
  <c r="D175" i="20"/>
  <c r="B187" i="20"/>
  <c r="F206" i="20"/>
  <c r="C218" i="20"/>
  <c r="F218" i="20" s="1"/>
  <c r="I165" i="20"/>
  <c r="E190" i="20"/>
  <c r="D190" i="20"/>
  <c r="B202" i="20"/>
  <c r="I161" i="20"/>
  <c r="G180" i="12"/>
  <c r="H180" i="12" s="1"/>
  <c r="I168" i="12"/>
  <c r="F192" i="12"/>
  <c r="C204" i="12"/>
  <c r="F177" i="12"/>
  <c r="G177" i="12" s="1"/>
  <c r="H177" i="12" s="1"/>
  <c r="C189" i="12"/>
  <c r="E173" i="12"/>
  <c r="D173" i="12"/>
  <c r="B185" i="12"/>
  <c r="C223" i="12"/>
  <c r="F223" i="12" s="1"/>
  <c r="F211" i="12"/>
  <c r="G199" i="12"/>
  <c r="H199" i="12" s="1"/>
  <c r="C190" i="12"/>
  <c r="F178" i="12"/>
  <c r="C206" i="12"/>
  <c r="F194" i="12"/>
  <c r="I165" i="12"/>
  <c r="G174" i="12"/>
  <c r="H174" i="12" s="1"/>
  <c r="I164" i="12"/>
  <c r="E181" i="12"/>
  <c r="D181" i="12"/>
  <c r="B193" i="12"/>
  <c r="C203" i="12"/>
  <c r="F191" i="12"/>
  <c r="G191" i="12" s="1"/>
  <c r="H191" i="12" s="1"/>
  <c r="F184" i="12"/>
  <c r="C196" i="12"/>
  <c r="F181" i="12"/>
  <c r="G181" i="12" s="1"/>
  <c r="H181" i="12" s="1"/>
  <c r="C193" i="12"/>
  <c r="G169" i="12"/>
  <c r="H169" i="12" s="1"/>
  <c r="E172" i="12"/>
  <c r="G172" i="12" s="1"/>
  <c r="H172" i="12" s="1"/>
  <c r="D172" i="12"/>
  <c r="I172" i="12" s="1"/>
  <c r="B184" i="12"/>
  <c r="E199" i="12"/>
  <c r="D199" i="12"/>
  <c r="B211" i="12"/>
  <c r="E176" i="12"/>
  <c r="D176" i="12"/>
  <c r="B188" i="12"/>
  <c r="I171" i="12"/>
  <c r="I169" i="12"/>
  <c r="I166" i="12"/>
  <c r="B206" i="12"/>
  <c r="E194" i="12"/>
  <c r="D194" i="12"/>
  <c r="I167" i="12"/>
  <c r="I170" i="12"/>
  <c r="C198" i="12"/>
  <c r="F186" i="12"/>
  <c r="B190" i="12"/>
  <c r="E178" i="12"/>
  <c r="D178" i="12"/>
  <c r="B198" i="12"/>
  <c r="E186" i="12"/>
  <c r="D186" i="12"/>
  <c r="B195" i="12"/>
  <c r="E183" i="12"/>
  <c r="D183" i="12"/>
  <c r="B215" i="12"/>
  <c r="E203" i="12"/>
  <c r="F188" i="12"/>
  <c r="C200" i="12"/>
  <c r="E180" i="12"/>
  <c r="D180" i="12"/>
  <c r="B192" i="12"/>
  <c r="G176" i="12"/>
  <c r="H176" i="12" s="1"/>
  <c r="E177" i="12"/>
  <c r="D177" i="12"/>
  <c r="B189" i="12"/>
  <c r="F173" i="12"/>
  <c r="G173" i="12" s="1"/>
  <c r="H173" i="12" s="1"/>
  <c r="C185" i="12"/>
  <c r="I162" i="12"/>
  <c r="C195" i="12"/>
  <c r="F183" i="12"/>
  <c r="G161" i="12"/>
  <c r="H161" i="12" s="1"/>
  <c r="I163" i="12"/>
  <c r="E192" i="11"/>
  <c r="D192" i="11"/>
  <c r="B204" i="11"/>
  <c r="F179" i="11"/>
  <c r="G179" i="11" s="1"/>
  <c r="H179" i="11" s="1"/>
  <c r="C191" i="11"/>
  <c r="B226" i="11"/>
  <c r="E214" i="11"/>
  <c r="D214" i="11"/>
  <c r="C211" i="11"/>
  <c r="F199" i="11"/>
  <c r="E193" i="11"/>
  <c r="B205" i="11"/>
  <c r="F192" i="11"/>
  <c r="G192" i="11" s="1"/>
  <c r="H192" i="11" s="1"/>
  <c r="C204" i="11"/>
  <c r="C198" i="11"/>
  <c r="F186" i="11"/>
  <c r="G186" i="11" s="1"/>
  <c r="H186" i="11" s="1"/>
  <c r="F188" i="11"/>
  <c r="C200" i="11"/>
  <c r="F173" i="11"/>
  <c r="G173" i="11" s="1"/>
  <c r="H173" i="11" s="1"/>
  <c r="C185" i="11"/>
  <c r="F177" i="11"/>
  <c r="G177" i="11" s="1"/>
  <c r="H177" i="11" s="1"/>
  <c r="C189" i="11"/>
  <c r="E171" i="11"/>
  <c r="G171" i="11" s="1"/>
  <c r="H171" i="11" s="1"/>
  <c r="D171" i="11"/>
  <c r="B183" i="11"/>
  <c r="G176" i="11"/>
  <c r="H176" i="11" s="1"/>
  <c r="E182" i="11"/>
  <c r="D182" i="11"/>
  <c r="B194" i="11"/>
  <c r="I172" i="11"/>
  <c r="E185" i="11"/>
  <c r="B197" i="11"/>
  <c r="B198" i="11"/>
  <c r="E186" i="11"/>
  <c r="D186" i="11"/>
  <c r="I160" i="11"/>
  <c r="I163" i="11"/>
  <c r="I171" i="11"/>
  <c r="F183" i="11"/>
  <c r="C195" i="11"/>
  <c r="F184" i="11"/>
  <c r="G184" i="11" s="1"/>
  <c r="H184" i="11" s="1"/>
  <c r="C196" i="11"/>
  <c r="F181" i="11"/>
  <c r="G181" i="11" s="1"/>
  <c r="H181" i="11" s="1"/>
  <c r="C193" i="11"/>
  <c r="G214" i="11"/>
  <c r="H214" i="11" s="1"/>
  <c r="D179" i="11"/>
  <c r="E187" i="11"/>
  <c r="G187" i="11" s="1"/>
  <c r="H187" i="11" s="1"/>
  <c r="D187" i="11"/>
  <c r="B199" i="11"/>
  <c r="F182" i="11"/>
  <c r="C194" i="11"/>
  <c r="G180" i="11"/>
  <c r="H180" i="11" s="1"/>
  <c r="I170" i="11"/>
  <c r="I168" i="11"/>
  <c r="I167" i="11"/>
  <c r="D173" i="11"/>
  <c r="I174" i="11" s="1"/>
  <c r="E191" i="11"/>
  <c r="D191" i="11"/>
  <c r="B203" i="11"/>
  <c r="G170" i="11"/>
  <c r="H170" i="11" s="1"/>
  <c r="E184" i="11"/>
  <c r="D184" i="11"/>
  <c r="B196" i="11"/>
  <c r="E189" i="11"/>
  <c r="B201" i="11"/>
  <c r="E188" i="11"/>
  <c r="D188" i="11"/>
  <c r="B200" i="11"/>
  <c r="L150" i="19"/>
  <c r="I170" i="10"/>
  <c r="B183" i="10"/>
  <c r="E171" i="10"/>
  <c r="G171" i="10" s="1"/>
  <c r="H171" i="10" s="1"/>
  <c r="D171" i="10"/>
  <c r="I177" i="10" s="1"/>
  <c r="F174" i="10"/>
  <c r="G174" i="10" s="1"/>
  <c r="H174" i="10" s="1"/>
  <c r="C186" i="10"/>
  <c r="D174" i="10"/>
  <c r="C187" i="10"/>
  <c r="F175" i="10"/>
  <c r="E191" i="10"/>
  <c r="D191" i="10"/>
  <c r="B203" i="10"/>
  <c r="F177" i="10"/>
  <c r="C189" i="10"/>
  <c r="F183" i="10"/>
  <c r="C195" i="10"/>
  <c r="E175" i="10"/>
  <c r="D175" i="10"/>
  <c r="B187" i="10"/>
  <c r="B226" i="10"/>
  <c r="E214" i="10"/>
  <c r="D214" i="10"/>
  <c r="I225" i="10" s="1"/>
  <c r="E182" i="10"/>
  <c r="D182" i="10"/>
  <c r="B194" i="10"/>
  <c r="I167" i="10"/>
  <c r="I168" i="10"/>
  <c r="E177" i="10"/>
  <c r="D177" i="10"/>
  <c r="B189" i="10"/>
  <c r="F181" i="10"/>
  <c r="G181" i="10" s="1"/>
  <c r="H181" i="10" s="1"/>
  <c r="C193" i="10"/>
  <c r="F182" i="10"/>
  <c r="C194" i="10"/>
  <c r="I161" i="10"/>
  <c r="B210" i="10"/>
  <c r="E198" i="10"/>
  <c r="C226" i="10"/>
  <c r="F226" i="10" s="1"/>
  <c r="F214" i="10"/>
  <c r="I165" i="10"/>
  <c r="F173" i="10"/>
  <c r="C185" i="10"/>
  <c r="E181" i="10"/>
  <c r="D181" i="10"/>
  <c r="B193" i="10"/>
  <c r="G161" i="10"/>
  <c r="H161" i="10" s="1"/>
  <c r="I180" i="10"/>
  <c r="E173" i="10"/>
  <c r="D173" i="10"/>
  <c r="I175" i="10" s="1"/>
  <c r="B185" i="10"/>
  <c r="I162" i="10"/>
  <c r="G179" i="10"/>
  <c r="H179" i="10" s="1"/>
  <c r="I166" i="16"/>
  <c r="L166" i="18" s="1"/>
  <c r="I171" i="10"/>
  <c r="F191" i="10"/>
  <c r="G191" i="10" s="1"/>
  <c r="H191" i="10" s="1"/>
  <c r="C203" i="10"/>
  <c r="G170" i="8"/>
  <c r="H170" i="8" s="1"/>
  <c r="I166" i="8"/>
  <c r="I167" i="8"/>
  <c r="I169" i="8"/>
  <c r="I159" i="8"/>
  <c r="I168" i="8"/>
  <c r="E180" i="8"/>
  <c r="D180" i="8"/>
  <c r="B192" i="8"/>
  <c r="D186" i="8"/>
  <c r="B198" i="8"/>
  <c r="E186" i="8"/>
  <c r="I164" i="8"/>
  <c r="E181" i="8"/>
  <c r="G181" i="8" s="1"/>
  <c r="H181" i="8" s="1"/>
  <c r="D181" i="8"/>
  <c r="B193" i="8"/>
  <c r="E173" i="8"/>
  <c r="G173" i="8" s="1"/>
  <c r="H173" i="8" s="1"/>
  <c r="D173" i="8"/>
  <c r="B185" i="8"/>
  <c r="F193" i="8"/>
  <c r="C205" i="8"/>
  <c r="E171" i="8"/>
  <c r="G171" i="8" s="1"/>
  <c r="H171" i="8" s="1"/>
  <c r="D171" i="8"/>
  <c r="B183" i="8"/>
  <c r="E214" i="8"/>
  <c r="B226" i="8"/>
  <c r="F180" i="8"/>
  <c r="G180" i="8" s="1"/>
  <c r="H180" i="8" s="1"/>
  <c r="C192" i="8"/>
  <c r="I160" i="8"/>
  <c r="E172" i="8"/>
  <c r="D172" i="8"/>
  <c r="B184" i="8"/>
  <c r="G168" i="8"/>
  <c r="H168" i="8" s="1"/>
  <c r="F189" i="8"/>
  <c r="C201" i="8"/>
  <c r="E177" i="8"/>
  <c r="G177" i="8" s="1"/>
  <c r="H177" i="8" s="1"/>
  <c r="D177" i="8"/>
  <c r="B189" i="8"/>
  <c r="I163" i="8"/>
  <c r="F172" i="8"/>
  <c r="G172" i="8" s="1"/>
  <c r="H172" i="8" s="1"/>
  <c r="C184" i="8"/>
  <c r="I161" i="8"/>
  <c r="G174" i="8"/>
  <c r="H174" i="8" s="1"/>
  <c r="E215" i="8"/>
  <c r="G215" i="8" s="1"/>
  <c r="H215" i="8" s="1"/>
  <c r="D215" i="8"/>
  <c r="B227" i="8"/>
  <c r="F186" i="8"/>
  <c r="G186" i="8" s="1"/>
  <c r="H186" i="8" s="1"/>
  <c r="C198" i="8"/>
  <c r="I165" i="8"/>
  <c r="F190" i="8"/>
  <c r="G190" i="8" s="1"/>
  <c r="H190" i="8" s="1"/>
  <c r="C202" i="8"/>
  <c r="D190" i="8"/>
  <c r="F185" i="8"/>
  <c r="C197" i="8"/>
  <c r="F188" i="8"/>
  <c r="C200" i="8"/>
  <c r="E187" i="8"/>
  <c r="G187" i="8" s="1"/>
  <c r="H187" i="8" s="1"/>
  <c r="D187" i="8"/>
  <c r="B199" i="8"/>
  <c r="E176" i="8"/>
  <c r="G176" i="8" s="1"/>
  <c r="H176" i="8" s="1"/>
  <c r="D176" i="8"/>
  <c r="B188" i="8"/>
  <c r="E182" i="8"/>
  <c r="D182" i="8"/>
  <c r="B194" i="8"/>
  <c r="F182" i="8"/>
  <c r="G182" i="8" s="1"/>
  <c r="H182" i="8" s="1"/>
  <c r="C194" i="8"/>
  <c r="I162" i="8"/>
  <c r="F183" i="9"/>
  <c r="C195" i="9"/>
  <c r="F191" i="9"/>
  <c r="C203" i="9"/>
  <c r="I162" i="9"/>
  <c r="E172" i="9"/>
  <c r="D172" i="9"/>
  <c r="B184" i="9"/>
  <c r="E173" i="9"/>
  <c r="D173" i="9"/>
  <c r="B185" i="9"/>
  <c r="C202" i="9"/>
  <c r="F190" i="9"/>
  <c r="G190" i="9" s="1"/>
  <c r="H190" i="9" s="1"/>
  <c r="E181" i="9"/>
  <c r="D181" i="9"/>
  <c r="B193" i="9"/>
  <c r="E186" i="9"/>
  <c r="D186" i="9"/>
  <c r="B198" i="9"/>
  <c r="I174" i="9"/>
  <c r="I164" i="9"/>
  <c r="I170" i="9"/>
  <c r="I166" i="9"/>
  <c r="E171" i="9"/>
  <c r="G171" i="9" s="1"/>
  <c r="H171" i="9" s="1"/>
  <c r="D171" i="9"/>
  <c r="I177" i="9" s="1"/>
  <c r="B183" i="9"/>
  <c r="I160" i="16"/>
  <c r="L160" i="18" s="1"/>
  <c r="I161" i="9"/>
  <c r="F192" i="9"/>
  <c r="C204" i="9"/>
  <c r="F188" i="9"/>
  <c r="C200" i="9"/>
  <c r="F181" i="9"/>
  <c r="C193" i="9"/>
  <c r="B182" i="9"/>
  <c r="E170" i="9"/>
  <c r="D170" i="9"/>
  <c r="E180" i="9"/>
  <c r="D180" i="9"/>
  <c r="B192" i="9"/>
  <c r="F173" i="9"/>
  <c r="G173" i="9" s="1"/>
  <c r="H173" i="9" s="1"/>
  <c r="C185" i="9"/>
  <c r="I162" i="16"/>
  <c r="L162" i="19" s="1"/>
  <c r="G180" i="9"/>
  <c r="H180" i="9" s="1"/>
  <c r="C198" i="9"/>
  <c r="F186" i="9"/>
  <c r="G186" i="9" s="1"/>
  <c r="H186" i="9" s="1"/>
  <c r="L146" i="18"/>
  <c r="E179" i="9"/>
  <c r="G179" i="9" s="1"/>
  <c r="H179" i="9" s="1"/>
  <c r="D179" i="9"/>
  <c r="B191" i="9"/>
  <c r="E177" i="9"/>
  <c r="D177" i="9"/>
  <c r="B189" i="9"/>
  <c r="I169" i="9"/>
  <c r="I165" i="9"/>
  <c r="G174" i="9"/>
  <c r="H174" i="9" s="1"/>
  <c r="I159" i="16"/>
  <c r="L159" i="18" s="1"/>
  <c r="F177" i="9"/>
  <c r="C189" i="9"/>
  <c r="I161" i="16"/>
  <c r="L161" i="18" s="1"/>
  <c r="B202" i="9"/>
  <c r="D190" i="9"/>
  <c r="E190" i="9"/>
  <c r="F184" i="9"/>
  <c r="C196" i="9"/>
  <c r="I168" i="16"/>
  <c r="L168" i="18" s="1"/>
  <c r="G172" i="9"/>
  <c r="H172" i="9" s="1"/>
  <c r="F187" i="9"/>
  <c r="C199" i="9"/>
  <c r="I167" i="9"/>
  <c r="I158" i="9"/>
  <c r="E176" i="9"/>
  <c r="G176" i="9" s="1"/>
  <c r="H176" i="9" s="1"/>
  <c r="D176" i="9"/>
  <c r="B188" i="9"/>
  <c r="C182" i="9"/>
  <c r="F170" i="9"/>
  <c r="G170" i="9" s="1"/>
  <c r="H170" i="9" s="1"/>
  <c r="I168" i="9"/>
  <c r="G158" i="9"/>
  <c r="H158" i="9" s="1"/>
  <c r="E175" i="9"/>
  <c r="G175" i="9" s="1"/>
  <c r="H175" i="9" s="1"/>
  <c r="B187" i="9"/>
  <c r="D175" i="9"/>
  <c r="I179" i="9" s="1"/>
  <c r="I163" i="9"/>
  <c r="E177" i="16"/>
  <c r="D177" i="16"/>
  <c r="B189" i="16"/>
  <c r="F190" i="16"/>
  <c r="G190" i="16" s="1"/>
  <c r="H190" i="16" s="1"/>
  <c r="C202" i="16"/>
  <c r="F203" i="16"/>
  <c r="C215" i="16"/>
  <c r="L148" i="19"/>
  <c r="L148" i="18"/>
  <c r="C196" i="16"/>
  <c r="F184" i="16"/>
  <c r="G184" i="16" s="1"/>
  <c r="H184" i="16" s="1"/>
  <c r="F177" i="16"/>
  <c r="C189" i="16"/>
  <c r="E228" i="16"/>
  <c r="G228" i="16" s="1"/>
  <c r="H228" i="16" s="1"/>
  <c r="D228" i="16"/>
  <c r="F182" i="16"/>
  <c r="C194" i="16"/>
  <c r="C183" i="16"/>
  <c r="F171" i="16"/>
  <c r="G171" i="16" s="1"/>
  <c r="H171" i="16" s="1"/>
  <c r="L156" i="19"/>
  <c r="L156" i="18"/>
  <c r="L149" i="18"/>
  <c r="L149" i="19"/>
  <c r="G172" i="16"/>
  <c r="H172" i="16" s="1"/>
  <c r="L227" i="19"/>
  <c r="L227" i="18"/>
  <c r="L151" i="18"/>
  <c r="L151" i="19"/>
  <c r="E210" i="16"/>
  <c r="D210" i="16"/>
  <c r="B222" i="16"/>
  <c r="I167" i="16"/>
  <c r="E184" i="16"/>
  <c r="D184" i="16"/>
  <c r="B196" i="16"/>
  <c r="I163" i="16"/>
  <c r="G165" i="16"/>
  <c r="H165" i="16" s="1"/>
  <c r="E203" i="16"/>
  <c r="D203" i="16"/>
  <c r="B215" i="16"/>
  <c r="L155" i="19"/>
  <c r="L155" i="18"/>
  <c r="L153" i="19"/>
  <c r="L153" i="18"/>
  <c r="I169" i="16"/>
  <c r="E190" i="16"/>
  <c r="D190" i="16"/>
  <c r="B202" i="16"/>
  <c r="F210" i="16"/>
  <c r="C222" i="16"/>
  <c r="F222" i="16" s="1"/>
  <c r="L158" i="18"/>
  <c r="L158" i="19"/>
  <c r="F173" i="16"/>
  <c r="G173" i="16" s="1"/>
  <c r="H173" i="16" s="1"/>
  <c r="C185" i="16"/>
  <c r="B182" i="16"/>
  <c r="E170" i="16"/>
  <c r="G170" i="16" s="1"/>
  <c r="H170" i="16" s="1"/>
  <c r="D170" i="16"/>
  <c r="F175" i="16"/>
  <c r="G175" i="16" s="1"/>
  <c r="H175" i="16" s="1"/>
  <c r="C187" i="16"/>
  <c r="B200" i="16"/>
  <c r="E188" i="16"/>
  <c r="D188" i="16"/>
  <c r="G216" i="16"/>
  <c r="H216" i="16" s="1"/>
  <c r="I164" i="16"/>
  <c r="E171" i="16"/>
  <c r="B183" i="16"/>
  <c r="D171" i="16"/>
  <c r="F181" i="16"/>
  <c r="C193" i="16"/>
  <c r="L157" i="19"/>
  <c r="L157" i="18"/>
  <c r="E173" i="16"/>
  <c r="D173" i="16"/>
  <c r="B185" i="16"/>
  <c r="L154" i="18"/>
  <c r="L154" i="19"/>
  <c r="G169" i="16"/>
  <c r="H169" i="16" s="1"/>
  <c r="I165" i="16"/>
  <c r="L152" i="18"/>
  <c r="L152" i="19"/>
  <c r="G176" i="16"/>
  <c r="H176" i="16" s="1"/>
  <c r="E181" i="16"/>
  <c r="D181" i="16"/>
  <c r="B193" i="16"/>
  <c r="E175" i="16"/>
  <c r="D175" i="16"/>
  <c r="B187" i="16"/>
  <c r="F188" i="16"/>
  <c r="G188" i="16" s="1"/>
  <c r="H188" i="16" s="1"/>
  <c r="C200" i="16"/>
  <c r="F171" i="15"/>
  <c r="G171" i="15" s="1"/>
  <c r="H171" i="15" s="1"/>
  <c r="C183" i="15"/>
  <c r="I162" i="15"/>
  <c r="F187" i="15"/>
  <c r="C199" i="15"/>
  <c r="E174" i="15"/>
  <c r="D174" i="15"/>
  <c r="B186" i="15"/>
  <c r="E173" i="15"/>
  <c r="D173" i="15"/>
  <c r="B185" i="15"/>
  <c r="G175" i="15"/>
  <c r="H175" i="15" s="1"/>
  <c r="E214" i="15"/>
  <c r="D214" i="15"/>
  <c r="B226" i="15"/>
  <c r="B182" i="15"/>
  <c r="E170" i="15"/>
  <c r="D170" i="15"/>
  <c r="E191" i="15"/>
  <c r="D191" i="15"/>
  <c r="B203" i="15"/>
  <c r="F176" i="15"/>
  <c r="G176" i="15" s="1"/>
  <c r="H176" i="15" s="1"/>
  <c r="C188" i="15"/>
  <c r="E193" i="15"/>
  <c r="D193" i="15"/>
  <c r="B205" i="15"/>
  <c r="B200" i="15"/>
  <c r="E188" i="15"/>
  <c r="D188" i="15"/>
  <c r="C182" i="15"/>
  <c r="F170" i="15"/>
  <c r="B196" i="15"/>
  <c r="E184" i="15"/>
  <c r="G184" i="15" s="1"/>
  <c r="H184" i="15" s="1"/>
  <c r="D184" i="15"/>
  <c r="I169" i="15"/>
  <c r="I168" i="15"/>
  <c r="I166" i="15"/>
  <c r="I165" i="15"/>
  <c r="I167" i="15"/>
  <c r="I163" i="15"/>
  <c r="D176" i="15"/>
  <c r="E201" i="15"/>
  <c r="B213" i="15"/>
  <c r="F191" i="15"/>
  <c r="C203" i="15"/>
  <c r="I161" i="15"/>
  <c r="B199" i="15"/>
  <c r="E187" i="15"/>
  <c r="D187" i="15"/>
  <c r="F208" i="15"/>
  <c r="C220" i="15"/>
  <c r="F220" i="15" s="1"/>
  <c r="F181" i="15"/>
  <c r="G181" i="15" s="1"/>
  <c r="H181" i="15" s="1"/>
  <c r="C193" i="15"/>
  <c r="D171" i="15"/>
  <c r="F177" i="15"/>
  <c r="G177" i="15" s="1"/>
  <c r="H177" i="15" s="1"/>
  <c r="C189" i="15"/>
  <c r="D177" i="15"/>
  <c r="G162" i="15"/>
  <c r="H162" i="15" s="1"/>
  <c r="E183" i="15"/>
  <c r="B195" i="15"/>
  <c r="B204" i="15"/>
  <c r="D192" i="15"/>
  <c r="E192" i="15"/>
  <c r="G180" i="15"/>
  <c r="H180" i="15" s="1"/>
  <c r="F173" i="15"/>
  <c r="C185" i="15"/>
  <c r="F174" i="15"/>
  <c r="G174" i="15" s="1"/>
  <c r="H174" i="15" s="1"/>
  <c r="C186" i="15"/>
  <c r="I164" i="15"/>
  <c r="I160" i="15"/>
  <c r="G214" i="15"/>
  <c r="H214" i="15" s="1"/>
  <c r="I159" i="15"/>
  <c r="F192" i="15"/>
  <c r="G192" i="15" s="1"/>
  <c r="H192" i="15" s="1"/>
  <c r="C204" i="15"/>
  <c r="G161" i="15"/>
  <c r="H161" i="15" s="1"/>
  <c r="E181" i="7"/>
  <c r="G181" i="7" s="1"/>
  <c r="H181" i="7" s="1"/>
  <c r="B193" i="7"/>
  <c r="D181" i="7"/>
  <c r="I167" i="7"/>
  <c r="C200" i="7"/>
  <c r="F188" i="7"/>
  <c r="F190" i="7"/>
  <c r="C202" i="7"/>
  <c r="F186" i="7"/>
  <c r="G186" i="7" s="1"/>
  <c r="H186" i="7" s="1"/>
  <c r="C198" i="7"/>
  <c r="D186" i="7"/>
  <c r="F170" i="7"/>
  <c r="G170" i="7" s="1"/>
  <c r="H170" i="7" s="1"/>
  <c r="C182" i="7"/>
  <c r="G165" i="7"/>
  <c r="H165" i="7" s="1"/>
  <c r="I171" i="7"/>
  <c r="F191" i="7"/>
  <c r="G191" i="7" s="1"/>
  <c r="H191" i="7" s="1"/>
  <c r="C203" i="7"/>
  <c r="D191" i="7"/>
  <c r="D177" i="7"/>
  <c r="B189" i="7"/>
  <c r="E177" i="7"/>
  <c r="D190" i="7"/>
  <c r="E190" i="7"/>
  <c r="B202" i="7"/>
  <c r="B227" i="7"/>
  <c r="E215" i="7"/>
  <c r="F177" i="7"/>
  <c r="C189" i="7"/>
  <c r="I168" i="25"/>
  <c r="E197" i="7"/>
  <c r="D197" i="7"/>
  <c r="B209" i="7"/>
  <c r="I168" i="7"/>
  <c r="B199" i="7"/>
  <c r="E187" i="7"/>
  <c r="D187" i="7"/>
  <c r="F193" i="7"/>
  <c r="C205" i="7"/>
  <c r="D172" i="7"/>
  <c r="I180" i="7" s="1"/>
  <c r="B184" i="7"/>
  <c r="E172" i="7"/>
  <c r="E222" i="7"/>
  <c r="F197" i="7"/>
  <c r="G197" i="7" s="1"/>
  <c r="H197" i="7" s="1"/>
  <c r="C209" i="7"/>
  <c r="F187" i="7"/>
  <c r="G187" i="7" s="1"/>
  <c r="H187" i="7" s="1"/>
  <c r="C199" i="7"/>
  <c r="G185" i="7"/>
  <c r="H185" i="7" s="1"/>
  <c r="G175" i="7"/>
  <c r="H175" i="7" s="1"/>
  <c r="F192" i="7"/>
  <c r="C204" i="7"/>
  <c r="D180" i="7"/>
  <c r="B192" i="7"/>
  <c r="E180" i="7"/>
  <c r="G180" i="7"/>
  <c r="H180" i="7" s="1"/>
  <c r="D188" i="7"/>
  <c r="B200" i="7"/>
  <c r="E188" i="7"/>
  <c r="I161" i="7"/>
  <c r="C196" i="7"/>
  <c r="F184" i="7"/>
  <c r="I162" i="7"/>
  <c r="B194" i="7"/>
  <c r="E182" i="7"/>
  <c r="D182" i="7"/>
  <c r="G172" i="7"/>
  <c r="H172" i="7" s="1"/>
  <c r="I165" i="7"/>
  <c r="D170" i="7"/>
  <c r="F183" i="7"/>
  <c r="G183" i="7" s="1"/>
  <c r="H183" i="7" s="1"/>
  <c r="C195" i="7"/>
  <c r="D183" i="7"/>
  <c r="I169" i="7"/>
  <c r="F181" i="6"/>
  <c r="C193" i="6"/>
  <c r="E177" i="6"/>
  <c r="D177" i="6"/>
  <c r="B189" i="6"/>
  <c r="E181" i="6"/>
  <c r="D181" i="6"/>
  <c r="B193" i="6"/>
  <c r="F177" i="6"/>
  <c r="C189" i="6"/>
  <c r="I167" i="6"/>
  <c r="E172" i="6"/>
  <c r="D172" i="6"/>
  <c r="B184" i="6"/>
  <c r="I166" i="6"/>
  <c r="E171" i="6"/>
  <c r="G171" i="6" s="1"/>
  <c r="H171" i="6" s="1"/>
  <c r="D171" i="6"/>
  <c r="I180" i="6" s="1"/>
  <c r="B183" i="6"/>
  <c r="E176" i="6"/>
  <c r="D176" i="6"/>
  <c r="B188" i="6"/>
  <c r="F172" i="6"/>
  <c r="G172" i="6" s="1"/>
  <c r="H172" i="6" s="1"/>
  <c r="C184" i="6"/>
  <c r="K148" i="18"/>
  <c r="F180" i="6"/>
  <c r="C192" i="6"/>
  <c r="E182" i="6"/>
  <c r="B194" i="6"/>
  <c r="D182" i="6"/>
  <c r="F173" i="6"/>
  <c r="C185" i="6"/>
  <c r="I170" i="6"/>
  <c r="I160" i="6"/>
  <c r="E190" i="6"/>
  <c r="D190" i="6"/>
  <c r="B202" i="6"/>
  <c r="C194" i="6"/>
  <c r="F182" i="6"/>
  <c r="E173" i="6"/>
  <c r="D173" i="6"/>
  <c r="B185" i="6"/>
  <c r="E179" i="6"/>
  <c r="G179" i="6" s="1"/>
  <c r="H179" i="6" s="1"/>
  <c r="D179" i="6"/>
  <c r="B191" i="6"/>
  <c r="I159" i="6"/>
  <c r="I161" i="6"/>
  <c r="G169" i="6"/>
  <c r="H169" i="6" s="1"/>
  <c r="G168" i="6"/>
  <c r="H168" i="6" s="1"/>
  <c r="E198" i="6"/>
  <c r="D198" i="6"/>
  <c r="B210" i="6"/>
  <c r="I162" i="6"/>
  <c r="E180" i="6"/>
  <c r="D180" i="6"/>
  <c r="B192" i="6"/>
  <c r="E175" i="6"/>
  <c r="G175" i="6" s="1"/>
  <c r="H175" i="6" s="1"/>
  <c r="D175" i="6"/>
  <c r="B187" i="6"/>
  <c r="F176" i="6"/>
  <c r="C188" i="6"/>
  <c r="I163" i="6"/>
  <c r="I168" i="6"/>
  <c r="I165" i="6"/>
  <c r="F198" i="6"/>
  <c r="C210" i="6"/>
  <c r="C202" i="6"/>
  <c r="F190" i="6"/>
  <c r="G190" i="6" s="1"/>
  <c r="H190" i="6" s="1"/>
  <c r="G186" i="6"/>
  <c r="H186" i="6" s="1"/>
  <c r="D176" i="5"/>
  <c r="E176" i="5"/>
  <c r="B188" i="5"/>
  <c r="E190" i="5"/>
  <c r="D190" i="5"/>
  <c r="B202" i="5"/>
  <c r="I160" i="19"/>
  <c r="I162" i="14"/>
  <c r="I167" i="5"/>
  <c r="F179" i="5"/>
  <c r="G179" i="5" s="1"/>
  <c r="H179" i="5" s="1"/>
  <c r="C191" i="5"/>
  <c r="D179" i="5"/>
  <c r="I159" i="19"/>
  <c r="I158" i="19"/>
  <c r="E198" i="5"/>
  <c r="B210" i="5"/>
  <c r="F193" i="5"/>
  <c r="C205" i="5"/>
  <c r="G181" i="5"/>
  <c r="H181" i="5" s="1"/>
  <c r="E194" i="5"/>
  <c r="D194" i="5"/>
  <c r="B206" i="5"/>
  <c r="E208" i="5"/>
  <c r="B220" i="5"/>
  <c r="E181" i="5"/>
  <c r="D181" i="5"/>
  <c r="B193" i="5"/>
  <c r="F187" i="5"/>
  <c r="C199" i="5"/>
  <c r="F186" i="5"/>
  <c r="G186" i="5" s="1"/>
  <c r="H186" i="5" s="1"/>
  <c r="C198" i="5"/>
  <c r="D198" i="5" s="1"/>
  <c r="F190" i="5"/>
  <c r="G190" i="5" s="1"/>
  <c r="H190" i="5" s="1"/>
  <c r="C202" i="5"/>
  <c r="F180" i="5"/>
  <c r="G180" i="5" s="1"/>
  <c r="H180" i="5" s="1"/>
  <c r="C192" i="5"/>
  <c r="D180" i="5"/>
  <c r="I163" i="19"/>
  <c r="I160" i="5"/>
  <c r="E189" i="5"/>
  <c r="B201" i="5"/>
  <c r="D189" i="5"/>
  <c r="E173" i="5"/>
  <c r="G173" i="5" s="1"/>
  <c r="H173" i="5" s="1"/>
  <c r="D173" i="5"/>
  <c r="B185" i="5"/>
  <c r="K147" i="18"/>
  <c r="E187" i="5"/>
  <c r="D187" i="5"/>
  <c r="B199" i="5"/>
  <c r="C201" i="5"/>
  <c r="F189" i="5"/>
  <c r="G189" i="5" s="1"/>
  <c r="H189" i="5" s="1"/>
  <c r="F182" i="5"/>
  <c r="G182" i="5" s="1"/>
  <c r="H182" i="5" s="1"/>
  <c r="C194" i="5"/>
  <c r="I171" i="5"/>
  <c r="I170" i="5"/>
  <c r="I169" i="5"/>
  <c r="I165" i="5"/>
  <c r="I161" i="5"/>
  <c r="F172" i="5"/>
  <c r="G172" i="5" s="1"/>
  <c r="H172" i="5" s="1"/>
  <c r="C184" i="5"/>
  <c r="D172" i="5"/>
  <c r="I180" i="5" s="1"/>
  <c r="G175" i="5"/>
  <c r="H175" i="5" s="1"/>
  <c r="E204" i="5"/>
  <c r="B216" i="5"/>
  <c r="F185" i="5"/>
  <c r="C197" i="5"/>
  <c r="E219" i="5"/>
  <c r="G219" i="5" s="1"/>
  <c r="H219" i="5" s="1"/>
  <c r="D219" i="5"/>
  <c r="I166" i="25"/>
  <c r="I163" i="5"/>
  <c r="I162" i="5"/>
  <c r="I174" i="5"/>
  <c r="F176" i="5"/>
  <c r="G176" i="5" s="1"/>
  <c r="H176" i="5" s="1"/>
  <c r="C188" i="5"/>
  <c r="I164" i="5"/>
  <c r="K150" i="18"/>
  <c r="E194" i="4"/>
  <c r="B206" i="4"/>
  <c r="D194" i="4"/>
  <c r="C195" i="4"/>
  <c r="F183" i="4"/>
  <c r="D177" i="4"/>
  <c r="E177" i="4"/>
  <c r="B189" i="4"/>
  <c r="I169" i="4"/>
  <c r="C196" i="4"/>
  <c r="F184" i="4"/>
  <c r="C211" i="4"/>
  <c r="F199" i="4"/>
  <c r="G199" i="4" s="1"/>
  <c r="H199" i="4" s="1"/>
  <c r="I175" i="25"/>
  <c r="I170" i="4"/>
  <c r="F173" i="4"/>
  <c r="G173" i="4" s="1"/>
  <c r="H173" i="4" s="1"/>
  <c r="C185" i="4"/>
  <c r="F181" i="4"/>
  <c r="G181" i="4" s="1"/>
  <c r="H181" i="4" s="1"/>
  <c r="C193" i="4"/>
  <c r="D193" i="4" s="1"/>
  <c r="F177" i="4"/>
  <c r="G177" i="4" s="1"/>
  <c r="H177" i="4" s="1"/>
  <c r="C189" i="4"/>
  <c r="G179" i="4"/>
  <c r="H179" i="4" s="1"/>
  <c r="E183" i="4"/>
  <c r="B195" i="4"/>
  <c r="D183" i="4"/>
  <c r="D176" i="4"/>
  <c r="B188" i="4"/>
  <c r="E176" i="4"/>
  <c r="D172" i="4"/>
  <c r="I176" i="4" s="1"/>
  <c r="B184" i="4"/>
  <c r="E172" i="4"/>
  <c r="G165" i="4"/>
  <c r="H165" i="4" s="1"/>
  <c r="C228" i="4"/>
  <c r="F228" i="4" s="1"/>
  <c r="F216" i="4"/>
  <c r="I172" i="25"/>
  <c r="D180" i="4"/>
  <c r="B192" i="4"/>
  <c r="E180" i="4"/>
  <c r="G180" i="4" s="1"/>
  <c r="H180" i="4" s="1"/>
  <c r="I171" i="4"/>
  <c r="B205" i="4"/>
  <c r="E193" i="4"/>
  <c r="I160" i="13"/>
  <c r="K160" i="19" s="1"/>
  <c r="E186" i="4"/>
  <c r="B198" i="4"/>
  <c r="D186" i="4"/>
  <c r="I163" i="13"/>
  <c r="K163" i="18" s="1"/>
  <c r="G176" i="4"/>
  <c r="H176" i="4" s="1"/>
  <c r="F194" i="4"/>
  <c r="G194" i="4" s="1"/>
  <c r="H194" i="4" s="1"/>
  <c r="C206" i="4"/>
  <c r="C200" i="4"/>
  <c r="F188" i="4"/>
  <c r="G182" i="4"/>
  <c r="H182" i="4" s="1"/>
  <c r="I178" i="4"/>
  <c r="G178" i="4"/>
  <c r="H178" i="4" s="1"/>
  <c r="C203" i="4"/>
  <c r="F191" i="4"/>
  <c r="D181" i="4"/>
  <c r="F174" i="4"/>
  <c r="G174" i="4" s="1"/>
  <c r="H174" i="4" s="1"/>
  <c r="C186" i="4"/>
  <c r="E199" i="4"/>
  <c r="B211" i="4"/>
  <c r="D199" i="4"/>
  <c r="I173" i="4"/>
  <c r="E190" i="4"/>
  <c r="D190" i="4"/>
  <c r="B202" i="4"/>
  <c r="I169" i="25"/>
  <c r="I171" i="25"/>
  <c r="E179" i="4"/>
  <c r="B191" i="4"/>
  <c r="D179" i="4"/>
  <c r="D173" i="4"/>
  <c r="B185" i="4"/>
  <c r="E173" i="4"/>
  <c r="F190" i="4"/>
  <c r="G190" i="4" s="1"/>
  <c r="H190" i="4" s="1"/>
  <c r="C202" i="4"/>
  <c r="I170" i="25"/>
  <c r="I165" i="25"/>
  <c r="I172" i="4"/>
  <c r="G172" i="4"/>
  <c r="H172" i="4" s="1"/>
  <c r="C205" i="3"/>
  <c r="F193" i="3"/>
  <c r="G181" i="3"/>
  <c r="H181" i="3" s="1"/>
  <c r="B195" i="3"/>
  <c r="E183" i="3"/>
  <c r="D183" i="3"/>
  <c r="E192" i="3"/>
  <c r="D192" i="3"/>
  <c r="B204" i="3"/>
  <c r="C214" i="3"/>
  <c r="D214" i="3" s="1"/>
  <c r="F202" i="3"/>
  <c r="G202" i="3" s="1"/>
  <c r="H202" i="3" s="1"/>
  <c r="C191" i="3"/>
  <c r="F179" i="3"/>
  <c r="G179" i="3" s="1"/>
  <c r="H179" i="3" s="1"/>
  <c r="D179" i="3"/>
  <c r="I179" i="3" s="1"/>
  <c r="I164" i="13"/>
  <c r="K164" i="18" s="1"/>
  <c r="B226" i="3"/>
  <c r="E214" i="3"/>
  <c r="B199" i="3"/>
  <c r="E187" i="3"/>
  <c r="D187" i="3"/>
  <c r="B215" i="3"/>
  <c r="E203" i="3"/>
  <c r="B194" i="3"/>
  <c r="D182" i="3"/>
  <c r="E182" i="3"/>
  <c r="C221" i="3"/>
  <c r="F221" i="3" s="1"/>
  <c r="F209" i="3"/>
  <c r="F180" i="3"/>
  <c r="G180" i="3" s="1"/>
  <c r="H180" i="3" s="1"/>
  <c r="C192" i="3"/>
  <c r="K153" i="18"/>
  <c r="E188" i="3"/>
  <c r="D188" i="3"/>
  <c r="B200" i="3"/>
  <c r="K151" i="18"/>
  <c r="I171" i="3"/>
  <c r="C194" i="3"/>
  <c r="F182" i="3"/>
  <c r="I167" i="22"/>
  <c r="B210" i="3"/>
  <c r="E198" i="3"/>
  <c r="D198" i="3"/>
  <c r="I174" i="3"/>
  <c r="G170" i="3"/>
  <c r="H170" i="3" s="1"/>
  <c r="E184" i="3"/>
  <c r="G184" i="3" s="1"/>
  <c r="H184" i="3" s="1"/>
  <c r="D184" i="3"/>
  <c r="B196" i="3"/>
  <c r="C225" i="3"/>
  <c r="F225" i="3" s="1"/>
  <c r="F213" i="3"/>
  <c r="I169" i="23"/>
  <c r="C199" i="3"/>
  <c r="F187" i="3"/>
  <c r="G187" i="3" s="1"/>
  <c r="H187" i="3" s="1"/>
  <c r="E197" i="3"/>
  <c r="G197" i="3" s="1"/>
  <c r="H197" i="3" s="1"/>
  <c r="B209" i="3"/>
  <c r="D197" i="3"/>
  <c r="I168" i="13"/>
  <c r="K168" i="19" s="1"/>
  <c r="G171" i="3"/>
  <c r="H171" i="3" s="1"/>
  <c r="C210" i="3"/>
  <c r="F198" i="3"/>
  <c r="G198" i="3" s="1"/>
  <c r="H198" i="3" s="1"/>
  <c r="K149" i="19"/>
  <c r="E177" i="3"/>
  <c r="G177" i="3" s="1"/>
  <c r="H177" i="3" s="1"/>
  <c r="B189" i="3"/>
  <c r="D177" i="3"/>
  <c r="I178" i="3" s="1"/>
  <c r="F183" i="3"/>
  <c r="C195" i="3"/>
  <c r="G186" i="3"/>
  <c r="H186" i="3" s="1"/>
  <c r="I175" i="3"/>
  <c r="I168" i="3"/>
  <c r="I169" i="3"/>
  <c r="C188" i="3"/>
  <c r="F176" i="3"/>
  <c r="G176" i="3" s="1"/>
  <c r="H176" i="3" s="1"/>
  <c r="I176" i="3"/>
  <c r="I172" i="3"/>
  <c r="E181" i="3"/>
  <c r="B193" i="3"/>
  <c r="D181" i="3"/>
  <c r="F197" i="25"/>
  <c r="C209" i="25"/>
  <c r="F181" i="25"/>
  <c r="G181" i="25" s="1"/>
  <c r="H181" i="25" s="1"/>
  <c r="C193" i="25"/>
  <c r="F199" i="25"/>
  <c r="G199" i="25" s="1"/>
  <c r="H199" i="25" s="1"/>
  <c r="C211" i="25"/>
  <c r="D199" i="25"/>
  <c r="C195" i="25"/>
  <c r="F183" i="25"/>
  <c r="B202" i="25"/>
  <c r="E190" i="25"/>
  <c r="D190" i="25"/>
  <c r="G169" i="25"/>
  <c r="H169" i="25" s="1"/>
  <c r="F194" i="25"/>
  <c r="G194" i="25" s="1"/>
  <c r="H194" i="25" s="1"/>
  <c r="C206" i="25"/>
  <c r="B195" i="25"/>
  <c r="E183" i="25"/>
  <c r="D183" i="25"/>
  <c r="B218" i="25"/>
  <c r="E206" i="25"/>
  <c r="D206" i="25"/>
  <c r="E222" i="25"/>
  <c r="B212" i="25"/>
  <c r="D200" i="25"/>
  <c r="E200" i="25"/>
  <c r="C204" i="25"/>
  <c r="F192" i="25"/>
  <c r="G192" i="25" s="1"/>
  <c r="H192" i="25" s="1"/>
  <c r="I173" i="25"/>
  <c r="D194" i="25"/>
  <c r="I174" i="25"/>
  <c r="F177" i="25"/>
  <c r="C189" i="25"/>
  <c r="B204" i="25"/>
  <c r="D192" i="25"/>
  <c r="E192" i="25"/>
  <c r="G165" i="25"/>
  <c r="H165" i="25" s="1"/>
  <c r="F178" i="25"/>
  <c r="G178" i="25" s="1"/>
  <c r="H178" i="25" s="1"/>
  <c r="C190" i="25"/>
  <c r="E223" i="25"/>
  <c r="F186" i="25"/>
  <c r="G186" i="25" s="1"/>
  <c r="H186" i="25" s="1"/>
  <c r="C198" i="25"/>
  <c r="D186" i="25"/>
  <c r="E197" i="25"/>
  <c r="B209" i="25"/>
  <c r="D197" i="25"/>
  <c r="E191" i="25"/>
  <c r="D191" i="25"/>
  <c r="B203" i="25"/>
  <c r="C200" i="25"/>
  <c r="F188" i="25"/>
  <c r="G188" i="25" s="1"/>
  <c r="H188" i="25" s="1"/>
  <c r="F191" i="25"/>
  <c r="G191" i="25" s="1"/>
  <c r="H191" i="25" s="1"/>
  <c r="C203" i="25"/>
  <c r="G180" i="25"/>
  <c r="H180" i="25" s="1"/>
  <c r="I176" i="25"/>
  <c r="E181" i="25"/>
  <c r="B193" i="25"/>
  <c r="D181" i="25"/>
  <c r="E177" i="25"/>
  <c r="D177" i="25"/>
  <c r="I179" i="25" s="1"/>
  <c r="B189" i="25"/>
  <c r="I170" i="14"/>
  <c r="I168" i="14"/>
  <c r="I169" i="14"/>
  <c r="E180" i="14"/>
  <c r="D180" i="14"/>
  <c r="B192" i="14"/>
  <c r="C194" i="14"/>
  <c r="F182" i="14"/>
  <c r="G182" i="14" s="1"/>
  <c r="H182" i="14" s="1"/>
  <c r="F172" i="14"/>
  <c r="C184" i="14"/>
  <c r="E185" i="14"/>
  <c r="G185" i="14" s="1"/>
  <c r="H185" i="14" s="1"/>
  <c r="B197" i="14"/>
  <c r="D185" i="14"/>
  <c r="I159" i="14"/>
  <c r="E194" i="14"/>
  <c r="B206" i="14"/>
  <c r="D194" i="14"/>
  <c r="E193" i="14"/>
  <c r="G193" i="14" s="1"/>
  <c r="H193" i="14" s="1"/>
  <c r="B205" i="14"/>
  <c r="D193" i="14"/>
  <c r="D182" i="14"/>
  <c r="E172" i="14"/>
  <c r="D172" i="14"/>
  <c r="B184" i="14"/>
  <c r="G176" i="14"/>
  <c r="H176" i="14" s="1"/>
  <c r="F188" i="14"/>
  <c r="C200" i="14"/>
  <c r="F180" i="14"/>
  <c r="G180" i="14" s="1"/>
  <c r="H180" i="14" s="1"/>
  <c r="C192" i="14"/>
  <c r="F203" i="14"/>
  <c r="C215" i="14"/>
  <c r="B198" i="14"/>
  <c r="D186" i="14"/>
  <c r="E186" i="14"/>
  <c r="I163" i="22"/>
  <c r="I163" i="14"/>
  <c r="I160" i="14"/>
  <c r="E171" i="14"/>
  <c r="G171" i="14" s="1"/>
  <c r="H171" i="14" s="1"/>
  <c r="D171" i="14"/>
  <c r="B183" i="14"/>
  <c r="B226" i="14"/>
  <c r="D214" i="14"/>
  <c r="I225" i="14" s="1"/>
  <c r="E214" i="14"/>
  <c r="G214" i="14" s="1"/>
  <c r="H214" i="14" s="1"/>
  <c r="C198" i="14"/>
  <c r="F186" i="14"/>
  <c r="G186" i="14" s="1"/>
  <c r="H186" i="14" s="1"/>
  <c r="F211" i="14"/>
  <c r="C223" i="14"/>
  <c r="F223" i="14" s="1"/>
  <c r="I165" i="14"/>
  <c r="E176" i="14"/>
  <c r="D176" i="14"/>
  <c r="B188" i="14"/>
  <c r="I166" i="14"/>
  <c r="F207" i="14"/>
  <c r="C219" i="14"/>
  <c r="F219" i="14" s="1"/>
  <c r="I161" i="14"/>
  <c r="I167" i="14"/>
  <c r="E175" i="14"/>
  <c r="G175" i="14" s="1"/>
  <c r="H175" i="14" s="1"/>
  <c r="D175" i="14"/>
  <c r="B187" i="14"/>
  <c r="E179" i="14"/>
  <c r="G179" i="14" s="1"/>
  <c r="H179" i="14" s="1"/>
  <c r="D179" i="14"/>
  <c r="B191" i="14"/>
  <c r="E189" i="14"/>
  <c r="G189" i="14" s="1"/>
  <c r="H189" i="14" s="1"/>
  <c r="B201" i="14"/>
  <c r="D189" i="14"/>
  <c r="I164" i="14"/>
  <c r="I165" i="13"/>
  <c r="I167" i="13"/>
  <c r="K158" i="18"/>
  <c r="K158" i="19"/>
  <c r="D179" i="13"/>
  <c r="B191" i="13"/>
  <c r="E179" i="13"/>
  <c r="F180" i="13"/>
  <c r="C192" i="13"/>
  <c r="E178" i="13"/>
  <c r="D178" i="13"/>
  <c r="B190" i="13"/>
  <c r="G179" i="13"/>
  <c r="H179" i="13" s="1"/>
  <c r="D182" i="13"/>
  <c r="B194" i="13"/>
  <c r="E182" i="13"/>
  <c r="G182" i="13" s="1"/>
  <c r="H182" i="13" s="1"/>
  <c r="E195" i="13"/>
  <c r="B207" i="13"/>
  <c r="G168" i="13"/>
  <c r="H168" i="13" s="1"/>
  <c r="I161" i="13"/>
  <c r="E180" i="13"/>
  <c r="B192" i="13"/>
  <c r="D180" i="13"/>
  <c r="F193" i="13"/>
  <c r="G193" i="13" s="1"/>
  <c r="H193" i="13" s="1"/>
  <c r="C205" i="13"/>
  <c r="K157" i="18"/>
  <c r="K157" i="19"/>
  <c r="D175" i="13"/>
  <c r="B187" i="13"/>
  <c r="E175" i="13"/>
  <c r="G175" i="13" s="1"/>
  <c r="H175" i="13" s="1"/>
  <c r="F177" i="13"/>
  <c r="G177" i="13" s="1"/>
  <c r="H177" i="13" s="1"/>
  <c r="C189" i="13"/>
  <c r="D177" i="13"/>
  <c r="K156" i="18"/>
  <c r="K156" i="19"/>
  <c r="I162" i="13"/>
  <c r="G164" i="13"/>
  <c r="H164" i="13" s="1"/>
  <c r="I170" i="13"/>
  <c r="F172" i="13"/>
  <c r="G172" i="13" s="1"/>
  <c r="H172" i="13" s="1"/>
  <c r="C184" i="13"/>
  <c r="C211" i="13"/>
  <c r="F199" i="13"/>
  <c r="E185" i="13"/>
  <c r="B197" i="13"/>
  <c r="F198" i="13"/>
  <c r="G198" i="13" s="1"/>
  <c r="H198" i="13" s="1"/>
  <c r="C210" i="13"/>
  <c r="F173" i="13"/>
  <c r="G173" i="13" s="1"/>
  <c r="H173" i="13" s="1"/>
  <c r="C185" i="13"/>
  <c r="K155" i="18"/>
  <c r="K155" i="19"/>
  <c r="K152" i="19"/>
  <c r="K152" i="18"/>
  <c r="I166" i="13"/>
  <c r="C203" i="13"/>
  <c r="F191" i="13"/>
  <c r="I169" i="13"/>
  <c r="I163" i="18"/>
  <c r="F176" i="13"/>
  <c r="G176" i="13" s="1"/>
  <c r="H176" i="13" s="1"/>
  <c r="C188" i="13"/>
  <c r="E172" i="13"/>
  <c r="B184" i="13"/>
  <c r="D172" i="13"/>
  <c r="C183" i="13"/>
  <c r="F171" i="13"/>
  <c r="G171" i="13" s="1"/>
  <c r="H171" i="13" s="1"/>
  <c r="D171" i="13"/>
  <c r="I170" i="18"/>
  <c r="D205" i="13"/>
  <c r="E205" i="13"/>
  <c r="B217" i="13"/>
  <c r="F178" i="13"/>
  <c r="G178" i="13" s="1"/>
  <c r="H178" i="13" s="1"/>
  <c r="C190" i="13"/>
  <c r="K159" i="19"/>
  <c r="K159" i="18"/>
  <c r="K154" i="19"/>
  <c r="K154" i="18"/>
  <c r="E198" i="13"/>
  <c r="D198" i="13"/>
  <c r="B210" i="13"/>
  <c r="D193" i="13"/>
  <c r="E176" i="13"/>
  <c r="B188" i="13"/>
  <c r="D176" i="13"/>
  <c r="E201" i="13"/>
  <c r="B213" i="13"/>
  <c r="D180" i="19"/>
  <c r="E180" i="19"/>
  <c r="G180" i="19" s="1"/>
  <c r="H180" i="19" s="1"/>
  <c r="J180" i="19" s="1"/>
  <c r="B192" i="19"/>
  <c r="B182" i="19"/>
  <c r="E170" i="19"/>
  <c r="D170" i="19"/>
  <c r="I172" i="19" s="1"/>
  <c r="B217" i="19"/>
  <c r="E205" i="19"/>
  <c r="D205" i="19"/>
  <c r="F178" i="19"/>
  <c r="C190" i="19"/>
  <c r="C221" i="19"/>
  <c r="F221" i="19" s="1"/>
  <c r="F209" i="19"/>
  <c r="G197" i="19"/>
  <c r="H197" i="19" s="1"/>
  <c r="J197" i="19" s="1"/>
  <c r="C223" i="19"/>
  <c r="F223" i="19" s="1"/>
  <c r="F211" i="19"/>
  <c r="I165" i="23"/>
  <c r="E177" i="19"/>
  <c r="G177" i="19" s="1"/>
  <c r="H177" i="19" s="1"/>
  <c r="J177" i="19" s="1"/>
  <c r="D177" i="19"/>
  <c r="B189" i="19"/>
  <c r="I169" i="19"/>
  <c r="I168" i="19"/>
  <c r="I166" i="19"/>
  <c r="I162" i="19"/>
  <c r="G166" i="19"/>
  <c r="H166" i="19" s="1"/>
  <c r="J166" i="19" s="1"/>
  <c r="C182" i="19"/>
  <c r="F170" i="19"/>
  <c r="G170" i="19" s="1"/>
  <c r="H170" i="19" s="1"/>
  <c r="J170" i="19" s="1"/>
  <c r="C220" i="19"/>
  <c r="F220" i="19" s="1"/>
  <c r="F208" i="19"/>
  <c r="I162" i="23"/>
  <c r="I167" i="23"/>
  <c r="F205" i="19"/>
  <c r="C217" i="19"/>
  <c r="B209" i="19"/>
  <c r="E197" i="19"/>
  <c r="D197" i="19"/>
  <c r="C207" i="19"/>
  <c r="F195" i="19"/>
  <c r="G183" i="19"/>
  <c r="H183" i="19" s="1"/>
  <c r="J183" i="19" s="1"/>
  <c r="C188" i="19"/>
  <c r="F176" i="19"/>
  <c r="G176" i="19" s="1"/>
  <c r="H176" i="19" s="1"/>
  <c r="J176" i="19" s="1"/>
  <c r="D196" i="19"/>
  <c r="E196" i="19"/>
  <c r="B208" i="19"/>
  <c r="B203" i="19"/>
  <c r="E191" i="19"/>
  <c r="D191" i="19"/>
  <c r="G196" i="19"/>
  <c r="H196" i="19" s="1"/>
  <c r="J196" i="19" s="1"/>
  <c r="G199" i="19"/>
  <c r="H199" i="19" s="1"/>
  <c r="J199" i="19" s="1"/>
  <c r="E195" i="19"/>
  <c r="B207" i="19"/>
  <c r="D195" i="19"/>
  <c r="B200" i="19"/>
  <c r="E188" i="19"/>
  <c r="D188" i="19"/>
  <c r="I163" i="23"/>
  <c r="G193" i="19"/>
  <c r="H193" i="19" s="1"/>
  <c r="J193" i="19" s="1"/>
  <c r="B211" i="19"/>
  <c r="E199" i="19"/>
  <c r="D199" i="19"/>
  <c r="F174" i="19"/>
  <c r="C186" i="19"/>
  <c r="I164" i="19"/>
  <c r="C228" i="19"/>
  <c r="F228" i="19" s="1"/>
  <c r="F216" i="19"/>
  <c r="B186" i="19"/>
  <c r="E174" i="19"/>
  <c r="D174" i="19"/>
  <c r="I165" i="19"/>
  <c r="E178" i="19"/>
  <c r="D178" i="19"/>
  <c r="B190" i="19"/>
  <c r="I167" i="19"/>
  <c r="C203" i="19"/>
  <c r="F191" i="19"/>
  <c r="G191" i="19" s="1"/>
  <c r="H191" i="19" s="1"/>
  <c r="J191" i="19" s="1"/>
  <c r="B215" i="18"/>
  <c r="E203" i="18"/>
  <c r="D203" i="18"/>
  <c r="F178" i="18"/>
  <c r="C190" i="18"/>
  <c r="E182" i="18"/>
  <c r="G182" i="18" s="1"/>
  <c r="H182" i="18" s="1"/>
  <c r="J182" i="18" s="1"/>
  <c r="D182" i="18"/>
  <c r="B194" i="18"/>
  <c r="B195" i="18"/>
  <c r="E183" i="18"/>
  <c r="D183" i="18"/>
  <c r="E173" i="18"/>
  <c r="D173" i="18"/>
  <c r="I176" i="18" s="1"/>
  <c r="B185" i="18"/>
  <c r="G176" i="18"/>
  <c r="H176" i="18" s="1"/>
  <c r="J176" i="18" s="1"/>
  <c r="E187" i="18"/>
  <c r="D187" i="18"/>
  <c r="B199" i="18"/>
  <c r="F187" i="18"/>
  <c r="G187" i="18" s="1"/>
  <c r="H187" i="18" s="1"/>
  <c r="J187" i="18" s="1"/>
  <c r="C199" i="18"/>
  <c r="I166" i="18"/>
  <c r="I169" i="18"/>
  <c r="I164" i="18"/>
  <c r="F194" i="18"/>
  <c r="C206" i="18"/>
  <c r="B200" i="18"/>
  <c r="E188" i="18"/>
  <c r="D188" i="18"/>
  <c r="E222" i="18"/>
  <c r="F183" i="18"/>
  <c r="C195" i="18"/>
  <c r="G181" i="18"/>
  <c r="H181" i="18" s="1"/>
  <c r="J181" i="18" s="1"/>
  <c r="F203" i="18"/>
  <c r="G203" i="18" s="1"/>
  <c r="H203" i="18" s="1"/>
  <c r="J203" i="18" s="1"/>
  <c r="C215" i="18"/>
  <c r="I172" i="18"/>
  <c r="I162" i="18"/>
  <c r="F173" i="18"/>
  <c r="C185" i="18"/>
  <c r="D189" i="18"/>
  <c r="B201" i="18"/>
  <c r="E189" i="18"/>
  <c r="I171" i="18"/>
  <c r="G177" i="18"/>
  <c r="H177" i="18" s="1"/>
  <c r="J177" i="18" s="1"/>
  <c r="B205" i="18"/>
  <c r="E193" i="18"/>
  <c r="D193" i="18"/>
  <c r="G175" i="18"/>
  <c r="H175" i="18" s="1"/>
  <c r="J175" i="18" s="1"/>
  <c r="C205" i="18"/>
  <c r="F193" i="18"/>
  <c r="G193" i="18" s="1"/>
  <c r="H193" i="18" s="1"/>
  <c r="J193" i="18" s="1"/>
  <c r="G171" i="18"/>
  <c r="H171" i="18" s="1"/>
  <c r="J171" i="18" s="1"/>
  <c r="E184" i="18"/>
  <c r="G184" i="18" s="1"/>
  <c r="H184" i="18" s="1"/>
  <c r="J184" i="18" s="1"/>
  <c r="D184" i="18"/>
  <c r="B196" i="18"/>
  <c r="G161" i="18"/>
  <c r="H161" i="18" s="1"/>
  <c r="J161" i="18" s="1"/>
  <c r="C200" i="18"/>
  <c r="F188" i="18"/>
  <c r="G188" i="18" s="1"/>
  <c r="H188" i="18" s="1"/>
  <c r="J188" i="18" s="1"/>
  <c r="F196" i="18"/>
  <c r="C208" i="18"/>
  <c r="E178" i="18"/>
  <c r="D178" i="18"/>
  <c r="B190" i="18"/>
  <c r="C201" i="18"/>
  <c r="F189" i="18"/>
  <c r="G191" i="18"/>
  <c r="H191" i="18" s="1"/>
  <c r="J191" i="18" s="1"/>
  <c r="I167" i="18"/>
  <c r="F192" i="18"/>
  <c r="G192" i="18" s="1"/>
  <c r="H192" i="18" s="1"/>
  <c r="J192" i="18" s="1"/>
  <c r="C204" i="18"/>
  <c r="D192" i="18"/>
  <c r="E216" i="18"/>
  <c r="B228" i="18"/>
  <c r="I161" i="18"/>
  <c r="F198" i="18"/>
  <c r="G198" i="18" s="1"/>
  <c r="H198" i="18" s="1"/>
  <c r="J198" i="18" s="1"/>
  <c r="C210" i="18"/>
  <c r="D198" i="18"/>
  <c r="I168" i="18"/>
  <c r="F184" i="22"/>
  <c r="C196" i="22"/>
  <c r="D192" i="22"/>
  <c r="B204" i="22"/>
  <c r="E192" i="22"/>
  <c r="F177" i="22"/>
  <c r="G177" i="22" s="1"/>
  <c r="H177" i="22" s="1"/>
  <c r="C189" i="22"/>
  <c r="D178" i="22"/>
  <c r="E178" i="22"/>
  <c r="B190" i="22"/>
  <c r="E194" i="22"/>
  <c r="D194" i="22"/>
  <c r="B206" i="22"/>
  <c r="E189" i="22"/>
  <c r="D189" i="22"/>
  <c r="B201" i="22"/>
  <c r="G182" i="22"/>
  <c r="H182" i="22" s="1"/>
  <c r="C206" i="22"/>
  <c r="F194" i="22"/>
  <c r="G194" i="22" s="1"/>
  <c r="H194" i="22" s="1"/>
  <c r="E193" i="22"/>
  <c r="G193" i="22" s="1"/>
  <c r="H193" i="22" s="1"/>
  <c r="D193" i="22"/>
  <c r="B205" i="22"/>
  <c r="F179" i="22"/>
  <c r="G179" i="22" s="1"/>
  <c r="H179" i="22" s="1"/>
  <c r="C191" i="22"/>
  <c r="F186" i="22"/>
  <c r="G186" i="22" s="1"/>
  <c r="H186" i="22" s="1"/>
  <c r="C198" i="22"/>
  <c r="D186" i="22"/>
  <c r="F217" i="22"/>
  <c r="C229" i="22"/>
  <c r="F229" i="22" s="1"/>
  <c r="I166" i="22"/>
  <c r="F188" i="22"/>
  <c r="C200" i="22"/>
  <c r="B187" i="22"/>
  <c r="E175" i="22"/>
  <c r="G175" i="22" s="1"/>
  <c r="H175" i="22" s="1"/>
  <c r="D175" i="22"/>
  <c r="I176" i="22" s="1"/>
  <c r="F178" i="22"/>
  <c r="G178" i="22" s="1"/>
  <c r="H178" i="22" s="1"/>
  <c r="C190" i="22"/>
  <c r="F185" i="22"/>
  <c r="G185" i="22" s="1"/>
  <c r="H185" i="22" s="1"/>
  <c r="C197" i="22"/>
  <c r="I165" i="22"/>
  <c r="I169" i="22"/>
  <c r="F192" i="22"/>
  <c r="G192" i="22" s="1"/>
  <c r="H192" i="22" s="1"/>
  <c r="C204" i="22"/>
  <c r="I171" i="22"/>
  <c r="I172" i="22"/>
  <c r="I173" i="22"/>
  <c r="D184" i="22"/>
  <c r="B196" i="22"/>
  <c r="E184" i="22"/>
  <c r="G173" i="22"/>
  <c r="H173" i="22" s="1"/>
  <c r="D179" i="22"/>
  <c r="E179" i="22"/>
  <c r="B191" i="22"/>
  <c r="F187" i="22"/>
  <c r="C199" i="22"/>
  <c r="D183" i="22"/>
  <c r="E183" i="22"/>
  <c r="G183" i="22" s="1"/>
  <c r="H183" i="22" s="1"/>
  <c r="B195" i="22"/>
  <c r="E185" i="22"/>
  <c r="D185" i="22"/>
  <c r="B197" i="22"/>
  <c r="D188" i="22"/>
  <c r="B200" i="22"/>
  <c r="E188" i="22"/>
  <c r="I174" i="22"/>
  <c r="I168" i="22"/>
  <c r="G166" i="22"/>
  <c r="H166" i="22" s="1"/>
  <c r="B222" i="22"/>
  <c r="E210" i="22"/>
  <c r="I170" i="22"/>
  <c r="G180" i="22"/>
  <c r="H180" i="22" s="1"/>
  <c r="I164" i="22"/>
  <c r="F197" i="23"/>
  <c r="C209" i="23"/>
  <c r="E211" i="23"/>
  <c r="B223" i="23"/>
  <c r="E194" i="23"/>
  <c r="B206" i="23"/>
  <c r="C203" i="23"/>
  <c r="F191" i="23"/>
  <c r="B224" i="23"/>
  <c r="E212" i="23"/>
  <c r="F193" i="23"/>
  <c r="C205" i="23"/>
  <c r="E193" i="23"/>
  <c r="D193" i="23"/>
  <c r="B205" i="23"/>
  <c r="E172" i="23"/>
  <c r="G172" i="23" s="1"/>
  <c r="H172" i="23" s="1"/>
  <c r="D172" i="23"/>
  <c r="B184" i="23"/>
  <c r="I170" i="23"/>
  <c r="I166" i="23"/>
  <c r="I168" i="23"/>
  <c r="I164" i="23"/>
  <c r="I161" i="23"/>
  <c r="C216" i="23"/>
  <c r="F204" i="23"/>
  <c r="B207" i="23"/>
  <c r="E195" i="23"/>
  <c r="E189" i="23"/>
  <c r="G189" i="23" s="1"/>
  <c r="H189" i="23" s="1"/>
  <c r="D189" i="23"/>
  <c r="B201" i="23"/>
  <c r="F214" i="23"/>
  <c r="C226" i="23"/>
  <c r="F226" i="23" s="1"/>
  <c r="C194" i="23"/>
  <c r="F182" i="23"/>
  <c r="G182" i="23" s="1"/>
  <c r="H182" i="23" s="1"/>
  <c r="F184" i="23"/>
  <c r="C196" i="23"/>
  <c r="F210" i="23"/>
  <c r="C222" i="23"/>
  <c r="F222" i="23" s="1"/>
  <c r="E180" i="23"/>
  <c r="G180" i="23" s="1"/>
  <c r="H180" i="23" s="1"/>
  <c r="D180" i="23"/>
  <c r="B192" i="23"/>
  <c r="E197" i="23"/>
  <c r="D197" i="23"/>
  <c r="B209" i="23"/>
  <c r="E202" i="23"/>
  <c r="G202" i="23" s="1"/>
  <c r="H202" i="23" s="1"/>
  <c r="D202" i="23"/>
  <c r="B214" i="23"/>
  <c r="F171" i="23"/>
  <c r="G171" i="23" s="1"/>
  <c r="H171" i="23" s="1"/>
  <c r="C183" i="23"/>
  <c r="D171" i="23"/>
  <c r="I171" i="23" s="1"/>
  <c r="B186" i="23"/>
  <c r="E174" i="23"/>
  <c r="G174" i="23" s="1"/>
  <c r="H174" i="23" s="1"/>
  <c r="D174" i="23"/>
  <c r="F201" i="23"/>
  <c r="C213" i="23"/>
  <c r="I160" i="23"/>
  <c r="C199" i="23"/>
  <c r="F187" i="23"/>
  <c r="G187" i="23" s="1"/>
  <c r="H187" i="23" s="1"/>
  <c r="D187" i="23"/>
  <c r="B203" i="23"/>
  <c r="E191" i="23"/>
  <c r="D191" i="23"/>
  <c r="G181" i="23"/>
  <c r="H181" i="23" s="1"/>
  <c r="F188" i="23"/>
  <c r="G188" i="23" s="1"/>
  <c r="H188" i="23" s="1"/>
  <c r="C200" i="23"/>
  <c r="D188" i="23"/>
  <c r="I177" i="8" l="1"/>
  <c r="I180" i="20"/>
  <c r="I173" i="8"/>
  <c r="I179" i="8"/>
  <c r="I176" i="15"/>
  <c r="I180" i="3"/>
  <c r="I181" i="3"/>
  <c r="K160" i="18"/>
  <c r="I176" i="13"/>
  <c r="K176" i="18" s="1"/>
  <c r="I177" i="3"/>
  <c r="I176" i="20"/>
  <c r="I184" i="3"/>
  <c r="C210" i="20"/>
  <c r="F198" i="20"/>
  <c r="G198" i="20" s="1"/>
  <c r="H198" i="20" s="1"/>
  <c r="F192" i="20"/>
  <c r="C204" i="20"/>
  <c r="E185" i="20"/>
  <c r="D185" i="20"/>
  <c r="B197" i="20"/>
  <c r="C211" i="20"/>
  <c r="F199" i="20"/>
  <c r="E187" i="20"/>
  <c r="D187" i="20"/>
  <c r="B199" i="20"/>
  <c r="F193" i="20"/>
  <c r="G193" i="20" s="1"/>
  <c r="H193" i="20" s="1"/>
  <c r="C205" i="20"/>
  <c r="E202" i="20"/>
  <c r="D202" i="20"/>
  <c r="B214" i="20"/>
  <c r="E194" i="20"/>
  <c r="G194" i="20" s="1"/>
  <c r="H194" i="20" s="1"/>
  <c r="B206" i="20"/>
  <c r="D194" i="20"/>
  <c r="E189" i="20"/>
  <c r="D189" i="20"/>
  <c r="B201" i="20"/>
  <c r="I178" i="20"/>
  <c r="F184" i="20"/>
  <c r="C196" i="20"/>
  <c r="F188" i="20"/>
  <c r="C200" i="20"/>
  <c r="I181" i="20"/>
  <c r="E183" i="20"/>
  <c r="G183" i="20" s="1"/>
  <c r="H183" i="20" s="1"/>
  <c r="D183" i="20"/>
  <c r="B195" i="20"/>
  <c r="B210" i="20"/>
  <c r="E198" i="20"/>
  <c r="D198" i="20"/>
  <c r="E191" i="20"/>
  <c r="D191" i="20"/>
  <c r="B203" i="20"/>
  <c r="C207" i="20"/>
  <c r="F195" i="20"/>
  <c r="I182" i="20"/>
  <c r="I174" i="20"/>
  <c r="I175" i="20"/>
  <c r="G191" i="20"/>
  <c r="H191" i="20" s="1"/>
  <c r="F189" i="20"/>
  <c r="C201" i="20"/>
  <c r="F185" i="20"/>
  <c r="G185" i="20" s="1"/>
  <c r="H185" i="20" s="1"/>
  <c r="C197" i="20"/>
  <c r="F203" i="20"/>
  <c r="C215" i="20"/>
  <c r="E193" i="20"/>
  <c r="D193" i="20"/>
  <c r="B205" i="20"/>
  <c r="G172" i="20"/>
  <c r="H172" i="20" s="1"/>
  <c r="G173" i="20"/>
  <c r="H173" i="20" s="1"/>
  <c r="E188" i="20"/>
  <c r="D188" i="20"/>
  <c r="B200" i="20"/>
  <c r="E184" i="20"/>
  <c r="D184" i="20"/>
  <c r="B196" i="20"/>
  <c r="G187" i="20"/>
  <c r="H187" i="20" s="1"/>
  <c r="F202" i="20"/>
  <c r="C214" i="20"/>
  <c r="I172" i="20"/>
  <c r="G180" i="20"/>
  <c r="H180" i="20" s="1"/>
  <c r="G190" i="20"/>
  <c r="H190" i="20" s="1"/>
  <c r="I179" i="20"/>
  <c r="I177" i="20"/>
  <c r="E192" i="20"/>
  <c r="D192" i="20"/>
  <c r="B204" i="20"/>
  <c r="I173" i="20"/>
  <c r="C215" i="12"/>
  <c r="D215" i="12" s="1"/>
  <c r="I226" i="12" s="1"/>
  <c r="F203" i="12"/>
  <c r="G203" i="12" s="1"/>
  <c r="H203" i="12" s="1"/>
  <c r="B202" i="12"/>
  <c r="E190" i="12"/>
  <c r="D190" i="12"/>
  <c r="I176" i="12"/>
  <c r="G186" i="12"/>
  <c r="H186" i="12" s="1"/>
  <c r="I174" i="12"/>
  <c r="F198" i="12"/>
  <c r="C210" i="12"/>
  <c r="I175" i="12"/>
  <c r="E193" i="12"/>
  <c r="D193" i="12"/>
  <c r="B205" i="12"/>
  <c r="G183" i="12"/>
  <c r="H183" i="12" s="1"/>
  <c r="I177" i="12"/>
  <c r="E188" i="12"/>
  <c r="D188" i="12"/>
  <c r="B200" i="12"/>
  <c r="G188" i="12"/>
  <c r="H188" i="12" s="1"/>
  <c r="E185" i="12"/>
  <c r="D185" i="12"/>
  <c r="B197" i="12"/>
  <c r="B210" i="12"/>
  <c r="E198" i="12"/>
  <c r="D198" i="12"/>
  <c r="C207" i="12"/>
  <c r="F195" i="12"/>
  <c r="G195" i="12" s="1"/>
  <c r="H195" i="12" s="1"/>
  <c r="I182" i="12"/>
  <c r="E206" i="12"/>
  <c r="B218" i="12"/>
  <c r="D206" i="12"/>
  <c r="F185" i="12"/>
  <c r="C197" i="12"/>
  <c r="G194" i="12"/>
  <c r="H194" i="12" s="1"/>
  <c r="E189" i="12"/>
  <c r="D189" i="12"/>
  <c r="B201" i="12"/>
  <c r="C218" i="12"/>
  <c r="F218" i="12" s="1"/>
  <c r="F206" i="12"/>
  <c r="I180" i="12"/>
  <c r="G178" i="12"/>
  <c r="H178" i="12" s="1"/>
  <c r="L166" i="19"/>
  <c r="C202" i="12"/>
  <c r="F190" i="12"/>
  <c r="I179" i="12"/>
  <c r="E192" i="12"/>
  <c r="G192" i="12" s="1"/>
  <c r="H192" i="12" s="1"/>
  <c r="D192" i="12"/>
  <c r="B204" i="12"/>
  <c r="F200" i="12"/>
  <c r="C212" i="12"/>
  <c r="B223" i="12"/>
  <c r="E211" i="12"/>
  <c r="G211" i="12" s="1"/>
  <c r="H211" i="12" s="1"/>
  <c r="D211" i="12"/>
  <c r="D203" i="12"/>
  <c r="E184" i="12"/>
  <c r="G184" i="12" s="1"/>
  <c r="H184" i="12" s="1"/>
  <c r="D184" i="12"/>
  <c r="I195" i="12" s="1"/>
  <c r="B196" i="12"/>
  <c r="B227" i="12"/>
  <c r="E215" i="12"/>
  <c r="I183" i="12"/>
  <c r="I178" i="12"/>
  <c r="I173" i="12"/>
  <c r="F189" i="12"/>
  <c r="G189" i="12" s="1"/>
  <c r="H189" i="12" s="1"/>
  <c r="C201" i="12"/>
  <c r="F204" i="12"/>
  <c r="C216" i="12"/>
  <c r="B207" i="12"/>
  <c r="D195" i="12"/>
  <c r="E195" i="12"/>
  <c r="F193" i="12"/>
  <c r="G193" i="12" s="1"/>
  <c r="H193" i="12" s="1"/>
  <c r="C205" i="12"/>
  <c r="F196" i="12"/>
  <c r="C208" i="12"/>
  <c r="I181" i="12"/>
  <c r="F185" i="11"/>
  <c r="G185" i="11" s="1"/>
  <c r="H185" i="11" s="1"/>
  <c r="C197" i="11"/>
  <c r="F193" i="11"/>
  <c r="G193" i="11" s="1"/>
  <c r="H193" i="11" s="1"/>
  <c r="C205" i="11"/>
  <c r="F200" i="11"/>
  <c r="C212" i="11"/>
  <c r="F196" i="11"/>
  <c r="C208" i="11"/>
  <c r="G188" i="11"/>
  <c r="H188" i="11" s="1"/>
  <c r="E200" i="11"/>
  <c r="D200" i="11"/>
  <c r="B212" i="11"/>
  <c r="F195" i="11"/>
  <c r="C207" i="11"/>
  <c r="F198" i="11"/>
  <c r="G198" i="11" s="1"/>
  <c r="H198" i="11" s="1"/>
  <c r="C210" i="11"/>
  <c r="G183" i="11"/>
  <c r="H183" i="11" s="1"/>
  <c r="F189" i="11"/>
  <c r="G189" i="11" s="1"/>
  <c r="H189" i="11" s="1"/>
  <c r="C201" i="11"/>
  <c r="D201" i="11" s="1"/>
  <c r="F204" i="11"/>
  <c r="G204" i="11" s="1"/>
  <c r="H204" i="11" s="1"/>
  <c r="C216" i="11"/>
  <c r="I176" i="11"/>
  <c r="I180" i="11"/>
  <c r="E201" i="11"/>
  <c r="B213" i="11"/>
  <c r="D189" i="11"/>
  <c r="E205" i="11"/>
  <c r="D205" i="11"/>
  <c r="B217" i="11"/>
  <c r="D193" i="11"/>
  <c r="I175" i="11"/>
  <c r="E196" i="11"/>
  <c r="D196" i="11"/>
  <c r="B208" i="11"/>
  <c r="E198" i="11"/>
  <c r="D198" i="11"/>
  <c r="B210" i="11"/>
  <c r="C223" i="11"/>
  <c r="F223" i="11" s="1"/>
  <c r="F211" i="11"/>
  <c r="D185" i="11"/>
  <c r="E226" i="11"/>
  <c r="G226" i="11" s="1"/>
  <c r="H226" i="11" s="1"/>
  <c r="D226" i="11"/>
  <c r="E194" i="11"/>
  <c r="D194" i="11"/>
  <c r="B206" i="11"/>
  <c r="F191" i="11"/>
  <c r="G191" i="11" s="1"/>
  <c r="H191" i="11" s="1"/>
  <c r="C203" i="11"/>
  <c r="E203" i="11"/>
  <c r="D203" i="11"/>
  <c r="B215" i="11"/>
  <c r="E197" i="11"/>
  <c r="D197" i="11"/>
  <c r="B209" i="11"/>
  <c r="F194" i="11"/>
  <c r="C206" i="11"/>
  <c r="I181" i="11"/>
  <c r="E204" i="11"/>
  <c r="D204" i="11"/>
  <c r="B216" i="11"/>
  <c r="G182" i="11"/>
  <c r="H182" i="11" s="1"/>
  <c r="I173" i="11"/>
  <c r="E183" i="11"/>
  <c r="D183" i="11"/>
  <c r="I193" i="11" s="1"/>
  <c r="B195" i="11"/>
  <c r="E199" i="11"/>
  <c r="G199" i="11" s="1"/>
  <c r="H199" i="11" s="1"/>
  <c r="D199" i="11"/>
  <c r="B211" i="11"/>
  <c r="I182" i="11"/>
  <c r="I177" i="11"/>
  <c r="I178" i="11"/>
  <c r="I179" i="11"/>
  <c r="E226" i="10"/>
  <c r="D226" i="10"/>
  <c r="B205" i="10"/>
  <c r="E193" i="10"/>
  <c r="D193" i="10"/>
  <c r="I170" i="19"/>
  <c r="I186" i="10"/>
  <c r="I174" i="10"/>
  <c r="I181" i="10"/>
  <c r="G214" i="10"/>
  <c r="H214" i="10" s="1"/>
  <c r="G226" i="10"/>
  <c r="H226" i="10" s="1"/>
  <c r="I173" i="10"/>
  <c r="G177" i="10"/>
  <c r="H177" i="10" s="1"/>
  <c r="E210" i="10"/>
  <c r="B222" i="10"/>
  <c r="B199" i="10"/>
  <c r="E187" i="10"/>
  <c r="D187" i="10"/>
  <c r="F185" i="10"/>
  <c r="G185" i="10" s="1"/>
  <c r="H185" i="10" s="1"/>
  <c r="C197" i="10"/>
  <c r="G173" i="10"/>
  <c r="H173" i="10" s="1"/>
  <c r="C207" i="10"/>
  <c r="F195" i="10"/>
  <c r="G183" i="10"/>
  <c r="H183" i="10" s="1"/>
  <c r="F189" i="10"/>
  <c r="G189" i="10" s="1"/>
  <c r="H189" i="10" s="1"/>
  <c r="C201" i="10"/>
  <c r="E203" i="10"/>
  <c r="B215" i="10"/>
  <c r="D203" i="10"/>
  <c r="E185" i="10"/>
  <c r="D185" i="10"/>
  <c r="B197" i="10"/>
  <c r="L161" i="19"/>
  <c r="G175" i="10"/>
  <c r="H175" i="10" s="1"/>
  <c r="L160" i="19"/>
  <c r="C199" i="10"/>
  <c r="F187" i="10"/>
  <c r="G187" i="10" s="1"/>
  <c r="H187" i="10" s="1"/>
  <c r="C206" i="10"/>
  <c r="F194" i="10"/>
  <c r="G194" i="10" s="1"/>
  <c r="H194" i="10" s="1"/>
  <c r="I185" i="10"/>
  <c r="I184" i="10"/>
  <c r="F186" i="10"/>
  <c r="G186" i="10" s="1"/>
  <c r="H186" i="10" s="1"/>
  <c r="C198" i="10"/>
  <c r="D186" i="10"/>
  <c r="F193" i="10"/>
  <c r="G193" i="10" s="1"/>
  <c r="H193" i="10" s="1"/>
  <c r="C205" i="10"/>
  <c r="G182" i="10"/>
  <c r="H182" i="10" s="1"/>
  <c r="I176" i="10"/>
  <c r="C215" i="10"/>
  <c r="F203" i="10"/>
  <c r="E189" i="10"/>
  <c r="D189" i="10"/>
  <c r="I189" i="10" s="1"/>
  <c r="B201" i="10"/>
  <c r="I190" i="10"/>
  <c r="I188" i="10"/>
  <c r="I187" i="10"/>
  <c r="I182" i="10"/>
  <c r="I179" i="10"/>
  <c r="I172" i="10"/>
  <c r="E183" i="10"/>
  <c r="D183" i="10"/>
  <c r="I183" i="10" s="1"/>
  <c r="B195" i="10"/>
  <c r="D194" i="10"/>
  <c r="B206" i="10"/>
  <c r="E194" i="10"/>
  <c r="I178" i="10"/>
  <c r="E183" i="8"/>
  <c r="G183" i="8" s="1"/>
  <c r="H183" i="8" s="1"/>
  <c r="D183" i="8"/>
  <c r="I183" i="8" s="1"/>
  <c r="B195" i="8"/>
  <c r="E227" i="8"/>
  <c r="G227" i="8" s="1"/>
  <c r="H227" i="8" s="1"/>
  <c r="D227" i="8"/>
  <c r="I184" i="8"/>
  <c r="I180" i="8"/>
  <c r="F184" i="8"/>
  <c r="C196" i="8"/>
  <c r="E193" i="8"/>
  <c r="G193" i="8" s="1"/>
  <c r="H193" i="8" s="1"/>
  <c r="D193" i="8"/>
  <c r="B205" i="8"/>
  <c r="E185" i="8"/>
  <c r="D185" i="8"/>
  <c r="B197" i="8"/>
  <c r="E189" i="8"/>
  <c r="G189" i="8" s="1"/>
  <c r="H189" i="8" s="1"/>
  <c r="D189" i="8"/>
  <c r="B201" i="8"/>
  <c r="F205" i="8"/>
  <c r="C217" i="8"/>
  <c r="F194" i="8"/>
  <c r="C206" i="8"/>
  <c r="E188" i="8"/>
  <c r="D188" i="8"/>
  <c r="B200" i="8"/>
  <c r="F201" i="8"/>
  <c r="C213" i="8"/>
  <c r="E198" i="8"/>
  <c r="D198" i="8"/>
  <c r="B210" i="8"/>
  <c r="E199" i="8"/>
  <c r="G199" i="8" s="1"/>
  <c r="H199" i="8" s="1"/>
  <c r="D199" i="8"/>
  <c r="B211" i="8"/>
  <c r="I182" i="8"/>
  <c r="I174" i="8"/>
  <c r="I172" i="8"/>
  <c r="I181" i="8"/>
  <c r="E192" i="8"/>
  <c r="D192" i="8"/>
  <c r="B204" i="8"/>
  <c r="L159" i="19"/>
  <c r="I171" i="8"/>
  <c r="F198" i="8"/>
  <c r="C210" i="8"/>
  <c r="E194" i="8"/>
  <c r="D194" i="8"/>
  <c r="B206" i="8"/>
  <c r="I188" i="8"/>
  <c r="I178" i="8"/>
  <c r="L168" i="19"/>
  <c r="I185" i="8"/>
  <c r="F200" i="8"/>
  <c r="C212" i="8"/>
  <c r="G188" i="8"/>
  <c r="H188" i="8" s="1"/>
  <c r="E184" i="8"/>
  <c r="D184" i="8"/>
  <c r="B196" i="8"/>
  <c r="E226" i="8"/>
  <c r="I175" i="8"/>
  <c r="F197" i="8"/>
  <c r="C209" i="8"/>
  <c r="G185" i="8"/>
  <c r="H185" i="8" s="1"/>
  <c r="F192" i="8"/>
  <c r="G192" i="8" s="1"/>
  <c r="H192" i="8" s="1"/>
  <c r="C204" i="8"/>
  <c r="C214" i="8"/>
  <c r="F202" i="8"/>
  <c r="G202" i="8" s="1"/>
  <c r="H202" i="8" s="1"/>
  <c r="D202" i="8"/>
  <c r="I176" i="8"/>
  <c r="I189" i="9"/>
  <c r="E191" i="9"/>
  <c r="G191" i="9" s="1"/>
  <c r="H191" i="9" s="1"/>
  <c r="D191" i="9"/>
  <c r="B203" i="9"/>
  <c r="I192" i="9"/>
  <c r="E188" i="9"/>
  <c r="D188" i="9"/>
  <c r="B200" i="9"/>
  <c r="F202" i="9"/>
  <c r="C214" i="9"/>
  <c r="I171" i="9"/>
  <c r="L162" i="18"/>
  <c r="E192" i="9"/>
  <c r="D192" i="9"/>
  <c r="B204" i="9"/>
  <c r="E185" i="9"/>
  <c r="D185" i="9"/>
  <c r="B197" i="9"/>
  <c r="E198" i="9"/>
  <c r="D198" i="9"/>
  <c r="B210" i="9"/>
  <c r="I190" i="9"/>
  <c r="I171" i="15"/>
  <c r="F198" i="9"/>
  <c r="G198" i="9" s="1"/>
  <c r="H198" i="9" s="1"/>
  <c r="C210" i="9"/>
  <c r="I184" i="9"/>
  <c r="I181" i="9"/>
  <c r="I175" i="9"/>
  <c r="F199" i="9"/>
  <c r="C211" i="9"/>
  <c r="F196" i="9"/>
  <c r="C208" i="9"/>
  <c r="E184" i="9"/>
  <c r="G184" i="9" s="1"/>
  <c r="H184" i="9" s="1"/>
  <c r="D184" i="9"/>
  <c r="B196" i="9"/>
  <c r="D182" i="9"/>
  <c r="I183" i="9" s="1"/>
  <c r="E182" i="9"/>
  <c r="B194" i="9"/>
  <c r="E187" i="9"/>
  <c r="G187" i="9" s="1"/>
  <c r="H187" i="9" s="1"/>
  <c r="B199" i="9"/>
  <c r="D187" i="9"/>
  <c r="F182" i="9"/>
  <c r="G182" i="9" s="1"/>
  <c r="H182" i="9" s="1"/>
  <c r="C194" i="9"/>
  <c r="F185" i="9"/>
  <c r="C197" i="9"/>
  <c r="F193" i="9"/>
  <c r="C205" i="9"/>
  <c r="E193" i="9"/>
  <c r="D193" i="9"/>
  <c r="B205" i="9"/>
  <c r="G181" i="9"/>
  <c r="H181" i="9" s="1"/>
  <c r="I172" i="9"/>
  <c r="I187" i="9"/>
  <c r="E202" i="9"/>
  <c r="D202" i="9"/>
  <c r="B214" i="9"/>
  <c r="F200" i="9"/>
  <c r="C212" i="9"/>
  <c r="G188" i="9"/>
  <c r="H188" i="9" s="1"/>
  <c r="I180" i="9"/>
  <c r="F189" i="9"/>
  <c r="G189" i="9" s="1"/>
  <c r="H189" i="9" s="1"/>
  <c r="C201" i="9"/>
  <c r="F203" i="9"/>
  <c r="C215" i="9"/>
  <c r="F195" i="9"/>
  <c r="C207" i="9"/>
  <c r="E189" i="9"/>
  <c r="D189" i="9"/>
  <c r="B201" i="9"/>
  <c r="F204" i="9"/>
  <c r="C216" i="9"/>
  <c r="G177" i="9"/>
  <c r="H177" i="9" s="1"/>
  <c r="G192" i="9"/>
  <c r="H192" i="9" s="1"/>
  <c r="I176" i="9"/>
  <c r="I178" i="9"/>
  <c r="E183" i="9"/>
  <c r="G183" i="9" s="1"/>
  <c r="H183" i="9" s="1"/>
  <c r="D183" i="9"/>
  <c r="I185" i="9" s="1"/>
  <c r="B195" i="9"/>
  <c r="I182" i="9"/>
  <c r="I173" i="9"/>
  <c r="E182" i="16"/>
  <c r="D182" i="16"/>
  <c r="B194" i="16"/>
  <c r="F187" i="16"/>
  <c r="C199" i="16"/>
  <c r="I181" i="16"/>
  <c r="I177" i="16"/>
  <c r="B214" i="16"/>
  <c r="E202" i="16"/>
  <c r="D202" i="16"/>
  <c r="G181" i="16"/>
  <c r="H181" i="16" s="1"/>
  <c r="I179" i="18"/>
  <c r="G177" i="16"/>
  <c r="H177" i="16" s="1"/>
  <c r="I179" i="16"/>
  <c r="E183" i="16"/>
  <c r="D183" i="16"/>
  <c r="B195" i="16"/>
  <c r="I176" i="16"/>
  <c r="G210" i="16"/>
  <c r="H210" i="16" s="1"/>
  <c r="G182" i="16"/>
  <c r="H182" i="16" s="1"/>
  <c r="F189" i="16"/>
  <c r="C201" i="16"/>
  <c r="C212" i="16"/>
  <c r="F200" i="16"/>
  <c r="G200" i="16" s="1"/>
  <c r="H200" i="16" s="1"/>
  <c r="L164" i="19"/>
  <c r="L164" i="18"/>
  <c r="L163" i="19"/>
  <c r="L163" i="18"/>
  <c r="L169" i="18"/>
  <c r="L169" i="19"/>
  <c r="C195" i="16"/>
  <c r="F183" i="16"/>
  <c r="F196" i="16"/>
  <c r="C208" i="16"/>
  <c r="I172" i="16"/>
  <c r="I171" i="16"/>
  <c r="E196" i="16"/>
  <c r="D196" i="16"/>
  <c r="B208" i="16"/>
  <c r="E187" i="16"/>
  <c r="D187" i="16"/>
  <c r="B199" i="16"/>
  <c r="C214" i="16"/>
  <c r="F202" i="16"/>
  <c r="G202" i="16" s="1"/>
  <c r="H202" i="16" s="1"/>
  <c r="G222" i="16"/>
  <c r="H222" i="16" s="1"/>
  <c r="E185" i="16"/>
  <c r="D185" i="16"/>
  <c r="B197" i="16"/>
  <c r="E215" i="16"/>
  <c r="B227" i="16"/>
  <c r="D215" i="16"/>
  <c r="I226" i="16" s="1"/>
  <c r="I178" i="16"/>
  <c r="I175" i="16"/>
  <c r="L167" i="19"/>
  <c r="L167" i="18"/>
  <c r="C227" i="16"/>
  <c r="F227" i="16" s="1"/>
  <c r="F215" i="16"/>
  <c r="C206" i="16"/>
  <c r="F194" i="16"/>
  <c r="F193" i="16"/>
  <c r="C205" i="16"/>
  <c r="I180" i="16"/>
  <c r="E193" i="16"/>
  <c r="D193" i="16"/>
  <c r="B205" i="16"/>
  <c r="B212" i="16"/>
  <c r="E200" i="16"/>
  <c r="D200" i="16"/>
  <c r="G203" i="16"/>
  <c r="H203" i="16" s="1"/>
  <c r="I173" i="16"/>
  <c r="E222" i="16"/>
  <c r="D222" i="16"/>
  <c r="I170" i="16"/>
  <c r="F185" i="16"/>
  <c r="G185" i="16" s="1"/>
  <c r="H185" i="16" s="1"/>
  <c r="C197" i="16"/>
  <c r="I174" i="16"/>
  <c r="E189" i="16"/>
  <c r="D189" i="16"/>
  <c r="B201" i="16"/>
  <c r="L165" i="19"/>
  <c r="L165" i="18"/>
  <c r="F188" i="15"/>
  <c r="G188" i="15" s="1"/>
  <c r="H188" i="15" s="1"/>
  <c r="C200" i="15"/>
  <c r="D200" i="15" s="1"/>
  <c r="F183" i="15"/>
  <c r="G183" i="15" s="1"/>
  <c r="H183" i="15" s="1"/>
  <c r="C195" i="15"/>
  <c r="E205" i="15"/>
  <c r="B217" i="15"/>
  <c r="F204" i="15"/>
  <c r="C216" i="15"/>
  <c r="B211" i="15"/>
  <c r="E199" i="15"/>
  <c r="D199" i="15"/>
  <c r="E182" i="15"/>
  <c r="D182" i="15"/>
  <c r="B194" i="15"/>
  <c r="E185" i="15"/>
  <c r="D185" i="15"/>
  <c r="B197" i="15"/>
  <c r="F193" i="15"/>
  <c r="G193" i="15" s="1"/>
  <c r="H193" i="15" s="1"/>
  <c r="C205" i="15"/>
  <c r="E213" i="15"/>
  <c r="B225" i="15"/>
  <c r="I170" i="15"/>
  <c r="G173" i="15"/>
  <c r="H173" i="15" s="1"/>
  <c r="B198" i="15"/>
  <c r="E186" i="15"/>
  <c r="D186" i="15"/>
  <c r="C198" i="15"/>
  <c r="F186" i="15"/>
  <c r="F189" i="15"/>
  <c r="G189" i="15" s="1"/>
  <c r="H189" i="15" s="1"/>
  <c r="C201" i="15"/>
  <c r="D189" i="15"/>
  <c r="G191" i="15"/>
  <c r="H191" i="15" s="1"/>
  <c r="I181" i="15"/>
  <c r="I180" i="15"/>
  <c r="I179" i="15"/>
  <c r="I175" i="15"/>
  <c r="I178" i="15"/>
  <c r="I177" i="15"/>
  <c r="F203" i="15"/>
  <c r="G203" i="15" s="1"/>
  <c r="H203" i="15" s="1"/>
  <c r="C215" i="15"/>
  <c r="E226" i="15"/>
  <c r="G226" i="15" s="1"/>
  <c r="H226" i="15" s="1"/>
  <c r="D226" i="15"/>
  <c r="I174" i="15"/>
  <c r="F185" i="15"/>
  <c r="G185" i="15" s="1"/>
  <c r="H185" i="15" s="1"/>
  <c r="C197" i="15"/>
  <c r="B216" i="15"/>
  <c r="E204" i="15"/>
  <c r="D204" i="15"/>
  <c r="F199" i="15"/>
  <c r="G199" i="15" s="1"/>
  <c r="H199" i="15" s="1"/>
  <c r="C211" i="15"/>
  <c r="I173" i="15"/>
  <c r="G187" i="15"/>
  <c r="H187" i="15" s="1"/>
  <c r="B212" i="15"/>
  <c r="E200" i="15"/>
  <c r="E203" i="15"/>
  <c r="D203" i="15"/>
  <c r="B215" i="15"/>
  <c r="E195" i="15"/>
  <c r="D195" i="15"/>
  <c r="B207" i="15"/>
  <c r="B208" i="15"/>
  <c r="E196" i="15"/>
  <c r="G196" i="15" s="1"/>
  <c r="H196" i="15" s="1"/>
  <c r="D196" i="15"/>
  <c r="D183" i="15"/>
  <c r="G170" i="15"/>
  <c r="H170" i="15" s="1"/>
  <c r="F182" i="15"/>
  <c r="G182" i="15" s="1"/>
  <c r="H182" i="15" s="1"/>
  <c r="C194" i="15"/>
  <c r="I172" i="15"/>
  <c r="I177" i="7"/>
  <c r="I181" i="7"/>
  <c r="I170" i="7"/>
  <c r="E189" i="7"/>
  <c r="B201" i="7"/>
  <c r="D189" i="7"/>
  <c r="D184" i="7"/>
  <c r="I191" i="7" s="1"/>
  <c r="B196" i="7"/>
  <c r="E184" i="7"/>
  <c r="F203" i="7"/>
  <c r="G203" i="7" s="1"/>
  <c r="H203" i="7" s="1"/>
  <c r="C215" i="7"/>
  <c r="D203" i="7"/>
  <c r="F209" i="7"/>
  <c r="C221" i="7"/>
  <c r="F221" i="7" s="1"/>
  <c r="I182" i="7"/>
  <c r="I183" i="7"/>
  <c r="B211" i="7"/>
  <c r="D199" i="7"/>
  <c r="E199" i="7"/>
  <c r="C208" i="7"/>
  <c r="F196" i="7"/>
  <c r="E209" i="7"/>
  <c r="B221" i="7"/>
  <c r="D209" i="7"/>
  <c r="C210" i="7"/>
  <c r="F198" i="7"/>
  <c r="G198" i="7" s="1"/>
  <c r="H198" i="7" s="1"/>
  <c r="D198" i="7"/>
  <c r="I172" i="14"/>
  <c r="F195" i="7"/>
  <c r="G195" i="7" s="1"/>
  <c r="H195" i="7" s="1"/>
  <c r="C207" i="7"/>
  <c r="D195" i="7"/>
  <c r="E194" i="7"/>
  <c r="B206" i="7"/>
  <c r="C214" i="7"/>
  <c r="F202" i="7"/>
  <c r="B214" i="7"/>
  <c r="E202" i="7"/>
  <c r="D202" i="7"/>
  <c r="F199" i="7"/>
  <c r="C211" i="7"/>
  <c r="F205" i="7"/>
  <c r="C217" i="7"/>
  <c r="G184" i="7"/>
  <c r="H184" i="7" s="1"/>
  <c r="I179" i="7"/>
  <c r="I172" i="7"/>
  <c r="G190" i="7"/>
  <c r="H190" i="7" s="1"/>
  <c r="G188" i="7"/>
  <c r="H188" i="7" s="1"/>
  <c r="C194" i="7"/>
  <c r="D194" i="7" s="1"/>
  <c r="F182" i="7"/>
  <c r="G182" i="7" s="1"/>
  <c r="H182" i="7" s="1"/>
  <c r="I182" i="22"/>
  <c r="D200" i="7"/>
  <c r="B212" i="7"/>
  <c r="E200" i="7"/>
  <c r="F189" i="7"/>
  <c r="G189" i="7" s="1"/>
  <c r="H189" i="7" s="1"/>
  <c r="C201" i="7"/>
  <c r="F200" i="7"/>
  <c r="G200" i="7" s="1"/>
  <c r="H200" i="7" s="1"/>
  <c r="C212" i="7"/>
  <c r="G177" i="7"/>
  <c r="H177" i="7" s="1"/>
  <c r="I176" i="7"/>
  <c r="I173" i="7"/>
  <c r="I177" i="22"/>
  <c r="D192" i="7"/>
  <c r="B204" i="7"/>
  <c r="E192" i="7"/>
  <c r="E227" i="7"/>
  <c r="E193" i="7"/>
  <c r="G193" i="7" s="1"/>
  <c r="H193" i="7" s="1"/>
  <c r="D193" i="7"/>
  <c r="B205" i="7"/>
  <c r="I178" i="7"/>
  <c r="F204" i="7"/>
  <c r="C216" i="7"/>
  <c r="I185" i="7"/>
  <c r="I175" i="7"/>
  <c r="G192" i="7"/>
  <c r="H192" i="7" s="1"/>
  <c r="I174" i="7"/>
  <c r="I184" i="7"/>
  <c r="B206" i="6"/>
  <c r="E194" i="6"/>
  <c r="D194" i="6"/>
  <c r="K164" i="19"/>
  <c r="E210" i="6"/>
  <c r="D210" i="6"/>
  <c r="B222" i="6"/>
  <c r="F184" i="6"/>
  <c r="C196" i="6"/>
  <c r="I171" i="6"/>
  <c r="I171" i="19"/>
  <c r="F210" i="6"/>
  <c r="G210" i="6" s="1"/>
  <c r="H210" i="6" s="1"/>
  <c r="C222" i="6"/>
  <c r="F222" i="6" s="1"/>
  <c r="G198" i="6"/>
  <c r="H198" i="6" s="1"/>
  <c r="I178" i="6"/>
  <c r="I176" i="6"/>
  <c r="F192" i="6"/>
  <c r="C204" i="6"/>
  <c r="C206" i="6"/>
  <c r="F194" i="6"/>
  <c r="G194" i="6" s="1"/>
  <c r="H194" i="6" s="1"/>
  <c r="F189" i="6"/>
  <c r="G189" i="6" s="1"/>
  <c r="H189" i="6" s="1"/>
  <c r="C201" i="6"/>
  <c r="I172" i="6"/>
  <c r="E184" i="6"/>
  <c r="D184" i="6"/>
  <c r="B196" i="6"/>
  <c r="F202" i="6"/>
  <c r="G202" i="6" s="1"/>
  <c r="H202" i="6" s="1"/>
  <c r="C214" i="6"/>
  <c r="G182" i="6"/>
  <c r="H182" i="6" s="1"/>
  <c r="I175" i="6"/>
  <c r="G177" i="6"/>
  <c r="H177" i="6" s="1"/>
  <c r="E191" i="6"/>
  <c r="G191" i="6" s="1"/>
  <c r="H191" i="6" s="1"/>
  <c r="D191" i="6"/>
  <c r="B203" i="6"/>
  <c r="I183" i="6"/>
  <c r="E202" i="6"/>
  <c r="D202" i="6"/>
  <c r="B214" i="6"/>
  <c r="G176" i="6"/>
  <c r="H176" i="6" s="1"/>
  <c r="E189" i="6"/>
  <c r="D189" i="6"/>
  <c r="B201" i="6"/>
  <c r="I182" i="6"/>
  <c r="I174" i="6"/>
  <c r="F188" i="6"/>
  <c r="C200" i="6"/>
  <c r="E187" i="6"/>
  <c r="G187" i="6" s="1"/>
  <c r="H187" i="6" s="1"/>
  <c r="D187" i="6"/>
  <c r="B199" i="6"/>
  <c r="I181" i="6"/>
  <c r="E188" i="6"/>
  <c r="D188" i="6"/>
  <c r="B200" i="6"/>
  <c r="E183" i="6"/>
  <c r="G183" i="6" s="1"/>
  <c r="H183" i="6" s="1"/>
  <c r="D183" i="6"/>
  <c r="B195" i="6"/>
  <c r="E185" i="6"/>
  <c r="D185" i="6"/>
  <c r="B197" i="6"/>
  <c r="I173" i="6"/>
  <c r="F193" i="6"/>
  <c r="C205" i="6"/>
  <c r="I179" i="6"/>
  <c r="F185" i="6"/>
  <c r="G185" i="6" s="1"/>
  <c r="H185" i="6" s="1"/>
  <c r="C197" i="6"/>
  <c r="G181" i="6"/>
  <c r="H181" i="6" s="1"/>
  <c r="G180" i="6"/>
  <c r="H180" i="6" s="1"/>
  <c r="E193" i="6"/>
  <c r="D193" i="6"/>
  <c r="B205" i="6"/>
  <c r="E192" i="6"/>
  <c r="D192" i="6"/>
  <c r="B204" i="6"/>
  <c r="G173" i="6"/>
  <c r="H173" i="6" s="1"/>
  <c r="I177" i="6"/>
  <c r="E185" i="5"/>
  <c r="D185" i="5"/>
  <c r="B197" i="5"/>
  <c r="E210" i="5"/>
  <c r="D210" i="5"/>
  <c r="B222" i="5"/>
  <c r="C217" i="5"/>
  <c r="F205" i="5"/>
  <c r="I176" i="5"/>
  <c r="I190" i="5"/>
  <c r="F197" i="5"/>
  <c r="C209" i="5"/>
  <c r="G185" i="5"/>
  <c r="H185" i="5" s="1"/>
  <c r="E201" i="5"/>
  <c r="D201" i="5"/>
  <c r="B213" i="5"/>
  <c r="F191" i="5"/>
  <c r="G191" i="5" s="1"/>
  <c r="H191" i="5" s="1"/>
  <c r="C203" i="5"/>
  <c r="D191" i="5"/>
  <c r="I191" i="5"/>
  <c r="I178" i="5"/>
  <c r="F188" i="5"/>
  <c r="G188" i="5" s="1"/>
  <c r="H188" i="5" s="1"/>
  <c r="C200" i="5"/>
  <c r="E216" i="5"/>
  <c r="B228" i="5"/>
  <c r="F192" i="5"/>
  <c r="G192" i="5" s="1"/>
  <c r="H192" i="5" s="1"/>
  <c r="C204" i="5"/>
  <c r="D192" i="5"/>
  <c r="I177" i="5"/>
  <c r="E206" i="5"/>
  <c r="D206" i="5"/>
  <c r="B218" i="5"/>
  <c r="F202" i="5"/>
  <c r="C214" i="5"/>
  <c r="E199" i="5"/>
  <c r="D199" i="5"/>
  <c r="B211" i="5"/>
  <c r="I183" i="5"/>
  <c r="I182" i="5"/>
  <c r="I181" i="5"/>
  <c r="F184" i="5"/>
  <c r="G184" i="5" s="1"/>
  <c r="H184" i="5" s="1"/>
  <c r="C196" i="5"/>
  <c r="D184" i="5"/>
  <c r="F198" i="5"/>
  <c r="G198" i="5" s="1"/>
  <c r="H198" i="5" s="1"/>
  <c r="C210" i="5"/>
  <c r="I173" i="5"/>
  <c r="I175" i="5"/>
  <c r="I179" i="5"/>
  <c r="I189" i="5"/>
  <c r="I172" i="5"/>
  <c r="G187" i="5"/>
  <c r="H187" i="5" s="1"/>
  <c r="E202" i="5"/>
  <c r="D202" i="5"/>
  <c r="B214" i="5"/>
  <c r="E193" i="5"/>
  <c r="G193" i="5" s="1"/>
  <c r="H193" i="5" s="1"/>
  <c r="D193" i="5"/>
  <c r="B205" i="5"/>
  <c r="F194" i="5"/>
  <c r="G194" i="5" s="1"/>
  <c r="H194" i="5" s="1"/>
  <c r="C206" i="5"/>
  <c r="D188" i="5"/>
  <c r="E188" i="5"/>
  <c r="B200" i="5"/>
  <c r="C213" i="5"/>
  <c r="F201" i="5"/>
  <c r="F199" i="5"/>
  <c r="G199" i="5" s="1"/>
  <c r="H199" i="5" s="1"/>
  <c r="C211" i="5"/>
  <c r="I186" i="5"/>
  <c r="E220" i="5"/>
  <c r="I187" i="5"/>
  <c r="K163" i="19"/>
  <c r="F200" i="4"/>
  <c r="C212" i="4"/>
  <c r="E191" i="4"/>
  <c r="B203" i="4"/>
  <c r="D191" i="4"/>
  <c r="C208" i="4"/>
  <c r="F196" i="4"/>
  <c r="F185" i="4"/>
  <c r="C197" i="4"/>
  <c r="D185" i="4"/>
  <c r="E185" i="4"/>
  <c r="B197" i="4"/>
  <c r="I177" i="4"/>
  <c r="C223" i="4"/>
  <c r="F223" i="4" s="1"/>
  <c r="F211" i="4"/>
  <c r="G211" i="4" s="1"/>
  <c r="H211" i="4" s="1"/>
  <c r="D205" i="4"/>
  <c r="B217" i="4"/>
  <c r="E205" i="4"/>
  <c r="I176" i="19"/>
  <c r="E202" i="4"/>
  <c r="B214" i="4"/>
  <c r="D202" i="4"/>
  <c r="D192" i="4"/>
  <c r="B204" i="4"/>
  <c r="E192" i="4"/>
  <c r="G192" i="4" s="1"/>
  <c r="H192" i="4" s="1"/>
  <c r="I181" i="4"/>
  <c r="F202" i="4"/>
  <c r="C214" i="4"/>
  <c r="D189" i="4"/>
  <c r="B201" i="4"/>
  <c r="E189" i="4"/>
  <c r="C218" i="4"/>
  <c r="F218" i="4" s="1"/>
  <c r="F206" i="4"/>
  <c r="G206" i="4" s="1"/>
  <c r="H206" i="4" s="1"/>
  <c r="E198" i="4"/>
  <c r="B210" i="4"/>
  <c r="E211" i="4"/>
  <c r="B223" i="4"/>
  <c r="D211" i="4"/>
  <c r="G183" i="4"/>
  <c r="H183" i="4" s="1"/>
  <c r="F186" i="4"/>
  <c r="G186" i="4" s="1"/>
  <c r="H186" i="4" s="1"/>
  <c r="C198" i="4"/>
  <c r="D198" i="4" s="1"/>
  <c r="D184" i="4"/>
  <c r="I187" i="4" s="1"/>
  <c r="B196" i="4"/>
  <c r="E184" i="4"/>
  <c r="G184" i="4" s="1"/>
  <c r="H184" i="4" s="1"/>
  <c r="F195" i="4"/>
  <c r="G195" i="4" s="1"/>
  <c r="H195" i="4" s="1"/>
  <c r="C207" i="4"/>
  <c r="I183" i="4"/>
  <c r="I180" i="4"/>
  <c r="I180" i="25"/>
  <c r="I179" i="4"/>
  <c r="E206" i="4"/>
  <c r="B218" i="4"/>
  <c r="D206" i="4"/>
  <c r="F189" i="4"/>
  <c r="C201" i="4"/>
  <c r="F193" i="4"/>
  <c r="G193" i="4" s="1"/>
  <c r="H193" i="4" s="1"/>
  <c r="C205" i="4"/>
  <c r="I178" i="25"/>
  <c r="D188" i="4"/>
  <c r="B200" i="4"/>
  <c r="E188" i="4"/>
  <c r="G188" i="4" s="1"/>
  <c r="H188" i="4" s="1"/>
  <c r="G191" i="4"/>
  <c r="H191" i="4" s="1"/>
  <c r="I175" i="4"/>
  <c r="C215" i="4"/>
  <c r="F203" i="4"/>
  <c r="I182" i="4"/>
  <c r="I174" i="4"/>
  <c r="E195" i="4"/>
  <c r="D195" i="4"/>
  <c r="B207" i="4"/>
  <c r="C217" i="3"/>
  <c r="F205" i="3"/>
  <c r="C222" i="3"/>
  <c r="F222" i="3" s="1"/>
  <c r="F210" i="3"/>
  <c r="G210" i="3" s="1"/>
  <c r="H210" i="3" s="1"/>
  <c r="C204" i="3"/>
  <c r="F192" i="3"/>
  <c r="G192" i="3" s="1"/>
  <c r="H192" i="3" s="1"/>
  <c r="I173" i="19"/>
  <c r="I183" i="3"/>
  <c r="E196" i="3"/>
  <c r="G196" i="3" s="1"/>
  <c r="H196" i="3" s="1"/>
  <c r="D196" i="3"/>
  <c r="B208" i="3"/>
  <c r="E226" i="3"/>
  <c r="D226" i="3"/>
  <c r="K168" i="18"/>
  <c r="B207" i="3"/>
  <c r="E195" i="3"/>
  <c r="D195" i="3"/>
  <c r="I187" i="3"/>
  <c r="I173" i="14"/>
  <c r="C200" i="3"/>
  <c r="F188" i="3"/>
  <c r="G188" i="3" s="1"/>
  <c r="H188" i="3" s="1"/>
  <c r="B206" i="3"/>
  <c r="E194" i="3"/>
  <c r="D194" i="3"/>
  <c r="I185" i="3"/>
  <c r="I175" i="14"/>
  <c r="B222" i="3"/>
  <c r="E210" i="3"/>
  <c r="D210" i="3"/>
  <c r="I186" i="3"/>
  <c r="I177" i="19"/>
  <c r="E200" i="3"/>
  <c r="B212" i="3"/>
  <c r="C211" i="3"/>
  <c r="F199" i="3"/>
  <c r="I182" i="3"/>
  <c r="E193" i="3"/>
  <c r="G193" i="3" s="1"/>
  <c r="H193" i="3" s="1"/>
  <c r="B205" i="3"/>
  <c r="D193" i="3"/>
  <c r="B211" i="3"/>
  <c r="E199" i="3"/>
  <c r="D199" i="3"/>
  <c r="I178" i="13"/>
  <c r="K178" i="18" s="1"/>
  <c r="C207" i="3"/>
  <c r="F195" i="3"/>
  <c r="G195" i="3" s="1"/>
  <c r="H195" i="3" s="1"/>
  <c r="C203" i="3"/>
  <c r="F191" i="3"/>
  <c r="G191" i="3" s="1"/>
  <c r="H191" i="3" s="1"/>
  <c r="D191" i="3"/>
  <c r="E209" i="3"/>
  <c r="G209" i="3" s="1"/>
  <c r="H209" i="3" s="1"/>
  <c r="B221" i="3"/>
  <c r="D209" i="3"/>
  <c r="B227" i="3"/>
  <c r="E215" i="3"/>
  <c r="G183" i="3"/>
  <c r="H183" i="3" s="1"/>
  <c r="I188" i="3"/>
  <c r="G182" i="3"/>
  <c r="H182" i="3" s="1"/>
  <c r="E189" i="3"/>
  <c r="G189" i="3" s="1"/>
  <c r="H189" i="3" s="1"/>
  <c r="B201" i="3"/>
  <c r="D189" i="3"/>
  <c r="C206" i="3"/>
  <c r="F194" i="3"/>
  <c r="C226" i="3"/>
  <c r="F226" i="3" s="1"/>
  <c r="G226" i="3" s="1"/>
  <c r="H226" i="3" s="1"/>
  <c r="F214" i="3"/>
  <c r="G214" i="3" s="1"/>
  <c r="H214" i="3" s="1"/>
  <c r="E204" i="3"/>
  <c r="D204" i="3"/>
  <c r="B216" i="3"/>
  <c r="D195" i="25"/>
  <c r="E195" i="25"/>
  <c r="B207" i="25"/>
  <c r="G183" i="25"/>
  <c r="H183" i="25" s="1"/>
  <c r="C202" i="25"/>
  <c r="F190" i="25"/>
  <c r="G190" i="25" s="1"/>
  <c r="H190" i="25" s="1"/>
  <c r="I188" i="25"/>
  <c r="I186" i="25"/>
  <c r="I181" i="25"/>
  <c r="I184" i="25"/>
  <c r="I177" i="25"/>
  <c r="I183" i="25"/>
  <c r="E203" i="25"/>
  <c r="B215" i="25"/>
  <c r="D203" i="25"/>
  <c r="E209" i="25"/>
  <c r="D209" i="25"/>
  <c r="B221" i="25"/>
  <c r="C218" i="25"/>
  <c r="F218" i="25" s="1"/>
  <c r="F206" i="25"/>
  <c r="G206" i="25" s="1"/>
  <c r="H206" i="25" s="1"/>
  <c r="B224" i="25"/>
  <c r="E212" i="25"/>
  <c r="D212" i="25"/>
  <c r="D218" i="25"/>
  <c r="I229" i="25" s="1"/>
  <c r="E218" i="25"/>
  <c r="E189" i="25"/>
  <c r="B201" i="25"/>
  <c r="D189" i="25"/>
  <c r="I192" i="25" s="1"/>
  <c r="B216" i="25"/>
  <c r="D204" i="25"/>
  <c r="E204" i="25"/>
  <c r="F211" i="25"/>
  <c r="G211" i="25" s="1"/>
  <c r="H211" i="25" s="1"/>
  <c r="C223" i="25"/>
  <c r="D211" i="25"/>
  <c r="C212" i="25"/>
  <c r="F200" i="25"/>
  <c r="G200" i="25" s="1"/>
  <c r="H200" i="25" s="1"/>
  <c r="F198" i="25"/>
  <c r="G198" i="25" s="1"/>
  <c r="H198" i="25" s="1"/>
  <c r="C210" i="25"/>
  <c r="D198" i="25"/>
  <c r="I187" i="25"/>
  <c r="E193" i="25"/>
  <c r="B205" i="25"/>
  <c r="D193" i="25"/>
  <c r="F189" i="25"/>
  <c r="G189" i="25" s="1"/>
  <c r="H189" i="25" s="1"/>
  <c r="C201" i="25"/>
  <c r="E202" i="25"/>
  <c r="D202" i="25"/>
  <c r="B214" i="25"/>
  <c r="F195" i="25"/>
  <c r="G195" i="25" s="1"/>
  <c r="H195" i="25" s="1"/>
  <c r="C207" i="25"/>
  <c r="G177" i="25"/>
  <c r="H177" i="25" s="1"/>
  <c r="F193" i="25"/>
  <c r="G193" i="25" s="1"/>
  <c r="H193" i="25" s="1"/>
  <c r="C205" i="25"/>
  <c r="I182" i="25"/>
  <c r="I185" i="25"/>
  <c r="F203" i="25"/>
  <c r="C215" i="25"/>
  <c r="C216" i="25"/>
  <c r="F204" i="25"/>
  <c r="F209" i="25"/>
  <c r="C221" i="25"/>
  <c r="F221" i="25" s="1"/>
  <c r="G197" i="25"/>
  <c r="H197" i="25" s="1"/>
  <c r="F192" i="14"/>
  <c r="C204" i="14"/>
  <c r="E188" i="14"/>
  <c r="G188" i="14" s="1"/>
  <c r="H188" i="14" s="1"/>
  <c r="D188" i="14"/>
  <c r="B200" i="14"/>
  <c r="E205" i="14"/>
  <c r="G205" i="14" s="1"/>
  <c r="H205" i="14" s="1"/>
  <c r="B217" i="14"/>
  <c r="D205" i="14"/>
  <c r="I179" i="14"/>
  <c r="D206" i="14"/>
  <c r="E206" i="14"/>
  <c r="B218" i="14"/>
  <c r="E184" i="14"/>
  <c r="D184" i="14"/>
  <c r="B196" i="14"/>
  <c r="F198" i="14"/>
  <c r="C210" i="14"/>
  <c r="F200" i="14"/>
  <c r="C212" i="14"/>
  <c r="I179" i="22"/>
  <c r="E201" i="14"/>
  <c r="G201" i="14" s="1"/>
  <c r="H201" i="14" s="1"/>
  <c r="B213" i="14"/>
  <c r="D201" i="14"/>
  <c r="E183" i="14"/>
  <c r="G183" i="14" s="1"/>
  <c r="H183" i="14" s="1"/>
  <c r="D183" i="14"/>
  <c r="B195" i="14"/>
  <c r="E197" i="14"/>
  <c r="G197" i="14" s="1"/>
  <c r="H197" i="14" s="1"/>
  <c r="B209" i="14"/>
  <c r="D197" i="14"/>
  <c r="D226" i="14"/>
  <c r="E226" i="14"/>
  <c r="G226" i="14" s="1"/>
  <c r="H226" i="14" s="1"/>
  <c r="I182" i="14"/>
  <c r="I180" i="14"/>
  <c r="I181" i="14"/>
  <c r="I176" i="14"/>
  <c r="I178" i="14"/>
  <c r="F184" i="14"/>
  <c r="G184" i="14" s="1"/>
  <c r="H184" i="14" s="1"/>
  <c r="C196" i="14"/>
  <c r="I177" i="14"/>
  <c r="G172" i="14"/>
  <c r="H172" i="14" s="1"/>
  <c r="I174" i="14"/>
  <c r="B210" i="14"/>
  <c r="D198" i="14"/>
  <c r="E198" i="14"/>
  <c r="E192" i="14"/>
  <c r="D192" i="14"/>
  <c r="B204" i="14"/>
  <c r="E187" i="14"/>
  <c r="G187" i="14" s="1"/>
  <c r="H187" i="14" s="1"/>
  <c r="D187" i="14"/>
  <c r="B199" i="14"/>
  <c r="E191" i="14"/>
  <c r="G191" i="14" s="1"/>
  <c r="H191" i="14" s="1"/>
  <c r="D191" i="14"/>
  <c r="B203" i="14"/>
  <c r="F194" i="14"/>
  <c r="G194" i="14" s="1"/>
  <c r="H194" i="14" s="1"/>
  <c r="C206" i="14"/>
  <c r="I171" i="14"/>
  <c r="I175" i="22"/>
  <c r="F215" i="14"/>
  <c r="C227" i="14"/>
  <c r="F227" i="14" s="1"/>
  <c r="K176" i="19"/>
  <c r="E192" i="13"/>
  <c r="B204" i="13"/>
  <c r="D192" i="13"/>
  <c r="K170" i="19"/>
  <c r="K170" i="18"/>
  <c r="F185" i="13"/>
  <c r="G185" i="13" s="1"/>
  <c r="H185" i="13" s="1"/>
  <c r="C197" i="13"/>
  <c r="D197" i="13"/>
  <c r="E197" i="13"/>
  <c r="B209" i="13"/>
  <c r="C202" i="13"/>
  <c r="F190" i="13"/>
  <c r="D185" i="13"/>
  <c r="D217" i="13"/>
  <c r="I228" i="13" s="1"/>
  <c r="E217" i="13"/>
  <c r="B229" i="13"/>
  <c r="B206" i="13"/>
  <c r="E194" i="13"/>
  <c r="G194" i="13" s="1"/>
  <c r="H194" i="13" s="1"/>
  <c r="D194" i="13"/>
  <c r="I173" i="13"/>
  <c r="B202" i="13"/>
  <c r="E190" i="13"/>
  <c r="D190" i="13"/>
  <c r="I174" i="13"/>
  <c r="K161" i="19"/>
  <c r="K161" i="18"/>
  <c r="F184" i="13"/>
  <c r="C196" i="13"/>
  <c r="C195" i="13"/>
  <c r="F183" i="13"/>
  <c r="G183" i="13" s="1"/>
  <c r="H183" i="13" s="1"/>
  <c r="D183" i="13"/>
  <c r="I183" i="13" s="1"/>
  <c r="F192" i="13"/>
  <c r="G192" i="13" s="1"/>
  <c r="H192" i="13" s="1"/>
  <c r="C204" i="13"/>
  <c r="E213" i="13"/>
  <c r="B225" i="13"/>
  <c r="F188" i="13"/>
  <c r="C200" i="13"/>
  <c r="I177" i="13"/>
  <c r="C223" i="13"/>
  <c r="F223" i="13" s="1"/>
  <c r="F211" i="13"/>
  <c r="I183" i="18"/>
  <c r="D191" i="13"/>
  <c r="E191" i="13"/>
  <c r="G191" i="13" s="1"/>
  <c r="H191" i="13" s="1"/>
  <c r="B203" i="13"/>
  <c r="E184" i="13"/>
  <c r="B196" i="13"/>
  <c r="D184" i="13"/>
  <c r="G180" i="13"/>
  <c r="H180" i="13" s="1"/>
  <c r="K169" i="19"/>
  <c r="K169" i="18"/>
  <c r="E188" i="13"/>
  <c r="B200" i="13"/>
  <c r="D188" i="13"/>
  <c r="K162" i="19"/>
  <c r="K162" i="18"/>
  <c r="I179" i="19"/>
  <c r="F189" i="13"/>
  <c r="G189" i="13" s="1"/>
  <c r="H189" i="13" s="1"/>
  <c r="C201" i="13"/>
  <c r="D189" i="13"/>
  <c r="I172" i="13"/>
  <c r="D187" i="13"/>
  <c r="B199" i="13"/>
  <c r="E187" i="13"/>
  <c r="G187" i="13" s="1"/>
  <c r="H187" i="13" s="1"/>
  <c r="I178" i="19"/>
  <c r="B222" i="13"/>
  <c r="E210" i="13"/>
  <c r="D210" i="13"/>
  <c r="C215" i="13"/>
  <c r="F203" i="13"/>
  <c r="K167" i="18"/>
  <c r="K167" i="19"/>
  <c r="K166" i="19"/>
  <c r="K166" i="18"/>
  <c r="K165" i="18"/>
  <c r="K165" i="19"/>
  <c r="I181" i="13"/>
  <c r="C222" i="13"/>
  <c r="F222" i="13" s="1"/>
  <c r="F210" i="13"/>
  <c r="B219" i="13"/>
  <c r="E207" i="13"/>
  <c r="I182" i="13"/>
  <c r="I180" i="13"/>
  <c r="I171" i="13"/>
  <c r="I174" i="18"/>
  <c r="I175" i="13"/>
  <c r="F205" i="13"/>
  <c r="G205" i="13" s="1"/>
  <c r="H205" i="13" s="1"/>
  <c r="C217" i="13"/>
  <c r="I179" i="13"/>
  <c r="G208" i="19"/>
  <c r="H208" i="19" s="1"/>
  <c r="J208" i="19" s="1"/>
  <c r="B215" i="19"/>
  <c r="D203" i="19"/>
  <c r="E203" i="19"/>
  <c r="B198" i="19"/>
  <c r="E186" i="19"/>
  <c r="D186" i="19"/>
  <c r="G209" i="19"/>
  <c r="H209" i="19" s="1"/>
  <c r="J209" i="19" s="1"/>
  <c r="C202" i="19"/>
  <c r="F190" i="19"/>
  <c r="C198" i="19"/>
  <c r="F186" i="19"/>
  <c r="G186" i="19" s="1"/>
  <c r="H186" i="19" s="1"/>
  <c r="J186" i="19" s="1"/>
  <c r="I177" i="23"/>
  <c r="C229" i="19"/>
  <c r="F229" i="19" s="1"/>
  <c r="F217" i="19"/>
  <c r="B229" i="19"/>
  <c r="E217" i="19"/>
  <c r="D217" i="19"/>
  <c r="I228" i="19" s="1"/>
  <c r="E200" i="19"/>
  <c r="D200" i="19"/>
  <c r="B212" i="19"/>
  <c r="B202" i="19"/>
  <c r="E190" i="19"/>
  <c r="D190" i="19"/>
  <c r="E189" i="19"/>
  <c r="G189" i="19" s="1"/>
  <c r="H189" i="19" s="1"/>
  <c r="J189" i="19" s="1"/>
  <c r="D189" i="19"/>
  <c r="B201" i="19"/>
  <c r="E209" i="19"/>
  <c r="D209" i="19"/>
  <c r="B221" i="19"/>
  <c r="G174" i="19"/>
  <c r="H174" i="19" s="1"/>
  <c r="J174" i="19" s="1"/>
  <c r="G205" i="19"/>
  <c r="H205" i="19" s="1"/>
  <c r="J205" i="19" s="1"/>
  <c r="E207" i="19"/>
  <c r="D207" i="19"/>
  <c r="B219" i="19"/>
  <c r="C215" i="19"/>
  <c r="F203" i="19"/>
  <c r="G203" i="19" s="1"/>
  <c r="H203" i="19" s="1"/>
  <c r="J203" i="19" s="1"/>
  <c r="E208" i="19"/>
  <c r="D208" i="19"/>
  <c r="B220" i="19"/>
  <c r="C200" i="19"/>
  <c r="F188" i="19"/>
  <c r="G188" i="19" s="1"/>
  <c r="H188" i="19" s="1"/>
  <c r="J188" i="19" s="1"/>
  <c r="G195" i="19"/>
  <c r="H195" i="19" s="1"/>
  <c r="J195" i="19" s="1"/>
  <c r="F207" i="19"/>
  <c r="G207" i="19" s="1"/>
  <c r="H207" i="19" s="1"/>
  <c r="J207" i="19" s="1"/>
  <c r="C219" i="19"/>
  <c r="F219" i="19" s="1"/>
  <c r="G178" i="19"/>
  <c r="H178" i="19" s="1"/>
  <c r="J178" i="19" s="1"/>
  <c r="I174" i="19"/>
  <c r="I175" i="19"/>
  <c r="D211" i="19"/>
  <c r="E211" i="19"/>
  <c r="G211" i="19" s="1"/>
  <c r="H211" i="19" s="1"/>
  <c r="J211" i="19" s="1"/>
  <c r="B223" i="19"/>
  <c r="I181" i="19"/>
  <c r="I180" i="19"/>
  <c r="D182" i="19"/>
  <c r="E182" i="19"/>
  <c r="B194" i="19"/>
  <c r="E192" i="19"/>
  <c r="G192" i="19" s="1"/>
  <c r="H192" i="19" s="1"/>
  <c r="J192" i="19" s="1"/>
  <c r="D192" i="19"/>
  <c r="B204" i="19"/>
  <c r="F182" i="19"/>
  <c r="G182" i="19" s="1"/>
  <c r="H182" i="19" s="1"/>
  <c r="J182" i="19" s="1"/>
  <c r="C194" i="19"/>
  <c r="C218" i="18"/>
  <c r="F218" i="18" s="1"/>
  <c r="F206" i="18"/>
  <c r="E228" i="18"/>
  <c r="C216" i="18"/>
  <c r="F204" i="18"/>
  <c r="G204" i="18" s="1"/>
  <c r="H204" i="18" s="1"/>
  <c r="J204" i="18" s="1"/>
  <c r="D204" i="18"/>
  <c r="B208" i="18"/>
  <c r="E196" i="18"/>
  <c r="D196" i="18"/>
  <c r="E205" i="18"/>
  <c r="B217" i="18"/>
  <c r="D205" i="18"/>
  <c r="B197" i="18"/>
  <c r="E185" i="18"/>
  <c r="D185" i="18"/>
  <c r="I184" i="18"/>
  <c r="I178" i="18"/>
  <c r="C213" i="18"/>
  <c r="F201" i="18"/>
  <c r="G201" i="18" s="1"/>
  <c r="H201" i="18" s="1"/>
  <c r="J201" i="18" s="1"/>
  <c r="B207" i="18"/>
  <c r="E195" i="18"/>
  <c r="D195" i="18"/>
  <c r="I181" i="18"/>
  <c r="F215" i="18"/>
  <c r="G215" i="18" s="1"/>
  <c r="H215" i="18" s="1"/>
  <c r="J215" i="18" s="1"/>
  <c r="C227" i="18"/>
  <c r="F227" i="18" s="1"/>
  <c r="E190" i="18"/>
  <c r="D190" i="18"/>
  <c r="B202" i="18"/>
  <c r="B206" i="18"/>
  <c r="E194" i="18"/>
  <c r="G194" i="18" s="1"/>
  <c r="H194" i="18" s="1"/>
  <c r="J194" i="18" s="1"/>
  <c r="D194" i="18"/>
  <c r="G173" i="18"/>
  <c r="H173" i="18" s="1"/>
  <c r="J173" i="18" s="1"/>
  <c r="G183" i="18"/>
  <c r="H183" i="18" s="1"/>
  <c r="J183" i="18" s="1"/>
  <c r="C202" i="18"/>
  <c r="F190" i="18"/>
  <c r="G190" i="18" s="1"/>
  <c r="H190" i="18" s="1"/>
  <c r="J190" i="18" s="1"/>
  <c r="I173" i="18"/>
  <c r="I177" i="18"/>
  <c r="C220" i="18"/>
  <c r="F220" i="18" s="1"/>
  <c r="F208" i="18"/>
  <c r="F210" i="18"/>
  <c r="G210" i="18" s="1"/>
  <c r="H210" i="18" s="1"/>
  <c r="J210" i="18" s="1"/>
  <c r="C222" i="18"/>
  <c r="D210" i="18"/>
  <c r="C217" i="18"/>
  <c r="F205" i="18"/>
  <c r="G205" i="18" s="1"/>
  <c r="H205" i="18" s="1"/>
  <c r="J205" i="18" s="1"/>
  <c r="C197" i="18"/>
  <c r="F185" i="18"/>
  <c r="G185" i="18" s="1"/>
  <c r="H185" i="18" s="1"/>
  <c r="J185" i="18" s="1"/>
  <c r="C207" i="18"/>
  <c r="F195" i="18"/>
  <c r="G195" i="18" s="1"/>
  <c r="H195" i="18" s="1"/>
  <c r="J195" i="18" s="1"/>
  <c r="I182" i="18"/>
  <c r="C212" i="18"/>
  <c r="F200" i="18"/>
  <c r="F199" i="18"/>
  <c r="C211" i="18"/>
  <c r="E199" i="18"/>
  <c r="D199" i="18"/>
  <c r="B211" i="18"/>
  <c r="D201" i="18"/>
  <c r="B213" i="18"/>
  <c r="E201" i="18"/>
  <c r="G189" i="18"/>
  <c r="H189" i="18" s="1"/>
  <c r="J189" i="18" s="1"/>
  <c r="G196" i="18"/>
  <c r="H196" i="18" s="1"/>
  <c r="J196" i="18" s="1"/>
  <c r="G178" i="18"/>
  <c r="H178" i="18" s="1"/>
  <c r="J178" i="18" s="1"/>
  <c r="B227" i="18"/>
  <c r="E215" i="18"/>
  <c r="D215" i="18"/>
  <c r="I226" i="18" s="1"/>
  <c r="I175" i="18"/>
  <c r="B212" i="18"/>
  <c r="D200" i="18"/>
  <c r="E200" i="18"/>
  <c r="I180" i="18"/>
  <c r="E201" i="22"/>
  <c r="B213" i="22"/>
  <c r="F191" i="22"/>
  <c r="C203" i="22"/>
  <c r="F206" i="22"/>
  <c r="G206" i="22" s="1"/>
  <c r="H206" i="22" s="1"/>
  <c r="C218" i="22"/>
  <c r="F218" i="22" s="1"/>
  <c r="D200" i="22"/>
  <c r="B212" i="22"/>
  <c r="E200" i="22"/>
  <c r="F190" i="22"/>
  <c r="G190" i="22" s="1"/>
  <c r="H190" i="22" s="1"/>
  <c r="C202" i="22"/>
  <c r="B202" i="22"/>
  <c r="E190" i="22"/>
  <c r="D190" i="22"/>
  <c r="F189" i="22"/>
  <c r="G189" i="22" s="1"/>
  <c r="H189" i="22" s="1"/>
  <c r="C201" i="22"/>
  <c r="D201" i="22" s="1"/>
  <c r="D196" i="22"/>
  <c r="B208" i="22"/>
  <c r="E196" i="22"/>
  <c r="E205" i="22"/>
  <c r="G205" i="22" s="1"/>
  <c r="H205" i="22" s="1"/>
  <c r="D205" i="22"/>
  <c r="B217" i="22"/>
  <c r="E222" i="22"/>
  <c r="I183" i="22"/>
  <c r="F197" i="22"/>
  <c r="G197" i="22" s="1"/>
  <c r="H197" i="22" s="1"/>
  <c r="C209" i="22"/>
  <c r="E206" i="22"/>
  <c r="D206" i="22"/>
  <c r="B218" i="22"/>
  <c r="I186" i="22"/>
  <c r="F200" i="22"/>
  <c r="C212" i="22"/>
  <c r="I178" i="22"/>
  <c r="F196" i="22"/>
  <c r="C208" i="22"/>
  <c r="I184" i="22"/>
  <c r="E197" i="22"/>
  <c r="D197" i="22"/>
  <c r="B209" i="22"/>
  <c r="E187" i="22"/>
  <c r="D187" i="22"/>
  <c r="I188" i="22" s="1"/>
  <c r="B199" i="22"/>
  <c r="G188" i="22"/>
  <c r="H188" i="22" s="1"/>
  <c r="F199" i="22"/>
  <c r="C211" i="22"/>
  <c r="G187" i="22"/>
  <c r="H187" i="22" s="1"/>
  <c r="B203" i="22"/>
  <c r="E191" i="22"/>
  <c r="D191" i="22"/>
  <c r="G184" i="22"/>
  <c r="H184" i="22" s="1"/>
  <c r="I185" i="22"/>
  <c r="I181" i="22"/>
  <c r="F204" i="22"/>
  <c r="C216" i="22"/>
  <c r="B207" i="22"/>
  <c r="E195" i="22"/>
  <c r="G195" i="22" s="1"/>
  <c r="H195" i="22" s="1"/>
  <c r="D195" i="22"/>
  <c r="D204" i="22"/>
  <c r="B216" i="22"/>
  <c r="E204" i="22"/>
  <c r="F198" i="22"/>
  <c r="G198" i="22" s="1"/>
  <c r="H198" i="22" s="1"/>
  <c r="C210" i="22"/>
  <c r="D198" i="22"/>
  <c r="I180" i="22"/>
  <c r="C208" i="23"/>
  <c r="F196" i="23"/>
  <c r="E214" i="23"/>
  <c r="D214" i="23"/>
  <c r="I225" i="23" s="1"/>
  <c r="B226" i="23"/>
  <c r="E184" i="23"/>
  <c r="D184" i="23"/>
  <c r="B196" i="23"/>
  <c r="D209" i="23"/>
  <c r="E209" i="23"/>
  <c r="B221" i="23"/>
  <c r="I178" i="23"/>
  <c r="E205" i="23"/>
  <c r="D205" i="23"/>
  <c r="B217" i="23"/>
  <c r="C212" i="23"/>
  <c r="F200" i="23"/>
  <c r="G200" i="23" s="1"/>
  <c r="H200" i="23" s="1"/>
  <c r="D200" i="23"/>
  <c r="F205" i="23"/>
  <c r="G205" i="23" s="1"/>
  <c r="H205" i="23" s="1"/>
  <c r="C217" i="23"/>
  <c r="G184" i="23"/>
  <c r="H184" i="23" s="1"/>
  <c r="E203" i="23"/>
  <c r="D203" i="23"/>
  <c r="B215" i="23"/>
  <c r="F194" i="23"/>
  <c r="G194" i="23" s="1"/>
  <c r="H194" i="23" s="1"/>
  <c r="C206" i="23"/>
  <c r="I176" i="23"/>
  <c r="C211" i="23"/>
  <c r="F199" i="23"/>
  <c r="G199" i="23" s="1"/>
  <c r="H199" i="23" s="1"/>
  <c r="D199" i="23"/>
  <c r="G214" i="23"/>
  <c r="H214" i="23" s="1"/>
  <c r="E224" i="23"/>
  <c r="E201" i="23"/>
  <c r="D201" i="23"/>
  <c r="B213" i="23"/>
  <c r="E192" i="23"/>
  <c r="G192" i="23" s="1"/>
  <c r="H192" i="23" s="1"/>
  <c r="D192" i="23"/>
  <c r="B204" i="23"/>
  <c r="E186" i="23"/>
  <c r="G186" i="23" s="1"/>
  <c r="H186" i="23" s="1"/>
  <c r="D186" i="23"/>
  <c r="B198" i="23"/>
  <c r="E223" i="23"/>
  <c r="G193" i="23"/>
  <c r="H193" i="23" s="1"/>
  <c r="I172" i="23"/>
  <c r="I179" i="23"/>
  <c r="I173" i="23"/>
  <c r="G191" i="23"/>
  <c r="H191" i="23" s="1"/>
  <c r="F203" i="23"/>
  <c r="C215" i="23"/>
  <c r="F213" i="23"/>
  <c r="C225" i="23"/>
  <c r="F225" i="23" s="1"/>
  <c r="E206" i="23"/>
  <c r="D206" i="23"/>
  <c r="B218" i="23"/>
  <c r="G201" i="23"/>
  <c r="H201" i="23" s="1"/>
  <c r="E207" i="23"/>
  <c r="B219" i="23"/>
  <c r="D194" i="23"/>
  <c r="C228" i="23"/>
  <c r="F228" i="23" s="1"/>
  <c r="F216" i="23"/>
  <c r="I182" i="23"/>
  <c r="I180" i="23"/>
  <c r="I174" i="23"/>
  <c r="I181" i="23"/>
  <c r="I175" i="23"/>
  <c r="C195" i="23"/>
  <c r="F183" i="23"/>
  <c r="G183" i="23" s="1"/>
  <c r="H183" i="23" s="1"/>
  <c r="D183" i="23"/>
  <c r="I183" i="23" s="1"/>
  <c r="F209" i="23"/>
  <c r="G209" i="23" s="1"/>
  <c r="H209" i="23" s="1"/>
  <c r="C221" i="23"/>
  <c r="F221" i="23" s="1"/>
  <c r="G197" i="23"/>
  <c r="H197" i="23" s="1"/>
  <c r="I184" i="20" l="1"/>
  <c r="I183" i="15"/>
  <c r="I193" i="8"/>
  <c r="I190" i="8"/>
  <c r="I187" i="8"/>
  <c r="I191" i="20"/>
  <c r="I193" i="3"/>
  <c r="I192" i="3"/>
  <c r="G203" i="20"/>
  <c r="H203" i="20" s="1"/>
  <c r="F197" i="20"/>
  <c r="G197" i="20" s="1"/>
  <c r="H197" i="20" s="1"/>
  <c r="C209" i="20"/>
  <c r="E206" i="20"/>
  <c r="G206" i="20" s="1"/>
  <c r="H206" i="20" s="1"/>
  <c r="D206" i="20"/>
  <c r="B218" i="20"/>
  <c r="F201" i="20"/>
  <c r="G201" i="20" s="1"/>
  <c r="H201" i="20" s="1"/>
  <c r="C213" i="20"/>
  <c r="G189" i="20"/>
  <c r="H189" i="20" s="1"/>
  <c r="B226" i="20"/>
  <c r="E214" i="20"/>
  <c r="D214" i="20"/>
  <c r="E203" i="20"/>
  <c r="D203" i="20"/>
  <c r="B215" i="20"/>
  <c r="I186" i="20"/>
  <c r="I187" i="20"/>
  <c r="E199" i="20"/>
  <c r="D199" i="20"/>
  <c r="B211" i="20"/>
  <c r="I192" i="20"/>
  <c r="E204" i="20"/>
  <c r="D204" i="20"/>
  <c r="B216" i="20"/>
  <c r="C219" i="20"/>
  <c r="F219" i="20" s="1"/>
  <c r="F207" i="20"/>
  <c r="I183" i="20"/>
  <c r="C226" i="20"/>
  <c r="F226" i="20" s="1"/>
  <c r="F214" i="20"/>
  <c r="G214" i="20" s="1"/>
  <c r="H214" i="20" s="1"/>
  <c r="B222" i="20"/>
  <c r="D210" i="20"/>
  <c r="E210" i="20"/>
  <c r="I193" i="20"/>
  <c r="G202" i="20"/>
  <c r="H202" i="20" s="1"/>
  <c r="E195" i="20"/>
  <c r="G195" i="20" s="1"/>
  <c r="H195" i="20" s="1"/>
  <c r="B207" i="20"/>
  <c r="D195" i="20"/>
  <c r="I195" i="20" s="1"/>
  <c r="F205" i="20"/>
  <c r="G205" i="20" s="1"/>
  <c r="H205" i="20" s="1"/>
  <c r="C217" i="20"/>
  <c r="I185" i="20"/>
  <c r="E196" i="20"/>
  <c r="D196" i="20"/>
  <c r="B208" i="20"/>
  <c r="E200" i="20"/>
  <c r="D200" i="20"/>
  <c r="B212" i="20"/>
  <c r="C223" i="20"/>
  <c r="F223" i="20" s="1"/>
  <c r="F211" i="20"/>
  <c r="I189" i="20"/>
  <c r="I194" i="20"/>
  <c r="I190" i="20"/>
  <c r="G199" i="20"/>
  <c r="H199" i="20" s="1"/>
  <c r="F200" i="20"/>
  <c r="G200" i="20" s="1"/>
  <c r="H200" i="20" s="1"/>
  <c r="C212" i="20"/>
  <c r="E197" i="20"/>
  <c r="D197" i="20"/>
  <c r="B209" i="20"/>
  <c r="G188" i="20"/>
  <c r="H188" i="20" s="1"/>
  <c r="I188" i="20"/>
  <c r="F196" i="20"/>
  <c r="G196" i="20" s="1"/>
  <c r="H196" i="20" s="1"/>
  <c r="C208" i="20"/>
  <c r="F204" i="20"/>
  <c r="C216" i="20"/>
  <c r="E205" i="20"/>
  <c r="D205" i="20"/>
  <c r="B217" i="20"/>
  <c r="G184" i="20"/>
  <c r="H184" i="20" s="1"/>
  <c r="G192" i="20"/>
  <c r="H192" i="20" s="1"/>
  <c r="C227" i="20"/>
  <c r="F227" i="20" s="1"/>
  <c r="F215" i="20"/>
  <c r="E201" i="20"/>
  <c r="D201" i="20"/>
  <c r="B213" i="20"/>
  <c r="F210" i="20"/>
  <c r="C222" i="20"/>
  <c r="F222" i="20" s="1"/>
  <c r="I197" i="12"/>
  <c r="E204" i="12"/>
  <c r="G204" i="12" s="1"/>
  <c r="H204" i="12" s="1"/>
  <c r="D204" i="12"/>
  <c r="I205" i="12" s="1"/>
  <c r="B216" i="12"/>
  <c r="I186" i="12"/>
  <c r="I187" i="12"/>
  <c r="E223" i="12"/>
  <c r="G223" i="12" s="1"/>
  <c r="H223" i="12" s="1"/>
  <c r="D223" i="12"/>
  <c r="F208" i="12"/>
  <c r="C220" i="12"/>
  <c r="F220" i="12" s="1"/>
  <c r="G196" i="12"/>
  <c r="H196" i="12" s="1"/>
  <c r="F205" i="12"/>
  <c r="C217" i="12"/>
  <c r="C214" i="12"/>
  <c r="F202" i="12"/>
  <c r="G202" i="12" s="1"/>
  <c r="H202" i="12" s="1"/>
  <c r="E207" i="12"/>
  <c r="D207" i="12"/>
  <c r="B219" i="12"/>
  <c r="F216" i="12"/>
  <c r="C228" i="12"/>
  <c r="F228" i="12" s="1"/>
  <c r="I189" i="12"/>
  <c r="I193" i="12"/>
  <c r="E210" i="12"/>
  <c r="D210" i="12"/>
  <c r="B222" i="12"/>
  <c r="F212" i="12"/>
  <c r="C224" i="12"/>
  <c r="F224" i="12" s="1"/>
  <c r="I190" i="12"/>
  <c r="E200" i="12"/>
  <c r="G200" i="12" s="1"/>
  <c r="H200" i="12" s="1"/>
  <c r="D200" i="12"/>
  <c r="B212" i="12"/>
  <c r="I194" i="12"/>
  <c r="I188" i="12"/>
  <c r="I192" i="12"/>
  <c r="F201" i="12"/>
  <c r="C213" i="12"/>
  <c r="G206" i="12"/>
  <c r="H206" i="12" s="1"/>
  <c r="E201" i="12"/>
  <c r="D201" i="12"/>
  <c r="B213" i="12"/>
  <c r="E197" i="12"/>
  <c r="D197" i="12"/>
  <c r="B209" i="12"/>
  <c r="I196" i="12"/>
  <c r="I191" i="12"/>
  <c r="I199" i="12"/>
  <c r="I198" i="12"/>
  <c r="G190" i="12"/>
  <c r="H190" i="12" s="1"/>
  <c r="G218" i="12"/>
  <c r="H218" i="12" s="1"/>
  <c r="E205" i="12"/>
  <c r="D205" i="12"/>
  <c r="B217" i="12"/>
  <c r="I200" i="12"/>
  <c r="F210" i="12"/>
  <c r="G210" i="12" s="1"/>
  <c r="H210" i="12" s="1"/>
  <c r="C222" i="12"/>
  <c r="F222" i="12" s="1"/>
  <c r="F197" i="12"/>
  <c r="G197" i="12" s="1"/>
  <c r="H197" i="12" s="1"/>
  <c r="C209" i="12"/>
  <c r="G198" i="12"/>
  <c r="H198" i="12" s="1"/>
  <c r="E227" i="12"/>
  <c r="D227" i="12"/>
  <c r="G185" i="12"/>
  <c r="H185" i="12" s="1"/>
  <c r="E196" i="12"/>
  <c r="D196" i="12"/>
  <c r="I201" i="12" s="1"/>
  <c r="B208" i="12"/>
  <c r="E218" i="12"/>
  <c r="D218" i="12"/>
  <c r="I229" i="12" s="1"/>
  <c r="I184" i="12"/>
  <c r="E202" i="12"/>
  <c r="B214" i="12"/>
  <c r="D202" i="12"/>
  <c r="I185" i="12"/>
  <c r="F207" i="12"/>
  <c r="C219" i="12"/>
  <c r="F219" i="12" s="1"/>
  <c r="C227" i="12"/>
  <c r="F227" i="12" s="1"/>
  <c r="F215" i="12"/>
  <c r="G215" i="12" s="1"/>
  <c r="H215" i="12" s="1"/>
  <c r="I198" i="11"/>
  <c r="C215" i="11"/>
  <c r="F203" i="11"/>
  <c r="G203" i="11" s="1"/>
  <c r="H203" i="11" s="1"/>
  <c r="D206" i="11"/>
  <c r="E206" i="11"/>
  <c r="B218" i="11"/>
  <c r="I183" i="11"/>
  <c r="E215" i="11"/>
  <c r="D215" i="11"/>
  <c r="B227" i="11"/>
  <c r="E213" i="11"/>
  <c r="B225" i="11"/>
  <c r="I205" i="11"/>
  <c r="F216" i="11"/>
  <c r="C228" i="11"/>
  <c r="F228" i="11" s="1"/>
  <c r="G195" i="11"/>
  <c r="H195" i="11" s="1"/>
  <c r="I186" i="11"/>
  <c r="E212" i="11"/>
  <c r="D212" i="11"/>
  <c r="B224" i="11"/>
  <c r="F201" i="11"/>
  <c r="G201" i="11" s="1"/>
  <c r="H201" i="11" s="1"/>
  <c r="C213" i="11"/>
  <c r="C219" i="11"/>
  <c r="F219" i="11" s="1"/>
  <c r="F207" i="11"/>
  <c r="E210" i="11"/>
  <c r="D210" i="11"/>
  <c r="B222" i="11"/>
  <c r="I188" i="11"/>
  <c r="F208" i="11"/>
  <c r="C220" i="11"/>
  <c r="F220" i="11" s="1"/>
  <c r="F210" i="11"/>
  <c r="C222" i="11"/>
  <c r="F222" i="11" s="1"/>
  <c r="E208" i="11"/>
  <c r="D208" i="11"/>
  <c r="B220" i="11"/>
  <c r="G196" i="11"/>
  <c r="H196" i="11" s="1"/>
  <c r="I187" i="11"/>
  <c r="F206" i="11"/>
  <c r="C218" i="11"/>
  <c r="F218" i="11" s="1"/>
  <c r="G194" i="11"/>
  <c r="H194" i="11" s="1"/>
  <c r="E209" i="11"/>
  <c r="D209" i="11"/>
  <c r="B221" i="11"/>
  <c r="I194" i="11"/>
  <c r="I191" i="11"/>
  <c r="I185" i="11"/>
  <c r="I192" i="11"/>
  <c r="I203" i="11"/>
  <c r="E216" i="11"/>
  <c r="D216" i="11"/>
  <c r="I227" i="11" s="1"/>
  <c r="B228" i="11"/>
  <c r="G200" i="11"/>
  <c r="H200" i="11" s="1"/>
  <c r="F205" i="11"/>
  <c r="G205" i="11" s="1"/>
  <c r="H205" i="11" s="1"/>
  <c r="C217" i="11"/>
  <c r="F197" i="11"/>
  <c r="G197" i="11" s="1"/>
  <c r="H197" i="11" s="1"/>
  <c r="C209" i="11"/>
  <c r="I196" i="11"/>
  <c r="I197" i="11"/>
  <c r="E217" i="11"/>
  <c r="D217" i="11"/>
  <c r="I228" i="11" s="1"/>
  <c r="B229" i="11"/>
  <c r="E211" i="11"/>
  <c r="G211" i="11" s="1"/>
  <c r="H211" i="11" s="1"/>
  <c r="D211" i="11"/>
  <c r="B223" i="11"/>
  <c r="E195" i="11"/>
  <c r="D195" i="11"/>
  <c r="B207" i="11"/>
  <c r="F212" i="11"/>
  <c r="C224" i="11"/>
  <c r="F224" i="11" s="1"/>
  <c r="I184" i="11"/>
  <c r="I189" i="11"/>
  <c r="I190" i="11"/>
  <c r="F205" i="10"/>
  <c r="C217" i="10"/>
  <c r="C210" i="10"/>
  <c r="F198" i="10"/>
  <c r="G198" i="10" s="1"/>
  <c r="H198" i="10" s="1"/>
  <c r="D198" i="10"/>
  <c r="E201" i="10"/>
  <c r="D201" i="10"/>
  <c r="B213" i="10"/>
  <c r="G203" i="10"/>
  <c r="H203" i="10" s="1"/>
  <c r="C227" i="10"/>
  <c r="F227" i="10" s="1"/>
  <c r="F215" i="10"/>
  <c r="G215" i="10" s="1"/>
  <c r="H215" i="10" s="1"/>
  <c r="E222" i="10"/>
  <c r="F201" i="10"/>
  <c r="G201" i="10" s="1"/>
  <c r="H201" i="10" s="1"/>
  <c r="C213" i="10"/>
  <c r="C219" i="10"/>
  <c r="F219" i="10" s="1"/>
  <c r="F207" i="10"/>
  <c r="F197" i="10"/>
  <c r="G197" i="10" s="1"/>
  <c r="H197" i="10" s="1"/>
  <c r="C209" i="10"/>
  <c r="I191" i="10"/>
  <c r="I192" i="10"/>
  <c r="E199" i="10"/>
  <c r="D199" i="10"/>
  <c r="B211" i="10"/>
  <c r="I197" i="10"/>
  <c r="C218" i="10"/>
  <c r="F218" i="10" s="1"/>
  <c r="F206" i="10"/>
  <c r="I193" i="10"/>
  <c r="I194" i="10"/>
  <c r="I196" i="10"/>
  <c r="I195" i="10"/>
  <c r="E205" i="10"/>
  <c r="B217" i="10"/>
  <c r="D205" i="10"/>
  <c r="F199" i="10"/>
  <c r="G199" i="10" s="1"/>
  <c r="H199" i="10" s="1"/>
  <c r="C211" i="10"/>
  <c r="B218" i="10"/>
  <c r="E206" i="10"/>
  <c r="D206" i="10"/>
  <c r="B207" i="10"/>
  <c r="D195" i="10"/>
  <c r="I200" i="10" s="1"/>
  <c r="E195" i="10"/>
  <c r="G195" i="10" s="1"/>
  <c r="H195" i="10" s="1"/>
  <c r="E197" i="10"/>
  <c r="D197" i="10"/>
  <c r="I198" i="10" s="1"/>
  <c r="B209" i="10"/>
  <c r="B227" i="10"/>
  <c r="E215" i="10"/>
  <c r="D215" i="10"/>
  <c r="I226" i="10" s="1"/>
  <c r="F212" i="8"/>
  <c r="C224" i="8"/>
  <c r="F224" i="8" s="1"/>
  <c r="F213" i="8"/>
  <c r="C225" i="8"/>
  <c r="F225" i="8" s="1"/>
  <c r="G201" i="8"/>
  <c r="H201" i="8" s="1"/>
  <c r="F206" i="8"/>
  <c r="C218" i="8"/>
  <c r="F218" i="8" s="1"/>
  <c r="E206" i="8"/>
  <c r="D206" i="8"/>
  <c r="B218" i="8"/>
  <c r="G194" i="8"/>
  <c r="H194" i="8" s="1"/>
  <c r="F210" i="8"/>
  <c r="G210" i="8" s="1"/>
  <c r="H210" i="8" s="1"/>
  <c r="C222" i="8"/>
  <c r="F222" i="8" s="1"/>
  <c r="G198" i="8"/>
  <c r="H198" i="8" s="1"/>
  <c r="E201" i="8"/>
  <c r="D201" i="8"/>
  <c r="B213" i="8"/>
  <c r="G205" i="8"/>
  <c r="H205" i="8" s="1"/>
  <c r="F217" i="8"/>
  <c r="C229" i="8"/>
  <c r="F229" i="8" s="1"/>
  <c r="E197" i="8"/>
  <c r="D197" i="8"/>
  <c r="B209" i="8"/>
  <c r="E200" i="8"/>
  <c r="G200" i="8" s="1"/>
  <c r="H200" i="8" s="1"/>
  <c r="D200" i="8"/>
  <c r="B212" i="8"/>
  <c r="E204" i="8"/>
  <c r="D204" i="8"/>
  <c r="B216" i="8"/>
  <c r="C226" i="8"/>
  <c r="F214" i="8"/>
  <c r="G214" i="8" s="1"/>
  <c r="H214" i="8" s="1"/>
  <c r="D214" i="8"/>
  <c r="I192" i="8"/>
  <c r="F204" i="8"/>
  <c r="C216" i="8"/>
  <c r="E205" i="8"/>
  <c r="D205" i="8"/>
  <c r="B217" i="8"/>
  <c r="I186" i="15"/>
  <c r="F196" i="8"/>
  <c r="C208" i="8"/>
  <c r="I184" i="15"/>
  <c r="I191" i="8"/>
  <c r="G184" i="8"/>
  <c r="H184" i="8" s="1"/>
  <c r="F209" i="8"/>
  <c r="C221" i="8"/>
  <c r="F221" i="8" s="1"/>
  <c r="E211" i="8"/>
  <c r="G211" i="8" s="1"/>
  <c r="H211" i="8" s="1"/>
  <c r="D211" i="8"/>
  <c r="B223" i="8"/>
  <c r="G197" i="8"/>
  <c r="H197" i="8" s="1"/>
  <c r="E195" i="8"/>
  <c r="G195" i="8" s="1"/>
  <c r="H195" i="8" s="1"/>
  <c r="D195" i="8"/>
  <c r="B207" i="8"/>
  <c r="I186" i="16"/>
  <c r="L186" i="19" s="1"/>
  <c r="E196" i="8"/>
  <c r="D196" i="8"/>
  <c r="B208" i="8"/>
  <c r="I194" i="8"/>
  <c r="I186" i="8"/>
  <c r="I189" i="8"/>
  <c r="D210" i="8"/>
  <c r="E210" i="8"/>
  <c r="B222" i="8"/>
  <c r="F201" i="9"/>
  <c r="C213" i="9"/>
  <c r="B226" i="9"/>
  <c r="E214" i="9"/>
  <c r="D214" i="9"/>
  <c r="I182" i="16"/>
  <c r="L182" i="18" s="1"/>
  <c r="I186" i="9"/>
  <c r="C222" i="9"/>
  <c r="F222" i="9" s="1"/>
  <c r="F210" i="9"/>
  <c r="E205" i="9"/>
  <c r="D205" i="9"/>
  <c r="B217" i="9"/>
  <c r="I191" i="9"/>
  <c r="F197" i="9"/>
  <c r="C209" i="9"/>
  <c r="E197" i="9"/>
  <c r="D197" i="9"/>
  <c r="B209" i="9"/>
  <c r="G185" i="9"/>
  <c r="H185" i="9" s="1"/>
  <c r="E195" i="9"/>
  <c r="D195" i="9"/>
  <c r="B207" i="9"/>
  <c r="G193" i="9"/>
  <c r="H193" i="9" s="1"/>
  <c r="I185" i="16"/>
  <c r="L185" i="19" s="1"/>
  <c r="E204" i="9"/>
  <c r="G204" i="9" s="1"/>
  <c r="H204" i="9" s="1"/>
  <c r="D204" i="9"/>
  <c r="B216" i="9"/>
  <c r="I203" i="9"/>
  <c r="E199" i="9"/>
  <c r="D199" i="9"/>
  <c r="B211" i="9"/>
  <c r="C206" i="9"/>
  <c r="F194" i="9"/>
  <c r="B222" i="9"/>
  <c r="D210" i="9"/>
  <c r="E210" i="9"/>
  <c r="F205" i="9"/>
  <c r="G205" i="9" s="1"/>
  <c r="H205" i="9" s="1"/>
  <c r="C217" i="9"/>
  <c r="B206" i="9"/>
  <c r="D194" i="9"/>
  <c r="E194" i="9"/>
  <c r="F216" i="9"/>
  <c r="C228" i="9"/>
  <c r="F228" i="9" s="1"/>
  <c r="E201" i="9"/>
  <c r="D201" i="9"/>
  <c r="B213" i="9"/>
  <c r="F207" i="9"/>
  <c r="C219" i="9"/>
  <c r="F219" i="9" s="1"/>
  <c r="C226" i="9"/>
  <c r="F226" i="9" s="1"/>
  <c r="F214" i="9"/>
  <c r="G214" i="9" s="1"/>
  <c r="H214" i="9" s="1"/>
  <c r="G195" i="9"/>
  <c r="H195" i="9" s="1"/>
  <c r="I193" i="9"/>
  <c r="G202" i="9"/>
  <c r="H202" i="9" s="1"/>
  <c r="E200" i="9"/>
  <c r="G200" i="9" s="1"/>
  <c r="H200" i="9" s="1"/>
  <c r="D200" i="9"/>
  <c r="B212" i="9"/>
  <c r="F215" i="9"/>
  <c r="C227" i="9"/>
  <c r="F227" i="9" s="1"/>
  <c r="E196" i="9"/>
  <c r="D196" i="9"/>
  <c r="B208" i="9"/>
  <c r="G203" i="9"/>
  <c r="H203" i="9" s="1"/>
  <c r="F208" i="9"/>
  <c r="C220" i="9"/>
  <c r="F220" i="9" s="1"/>
  <c r="E203" i="9"/>
  <c r="D203" i="9"/>
  <c r="B215" i="9"/>
  <c r="G196" i="9"/>
  <c r="H196" i="9" s="1"/>
  <c r="F211" i="9"/>
  <c r="C223" i="9"/>
  <c r="F223" i="9" s="1"/>
  <c r="F212" i="9"/>
  <c r="C224" i="9"/>
  <c r="F224" i="9" s="1"/>
  <c r="G199" i="9"/>
  <c r="H199" i="9" s="1"/>
  <c r="I188" i="9"/>
  <c r="L170" i="19"/>
  <c r="L170" i="18"/>
  <c r="L178" i="19"/>
  <c r="L178" i="18"/>
  <c r="F201" i="16"/>
  <c r="C213" i="16"/>
  <c r="E201" i="16"/>
  <c r="D201" i="16"/>
  <c r="B213" i="16"/>
  <c r="L226" i="19"/>
  <c r="L226" i="18"/>
  <c r="F212" i="16"/>
  <c r="C224" i="16"/>
  <c r="F224" i="16" s="1"/>
  <c r="I192" i="16"/>
  <c r="C226" i="16"/>
  <c r="F226" i="16" s="1"/>
  <c r="F214" i="16"/>
  <c r="G214" i="16" s="1"/>
  <c r="H214" i="16" s="1"/>
  <c r="E199" i="16"/>
  <c r="B211" i="16"/>
  <c r="D199" i="16"/>
  <c r="L179" i="18"/>
  <c r="L179" i="19"/>
  <c r="F197" i="16"/>
  <c r="G197" i="16" s="1"/>
  <c r="H197" i="16" s="1"/>
  <c r="C209" i="16"/>
  <c r="I190" i="16"/>
  <c r="G189" i="16"/>
  <c r="H189" i="16" s="1"/>
  <c r="L174" i="18"/>
  <c r="L174" i="19"/>
  <c r="L171" i="19"/>
  <c r="L171" i="18"/>
  <c r="D214" i="16"/>
  <c r="I225" i="16" s="1"/>
  <c r="B226" i="16"/>
  <c r="E214" i="16"/>
  <c r="E197" i="16"/>
  <c r="D197" i="16"/>
  <c r="B209" i="16"/>
  <c r="E227" i="16"/>
  <c r="G227" i="16" s="1"/>
  <c r="H227" i="16" s="1"/>
  <c r="D227" i="16"/>
  <c r="I183" i="16"/>
  <c r="B220" i="16"/>
  <c r="E208" i="16"/>
  <c r="D208" i="16"/>
  <c r="L180" i="19"/>
  <c r="L180" i="18"/>
  <c r="L172" i="19"/>
  <c r="L172" i="18"/>
  <c r="C220" i="16"/>
  <c r="F220" i="16" s="1"/>
  <c r="F208" i="16"/>
  <c r="G208" i="16" s="1"/>
  <c r="H208" i="16" s="1"/>
  <c r="G196" i="16"/>
  <c r="H196" i="16" s="1"/>
  <c r="G194" i="16"/>
  <c r="H194" i="16" s="1"/>
  <c r="G187" i="16"/>
  <c r="H187" i="16" s="1"/>
  <c r="I184" i="16"/>
  <c r="L181" i="19"/>
  <c r="L181" i="18"/>
  <c r="C211" i="16"/>
  <c r="F199" i="16"/>
  <c r="F206" i="16"/>
  <c r="C218" i="16"/>
  <c r="F218" i="16" s="1"/>
  <c r="G183" i="16"/>
  <c r="H183" i="16" s="1"/>
  <c r="B206" i="16"/>
  <c r="E194" i="16"/>
  <c r="D194" i="16"/>
  <c r="I194" i="16" s="1"/>
  <c r="L175" i="19"/>
  <c r="L175" i="18"/>
  <c r="I191" i="16"/>
  <c r="L176" i="19"/>
  <c r="L176" i="18"/>
  <c r="E195" i="16"/>
  <c r="B207" i="16"/>
  <c r="D195" i="16"/>
  <c r="L173" i="19"/>
  <c r="L173" i="18"/>
  <c r="D212" i="16"/>
  <c r="E212" i="16"/>
  <c r="B224" i="16"/>
  <c r="E205" i="16"/>
  <c r="D205" i="16"/>
  <c r="B217" i="16"/>
  <c r="L177" i="19"/>
  <c r="L177" i="18"/>
  <c r="F205" i="16"/>
  <c r="C217" i="16"/>
  <c r="G193" i="16"/>
  <c r="H193" i="16" s="1"/>
  <c r="G215" i="16"/>
  <c r="H215" i="16" s="1"/>
  <c r="F195" i="16"/>
  <c r="C207" i="16"/>
  <c r="I193" i="16"/>
  <c r="I187" i="16"/>
  <c r="I188" i="16"/>
  <c r="I189" i="16"/>
  <c r="F197" i="15"/>
  <c r="C209" i="15"/>
  <c r="I193" i="15"/>
  <c r="I190" i="15"/>
  <c r="I189" i="15"/>
  <c r="I192" i="15"/>
  <c r="I191" i="15"/>
  <c r="F216" i="15"/>
  <c r="C228" i="15"/>
  <c r="F228" i="15" s="1"/>
  <c r="G204" i="15"/>
  <c r="H204" i="15" s="1"/>
  <c r="F205" i="15"/>
  <c r="G205" i="15" s="1"/>
  <c r="H205" i="15" s="1"/>
  <c r="C217" i="15"/>
  <c r="B206" i="15"/>
  <c r="E194" i="15"/>
  <c r="D194" i="15"/>
  <c r="I194" i="15" s="1"/>
  <c r="E211" i="15"/>
  <c r="D211" i="15"/>
  <c r="B223" i="15"/>
  <c r="B227" i="15"/>
  <c r="E215" i="15"/>
  <c r="D215" i="15"/>
  <c r="E217" i="15"/>
  <c r="D217" i="15"/>
  <c r="B229" i="15"/>
  <c r="F201" i="15"/>
  <c r="G201" i="15" s="1"/>
  <c r="H201" i="15" s="1"/>
  <c r="C213" i="15"/>
  <c r="D201" i="15"/>
  <c r="D205" i="15"/>
  <c r="F194" i="15"/>
  <c r="C206" i="15"/>
  <c r="B219" i="15"/>
  <c r="E207" i="15"/>
  <c r="B220" i="15"/>
  <c r="E208" i="15"/>
  <c r="G208" i="15" s="1"/>
  <c r="H208" i="15" s="1"/>
  <c r="D208" i="15"/>
  <c r="I185" i="15"/>
  <c r="I182" i="15"/>
  <c r="F215" i="15"/>
  <c r="C227" i="15"/>
  <c r="F227" i="15" s="1"/>
  <c r="G186" i="15"/>
  <c r="H186" i="15" s="1"/>
  <c r="B228" i="15"/>
  <c r="E216" i="15"/>
  <c r="D216" i="15"/>
  <c r="I188" i="15"/>
  <c r="F195" i="15"/>
  <c r="G195" i="15" s="1"/>
  <c r="H195" i="15" s="1"/>
  <c r="C207" i="15"/>
  <c r="E197" i="15"/>
  <c r="D197" i="15"/>
  <c r="B209" i="15"/>
  <c r="I187" i="15"/>
  <c r="B224" i="15"/>
  <c r="E212" i="15"/>
  <c r="F198" i="15"/>
  <c r="G198" i="15" s="1"/>
  <c r="H198" i="15" s="1"/>
  <c r="C210" i="15"/>
  <c r="E225" i="15"/>
  <c r="F211" i="15"/>
  <c r="C223" i="15"/>
  <c r="F223" i="15" s="1"/>
  <c r="D198" i="15"/>
  <c r="B210" i="15"/>
  <c r="E198" i="15"/>
  <c r="F200" i="15"/>
  <c r="G200" i="15" s="1"/>
  <c r="H200" i="15" s="1"/>
  <c r="C212" i="15"/>
  <c r="I197" i="7"/>
  <c r="G196" i="7"/>
  <c r="H196" i="7" s="1"/>
  <c r="I193" i="7"/>
  <c r="C220" i="7"/>
  <c r="F220" i="7" s="1"/>
  <c r="F208" i="7"/>
  <c r="B223" i="7"/>
  <c r="D211" i="7"/>
  <c r="E211" i="7"/>
  <c r="I186" i="7"/>
  <c r="E205" i="7"/>
  <c r="D205" i="7"/>
  <c r="B217" i="7"/>
  <c r="F217" i="7"/>
  <c r="C229" i="7"/>
  <c r="F229" i="7" s="1"/>
  <c r="G199" i="7"/>
  <c r="H199" i="7" s="1"/>
  <c r="I186" i="19"/>
  <c r="C228" i="7"/>
  <c r="F228" i="7" s="1"/>
  <c r="F216" i="7"/>
  <c r="F211" i="7"/>
  <c r="G211" i="7" s="1"/>
  <c r="H211" i="7" s="1"/>
  <c r="C223" i="7"/>
  <c r="F223" i="7" s="1"/>
  <c r="F215" i="7"/>
  <c r="G215" i="7" s="1"/>
  <c r="H215" i="7" s="1"/>
  <c r="C227" i="7"/>
  <c r="D215" i="7"/>
  <c r="I226" i="7" s="1"/>
  <c r="E221" i="7"/>
  <c r="D221" i="7"/>
  <c r="E214" i="7"/>
  <c r="D214" i="7"/>
  <c r="I225" i="7" s="1"/>
  <c r="B226" i="7"/>
  <c r="G209" i="7"/>
  <c r="H209" i="7" s="1"/>
  <c r="D204" i="7"/>
  <c r="B216" i="7"/>
  <c r="E204" i="7"/>
  <c r="G204" i="7" s="1"/>
  <c r="H204" i="7" s="1"/>
  <c r="G202" i="7"/>
  <c r="H202" i="7" s="1"/>
  <c r="F214" i="7"/>
  <c r="C226" i="7"/>
  <c r="F226" i="7" s="1"/>
  <c r="E206" i="7"/>
  <c r="B218" i="7"/>
  <c r="D212" i="7"/>
  <c r="B224" i="7"/>
  <c r="E212" i="7"/>
  <c r="I195" i="7"/>
  <c r="E201" i="7"/>
  <c r="B213" i="7"/>
  <c r="D201" i="7"/>
  <c r="F207" i="7"/>
  <c r="G207" i="7" s="1"/>
  <c r="H207" i="7" s="1"/>
  <c r="C219" i="7"/>
  <c r="D207" i="7"/>
  <c r="G205" i="7"/>
  <c r="H205" i="7" s="1"/>
  <c r="I192" i="7"/>
  <c r="F194" i="7"/>
  <c r="G194" i="7" s="1"/>
  <c r="H194" i="7" s="1"/>
  <c r="C206" i="7"/>
  <c r="D196" i="7"/>
  <c r="I204" i="7" s="1"/>
  <c r="B208" i="7"/>
  <c r="E196" i="7"/>
  <c r="F212" i="7"/>
  <c r="G212" i="7" s="1"/>
  <c r="H212" i="7" s="1"/>
  <c r="C224" i="7"/>
  <c r="F224" i="7" s="1"/>
  <c r="I187" i="7"/>
  <c r="I189" i="7"/>
  <c r="G221" i="7"/>
  <c r="H221" i="7" s="1"/>
  <c r="F201" i="7"/>
  <c r="C213" i="7"/>
  <c r="I194" i="7"/>
  <c r="I188" i="7"/>
  <c r="F210" i="7"/>
  <c r="G210" i="7" s="1"/>
  <c r="H210" i="7" s="1"/>
  <c r="C222" i="7"/>
  <c r="D210" i="7"/>
  <c r="I190" i="7"/>
  <c r="I188" i="6"/>
  <c r="E200" i="6"/>
  <c r="D200" i="6"/>
  <c r="B212" i="6"/>
  <c r="F200" i="6"/>
  <c r="G200" i="6" s="1"/>
  <c r="H200" i="6" s="1"/>
  <c r="C212" i="6"/>
  <c r="F204" i="6"/>
  <c r="C216" i="6"/>
  <c r="E204" i="6"/>
  <c r="D204" i="6"/>
  <c r="B216" i="6"/>
  <c r="G192" i="6"/>
  <c r="H192" i="6" s="1"/>
  <c r="G188" i="6"/>
  <c r="H188" i="6" s="1"/>
  <c r="I193" i="6"/>
  <c r="E201" i="6"/>
  <c r="D201" i="6"/>
  <c r="B213" i="6"/>
  <c r="G222" i="6"/>
  <c r="H222" i="6" s="1"/>
  <c r="I191" i="6"/>
  <c r="F197" i="6"/>
  <c r="G197" i="6" s="1"/>
  <c r="H197" i="6" s="1"/>
  <c r="C209" i="6"/>
  <c r="E214" i="6"/>
  <c r="D214" i="6"/>
  <c r="I225" i="6" s="1"/>
  <c r="B226" i="6"/>
  <c r="I190" i="6"/>
  <c r="E205" i="6"/>
  <c r="D205" i="6"/>
  <c r="B217" i="6"/>
  <c r="I185" i="6"/>
  <c r="G184" i="6"/>
  <c r="H184" i="6" s="1"/>
  <c r="E199" i="6"/>
  <c r="G199" i="6" s="1"/>
  <c r="H199" i="6" s="1"/>
  <c r="D199" i="6"/>
  <c r="B211" i="6"/>
  <c r="I184" i="6"/>
  <c r="F196" i="6"/>
  <c r="G196" i="6" s="1"/>
  <c r="H196" i="6" s="1"/>
  <c r="C208" i="6"/>
  <c r="I186" i="6"/>
  <c r="E222" i="6"/>
  <c r="D222" i="6"/>
  <c r="F205" i="6"/>
  <c r="G205" i="6" s="1"/>
  <c r="H205" i="6" s="1"/>
  <c r="C217" i="6"/>
  <c r="E203" i="6"/>
  <c r="G203" i="6" s="1"/>
  <c r="H203" i="6" s="1"/>
  <c r="D203" i="6"/>
  <c r="B215" i="6"/>
  <c r="C218" i="6"/>
  <c r="F218" i="6" s="1"/>
  <c r="F206" i="6"/>
  <c r="G206" i="6" s="1"/>
  <c r="H206" i="6" s="1"/>
  <c r="G193" i="6"/>
  <c r="H193" i="6" s="1"/>
  <c r="I192" i="6"/>
  <c r="I191" i="18"/>
  <c r="E195" i="6"/>
  <c r="G195" i="6" s="1"/>
  <c r="H195" i="6" s="1"/>
  <c r="D195" i="6"/>
  <c r="I206" i="6" s="1"/>
  <c r="B207" i="6"/>
  <c r="D206" i="6"/>
  <c r="E206" i="6"/>
  <c r="B218" i="6"/>
  <c r="E196" i="6"/>
  <c r="D196" i="6"/>
  <c r="B208" i="6"/>
  <c r="F201" i="6"/>
  <c r="C213" i="6"/>
  <c r="I187" i="6"/>
  <c r="E197" i="6"/>
  <c r="D197" i="6"/>
  <c r="B209" i="6"/>
  <c r="I194" i="6"/>
  <c r="F214" i="6"/>
  <c r="C226" i="6"/>
  <c r="F226" i="6" s="1"/>
  <c r="I189" i="6"/>
  <c r="F200" i="5"/>
  <c r="C212" i="5"/>
  <c r="E214" i="5"/>
  <c r="D214" i="5"/>
  <c r="B226" i="5"/>
  <c r="E228" i="5"/>
  <c r="F203" i="5"/>
  <c r="G203" i="5" s="1"/>
  <c r="H203" i="5" s="1"/>
  <c r="C215" i="5"/>
  <c r="D203" i="5"/>
  <c r="F210" i="5"/>
  <c r="G210" i="5" s="1"/>
  <c r="H210" i="5" s="1"/>
  <c r="C222" i="5"/>
  <c r="F222" i="5" s="1"/>
  <c r="E213" i="5"/>
  <c r="D213" i="5"/>
  <c r="B225" i="5"/>
  <c r="I195" i="5"/>
  <c r="I194" i="5"/>
  <c r="I193" i="5"/>
  <c r="I188" i="5"/>
  <c r="I191" i="14"/>
  <c r="I185" i="5"/>
  <c r="F196" i="5"/>
  <c r="G196" i="5" s="1"/>
  <c r="H196" i="5" s="1"/>
  <c r="C208" i="5"/>
  <c r="D196" i="5"/>
  <c r="F209" i="5"/>
  <c r="C221" i="5"/>
  <c r="F221" i="5" s="1"/>
  <c r="G197" i="5"/>
  <c r="H197" i="5" s="1"/>
  <c r="F211" i="5"/>
  <c r="G211" i="5" s="1"/>
  <c r="H211" i="5" s="1"/>
  <c r="C223" i="5"/>
  <c r="F223" i="5" s="1"/>
  <c r="E211" i="5"/>
  <c r="D211" i="5"/>
  <c r="B223" i="5"/>
  <c r="F217" i="5"/>
  <c r="C229" i="5"/>
  <c r="F229" i="5" s="1"/>
  <c r="G201" i="5"/>
  <c r="H201" i="5" s="1"/>
  <c r="E222" i="5"/>
  <c r="I192" i="5"/>
  <c r="G205" i="5"/>
  <c r="H205" i="5" s="1"/>
  <c r="E218" i="5"/>
  <c r="D218" i="5"/>
  <c r="I229" i="5" s="1"/>
  <c r="F206" i="5"/>
  <c r="G206" i="5" s="1"/>
  <c r="H206" i="5" s="1"/>
  <c r="C218" i="5"/>
  <c r="F218" i="5" s="1"/>
  <c r="E197" i="5"/>
  <c r="D197" i="5"/>
  <c r="B209" i="5"/>
  <c r="I199" i="5"/>
  <c r="F213" i="5"/>
  <c r="G213" i="5" s="1"/>
  <c r="H213" i="5" s="1"/>
  <c r="C225" i="5"/>
  <c r="F225" i="5" s="1"/>
  <c r="D200" i="5"/>
  <c r="E200" i="5"/>
  <c r="B212" i="5"/>
  <c r="E205" i="5"/>
  <c r="B217" i="5"/>
  <c r="D205" i="5"/>
  <c r="I203" i="5"/>
  <c r="F214" i="5"/>
  <c r="C226" i="5"/>
  <c r="F226" i="5" s="1"/>
  <c r="G202" i="5"/>
  <c r="H202" i="5" s="1"/>
  <c r="I184" i="5"/>
  <c r="F204" i="5"/>
  <c r="G204" i="5" s="1"/>
  <c r="H204" i="5" s="1"/>
  <c r="C216" i="5"/>
  <c r="D204" i="5"/>
  <c r="E214" i="4"/>
  <c r="B226" i="4"/>
  <c r="D214" i="4"/>
  <c r="F207" i="4"/>
  <c r="G207" i="4" s="1"/>
  <c r="H207" i="4" s="1"/>
  <c r="C219" i="4"/>
  <c r="F219" i="4" s="1"/>
  <c r="G185" i="4"/>
  <c r="H185" i="4" s="1"/>
  <c r="B229" i="4"/>
  <c r="E217" i="4"/>
  <c r="G203" i="4"/>
  <c r="H203" i="4" s="1"/>
  <c r="I186" i="4"/>
  <c r="E210" i="4"/>
  <c r="B222" i="4"/>
  <c r="E223" i="4"/>
  <c r="G223" i="4" s="1"/>
  <c r="H223" i="4" s="1"/>
  <c r="D223" i="4"/>
  <c r="I185" i="4"/>
  <c r="D196" i="4"/>
  <c r="I203" i="4" s="1"/>
  <c r="B208" i="4"/>
  <c r="E196" i="4"/>
  <c r="G196" i="4" s="1"/>
  <c r="H196" i="4" s="1"/>
  <c r="I189" i="4"/>
  <c r="I188" i="4"/>
  <c r="C220" i="4"/>
  <c r="F220" i="4" s="1"/>
  <c r="F208" i="4"/>
  <c r="F205" i="4"/>
  <c r="G205" i="4" s="1"/>
  <c r="H205" i="4" s="1"/>
  <c r="C217" i="4"/>
  <c r="I202" i="4"/>
  <c r="I189" i="25"/>
  <c r="E207" i="4"/>
  <c r="B219" i="4"/>
  <c r="D207" i="4"/>
  <c r="F198" i="4"/>
  <c r="G198" i="4" s="1"/>
  <c r="H198" i="4" s="1"/>
  <c r="C210" i="4"/>
  <c r="D210" i="4" s="1"/>
  <c r="I186" i="14"/>
  <c r="I194" i="18"/>
  <c r="G218" i="4"/>
  <c r="H218" i="4" s="1"/>
  <c r="E203" i="4"/>
  <c r="B215" i="4"/>
  <c r="D203" i="4"/>
  <c r="F201" i="4"/>
  <c r="C213" i="4"/>
  <c r="I194" i="4"/>
  <c r="D197" i="4"/>
  <c r="B209" i="4"/>
  <c r="E197" i="4"/>
  <c r="G189" i="4"/>
  <c r="H189" i="4" s="1"/>
  <c r="C226" i="4"/>
  <c r="F226" i="4" s="1"/>
  <c r="F214" i="4"/>
  <c r="G214" i="4" s="1"/>
  <c r="H214" i="4" s="1"/>
  <c r="I190" i="4"/>
  <c r="G202" i="4"/>
  <c r="H202" i="4" s="1"/>
  <c r="C224" i="4"/>
  <c r="F224" i="4" s="1"/>
  <c r="F212" i="4"/>
  <c r="I195" i="4"/>
  <c r="I193" i="4"/>
  <c r="C227" i="4"/>
  <c r="F227" i="4" s="1"/>
  <c r="F215" i="4"/>
  <c r="F197" i="4"/>
  <c r="C209" i="4"/>
  <c r="E218" i="4"/>
  <c r="D218" i="4"/>
  <c r="I229" i="4" s="1"/>
  <c r="I191" i="4"/>
  <c r="I197" i="25"/>
  <c r="I192" i="4"/>
  <c r="D201" i="4"/>
  <c r="E201" i="4"/>
  <c r="B213" i="4"/>
  <c r="I183" i="14"/>
  <c r="I184" i="4"/>
  <c r="D204" i="4"/>
  <c r="B216" i="4"/>
  <c r="E204" i="4"/>
  <c r="G204" i="4" s="1"/>
  <c r="H204" i="4" s="1"/>
  <c r="D200" i="4"/>
  <c r="B212" i="4"/>
  <c r="E200" i="4"/>
  <c r="G200" i="4" s="1"/>
  <c r="H200" i="4" s="1"/>
  <c r="I188" i="14"/>
  <c r="I204" i="4"/>
  <c r="C219" i="3"/>
  <c r="F219" i="3" s="1"/>
  <c r="F207" i="3"/>
  <c r="G207" i="3" s="1"/>
  <c r="H207" i="3" s="1"/>
  <c r="I192" i="14"/>
  <c r="C212" i="3"/>
  <c r="F200" i="3"/>
  <c r="G200" i="3" s="1"/>
  <c r="H200" i="3" s="1"/>
  <c r="E205" i="3"/>
  <c r="B217" i="3"/>
  <c r="D205" i="3"/>
  <c r="E207" i="3"/>
  <c r="B219" i="3"/>
  <c r="D207" i="3"/>
  <c r="I189" i="13"/>
  <c r="K189" i="19" s="1"/>
  <c r="I195" i="3"/>
  <c r="G194" i="3"/>
  <c r="H194" i="3" s="1"/>
  <c r="C223" i="3"/>
  <c r="F223" i="3" s="1"/>
  <c r="F211" i="3"/>
  <c r="C218" i="3"/>
  <c r="F218" i="3" s="1"/>
  <c r="F206" i="3"/>
  <c r="G206" i="3" s="1"/>
  <c r="H206" i="3" s="1"/>
  <c r="E208" i="3"/>
  <c r="G208" i="3" s="1"/>
  <c r="H208" i="3" s="1"/>
  <c r="D208" i="3"/>
  <c r="B220" i="3"/>
  <c r="C215" i="3"/>
  <c r="F203" i="3"/>
  <c r="G203" i="3" s="1"/>
  <c r="H203" i="3" s="1"/>
  <c r="D203" i="3"/>
  <c r="E201" i="3"/>
  <c r="G201" i="3" s="1"/>
  <c r="H201" i="3" s="1"/>
  <c r="D201" i="3"/>
  <c r="B213" i="3"/>
  <c r="E212" i="3"/>
  <c r="B224" i="3"/>
  <c r="D200" i="3"/>
  <c r="I199" i="3"/>
  <c r="I189" i="3"/>
  <c r="C216" i="3"/>
  <c r="F204" i="3"/>
  <c r="G204" i="3" s="1"/>
  <c r="H204" i="3" s="1"/>
  <c r="B218" i="3"/>
  <c r="E206" i="3"/>
  <c r="D206" i="3"/>
  <c r="I194" i="3"/>
  <c r="I197" i="3"/>
  <c r="K178" i="19"/>
  <c r="D222" i="3"/>
  <c r="E222" i="3"/>
  <c r="G222" i="3" s="1"/>
  <c r="H222" i="3" s="1"/>
  <c r="G205" i="3"/>
  <c r="H205" i="3" s="1"/>
  <c r="I190" i="3"/>
  <c r="E227" i="3"/>
  <c r="F217" i="3"/>
  <c r="C229" i="3"/>
  <c r="F229" i="3" s="1"/>
  <c r="E216" i="3"/>
  <c r="D216" i="3"/>
  <c r="B228" i="3"/>
  <c r="I190" i="13"/>
  <c r="K190" i="19" s="1"/>
  <c r="I191" i="3"/>
  <c r="B223" i="3"/>
  <c r="E211" i="3"/>
  <c r="D211" i="3"/>
  <c r="G199" i="3"/>
  <c r="H199" i="3" s="1"/>
  <c r="I198" i="3"/>
  <c r="I195" i="18"/>
  <c r="E221" i="3"/>
  <c r="G221" i="3" s="1"/>
  <c r="H221" i="3" s="1"/>
  <c r="D221" i="3"/>
  <c r="I196" i="3"/>
  <c r="G218" i="25"/>
  <c r="H218" i="25" s="1"/>
  <c r="F205" i="25"/>
  <c r="G205" i="25" s="1"/>
  <c r="H205" i="25" s="1"/>
  <c r="C217" i="25"/>
  <c r="C219" i="25"/>
  <c r="F219" i="25" s="1"/>
  <c r="F207" i="25"/>
  <c r="B226" i="25"/>
  <c r="E214" i="25"/>
  <c r="F202" i="25"/>
  <c r="G202" i="25" s="1"/>
  <c r="H202" i="25" s="1"/>
  <c r="C214" i="25"/>
  <c r="G209" i="25"/>
  <c r="H209" i="25" s="1"/>
  <c r="C228" i="25"/>
  <c r="F228" i="25" s="1"/>
  <c r="F216" i="25"/>
  <c r="F215" i="25"/>
  <c r="C227" i="25"/>
  <c r="F227" i="25" s="1"/>
  <c r="B228" i="25"/>
  <c r="E216" i="25"/>
  <c r="D216" i="25"/>
  <c r="I227" i="25" s="1"/>
  <c r="B227" i="25"/>
  <c r="D215" i="25"/>
  <c r="I226" i="25" s="1"/>
  <c r="E215" i="25"/>
  <c r="G204" i="25"/>
  <c r="H204" i="25" s="1"/>
  <c r="G203" i="25"/>
  <c r="H203" i="25" s="1"/>
  <c r="B219" i="25"/>
  <c r="E207" i="25"/>
  <c r="D207" i="25"/>
  <c r="E224" i="25"/>
  <c r="D224" i="25"/>
  <c r="E205" i="25"/>
  <c r="B217" i="25"/>
  <c r="D205" i="25"/>
  <c r="I196" i="25"/>
  <c r="F201" i="25"/>
  <c r="C213" i="25"/>
  <c r="E221" i="25"/>
  <c r="G221" i="25" s="1"/>
  <c r="H221" i="25" s="1"/>
  <c r="D221" i="25"/>
  <c r="F210" i="25"/>
  <c r="G210" i="25" s="1"/>
  <c r="H210" i="25" s="1"/>
  <c r="C222" i="25"/>
  <c r="D210" i="25"/>
  <c r="F223" i="25"/>
  <c r="G223" i="25" s="1"/>
  <c r="H223" i="25" s="1"/>
  <c r="D223" i="25"/>
  <c r="I200" i="25"/>
  <c r="I198" i="25"/>
  <c r="I193" i="25"/>
  <c r="I191" i="25"/>
  <c r="I199" i="25"/>
  <c r="I195" i="25"/>
  <c r="E201" i="25"/>
  <c r="D201" i="25"/>
  <c r="I202" i="25" s="1"/>
  <c r="B213" i="25"/>
  <c r="I194" i="25"/>
  <c r="C224" i="25"/>
  <c r="F224" i="25" s="1"/>
  <c r="F212" i="25"/>
  <c r="G212" i="25" s="1"/>
  <c r="H212" i="25" s="1"/>
  <c r="I190" i="25"/>
  <c r="E196" i="14"/>
  <c r="D196" i="14"/>
  <c r="B208" i="14"/>
  <c r="E204" i="14"/>
  <c r="D204" i="14"/>
  <c r="B216" i="14"/>
  <c r="G198" i="14"/>
  <c r="H198" i="14" s="1"/>
  <c r="F196" i="14"/>
  <c r="G196" i="14" s="1"/>
  <c r="H196" i="14" s="1"/>
  <c r="C208" i="14"/>
  <c r="B222" i="14"/>
  <c r="E210" i="14"/>
  <c r="D210" i="14"/>
  <c r="I189" i="14"/>
  <c r="E213" i="14"/>
  <c r="G213" i="14" s="1"/>
  <c r="H213" i="14" s="1"/>
  <c r="B225" i="14"/>
  <c r="D213" i="14"/>
  <c r="I224" i="14" s="1"/>
  <c r="I190" i="14"/>
  <c r="E217" i="14"/>
  <c r="G217" i="14" s="1"/>
  <c r="H217" i="14" s="1"/>
  <c r="B229" i="14"/>
  <c r="D217" i="14"/>
  <c r="I228" i="14" s="1"/>
  <c r="E218" i="14"/>
  <c r="C218" i="14"/>
  <c r="F218" i="14" s="1"/>
  <c r="G218" i="14" s="1"/>
  <c r="H218" i="14" s="1"/>
  <c r="F206" i="14"/>
  <c r="G206" i="14" s="1"/>
  <c r="H206" i="14" s="1"/>
  <c r="F210" i="14"/>
  <c r="C222" i="14"/>
  <c r="F222" i="14" s="1"/>
  <c r="I193" i="14"/>
  <c r="E203" i="14"/>
  <c r="G203" i="14" s="1"/>
  <c r="H203" i="14" s="1"/>
  <c r="D203" i="14"/>
  <c r="B215" i="14"/>
  <c r="I187" i="14"/>
  <c r="E209" i="14"/>
  <c r="G209" i="14" s="1"/>
  <c r="H209" i="14" s="1"/>
  <c r="B221" i="14"/>
  <c r="D209" i="14"/>
  <c r="E195" i="14"/>
  <c r="G195" i="14" s="1"/>
  <c r="H195" i="14" s="1"/>
  <c r="D195" i="14"/>
  <c r="B207" i="14"/>
  <c r="F204" i="14"/>
  <c r="C216" i="14"/>
  <c r="E199" i="14"/>
  <c r="G199" i="14" s="1"/>
  <c r="H199" i="14" s="1"/>
  <c r="D199" i="14"/>
  <c r="B211" i="14"/>
  <c r="C224" i="14"/>
  <c r="F224" i="14" s="1"/>
  <c r="F212" i="14"/>
  <c r="E200" i="14"/>
  <c r="G200" i="14" s="1"/>
  <c r="H200" i="14" s="1"/>
  <c r="D200" i="14"/>
  <c r="B212" i="14"/>
  <c r="I184" i="14"/>
  <c r="I194" i="14"/>
  <c r="I185" i="14"/>
  <c r="G192" i="14"/>
  <c r="H192" i="14" s="1"/>
  <c r="E196" i="13"/>
  <c r="B208" i="13"/>
  <c r="D196" i="13"/>
  <c r="I192" i="13"/>
  <c r="C227" i="13"/>
  <c r="F227" i="13" s="1"/>
  <c r="F215" i="13"/>
  <c r="G190" i="13"/>
  <c r="H190" i="13" s="1"/>
  <c r="E206" i="13"/>
  <c r="G206" i="13" s="1"/>
  <c r="H206" i="13" s="1"/>
  <c r="B218" i="13"/>
  <c r="D206" i="13"/>
  <c r="D199" i="13"/>
  <c r="E199" i="13"/>
  <c r="G199" i="13" s="1"/>
  <c r="H199" i="13" s="1"/>
  <c r="B211" i="13"/>
  <c r="K177" i="19"/>
  <c r="K177" i="18"/>
  <c r="F200" i="13"/>
  <c r="G200" i="13" s="1"/>
  <c r="H200" i="13" s="1"/>
  <c r="C212" i="13"/>
  <c r="I191" i="13"/>
  <c r="K179" i="18"/>
  <c r="K179" i="19"/>
  <c r="F217" i="13"/>
  <c r="G217" i="13" s="1"/>
  <c r="H217" i="13" s="1"/>
  <c r="C229" i="13"/>
  <c r="F229" i="13" s="1"/>
  <c r="G229" i="13" s="1"/>
  <c r="H229" i="13" s="1"/>
  <c r="F201" i="13"/>
  <c r="G201" i="13" s="1"/>
  <c r="H201" i="13" s="1"/>
  <c r="C213" i="13"/>
  <c r="D201" i="13"/>
  <c r="G203" i="13"/>
  <c r="H203" i="13" s="1"/>
  <c r="I188" i="13"/>
  <c r="K173" i="18"/>
  <c r="K173" i="19"/>
  <c r="E222" i="13"/>
  <c r="G222" i="13" s="1"/>
  <c r="H222" i="13" s="1"/>
  <c r="D222" i="13"/>
  <c r="K228" i="18"/>
  <c r="K228" i="19"/>
  <c r="C214" i="13"/>
  <c r="F202" i="13"/>
  <c r="G202" i="13" s="1"/>
  <c r="H202" i="13" s="1"/>
  <c r="K172" i="18"/>
  <c r="K172" i="19"/>
  <c r="E209" i="13"/>
  <c r="B221" i="13"/>
  <c r="I187" i="13"/>
  <c r="E225" i="13"/>
  <c r="K175" i="18"/>
  <c r="K175" i="19"/>
  <c r="I193" i="13"/>
  <c r="K171" i="18"/>
  <c r="K171" i="19"/>
  <c r="I194" i="13"/>
  <c r="I184" i="13"/>
  <c r="K180" i="19"/>
  <c r="K180" i="18"/>
  <c r="I185" i="13"/>
  <c r="K174" i="18"/>
  <c r="K174" i="19"/>
  <c r="E202" i="13"/>
  <c r="D202" i="13"/>
  <c r="B214" i="13"/>
  <c r="D203" i="13"/>
  <c r="B215" i="13"/>
  <c r="E203" i="13"/>
  <c r="E229" i="13"/>
  <c r="G188" i="13"/>
  <c r="H188" i="13" s="1"/>
  <c r="F197" i="13"/>
  <c r="G197" i="13" s="1"/>
  <c r="H197" i="13" s="1"/>
  <c r="C209" i="13"/>
  <c r="D209" i="13" s="1"/>
  <c r="F204" i="13"/>
  <c r="C216" i="13"/>
  <c r="K182" i="19"/>
  <c r="K182" i="18"/>
  <c r="I186" i="13"/>
  <c r="C207" i="13"/>
  <c r="F195" i="13"/>
  <c r="G195" i="13" s="1"/>
  <c r="H195" i="13" s="1"/>
  <c r="D195" i="13"/>
  <c r="I187" i="18"/>
  <c r="F196" i="13"/>
  <c r="C208" i="13"/>
  <c r="E204" i="13"/>
  <c r="B216" i="13"/>
  <c r="D204" i="13"/>
  <c r="E219" i="13"/>
  <c r="G184" i="13"/>
  <c r="H184" i="13" s="1"/>
  <c r="K183" i="19"/>
  <c r="K183" i="18"/>
  <c r="K181" i="18"/>
  <c r="K181" i="19"/>
  <c r="G210" i="13"/>
  <c r="H210" i="13" s="1"/>
  <c r="E200" i="13"/>
  <c r="B212" i="13"/>
  <c r="D200" i="13"/>
  <c r="G229" i="19"/>
  <c r="H229" i="19" s="1"/>
  <c r="J229" i="19" s="1"/>
  <c r="C206" i="19"/>
  <c r="F194" i="19"/>
  <c r="C210" i="19"/>
  <c r="F198" i="19"/>
  <c r="D219" i="19"/>
  <c r="E219" i="19"/>
  <c r="C214" i="19"/>
  <c r="F202" i="19"/>
  <c r="G202" i="19" s="1"/>
  <c r="H202" i="19" s="1"/>
  <c r="J202" i="19" s="1"/>
  <c r="D204" i="19"/>
  <c r="E204" i="19"/>
  <c r="G204" i="19" s="1"/>
  <c r="H204" i="19" s="1"/>
  <c r="J204" i="19" s="1"/>
  <c r="B216" i="19"/>
  <c r="D221" i="19"/>
  <c r="E221" i="19"/>
  <c r="G221" i="19" s="1"/>
  <c r="H221" i="19" s="1"/>
  <c r="J221" i="19" s="1"/>
  <c r="G219" i="19"/>
  <c r="H219" i="19" s="1"/>
  <c r="J219" i="19" s="1"/>
  <c r="E220" i="19"/>
  <c r="G220" i="19" s="1"/>
  <c r="H220" i="19" s="1"/>
  <c r="J220" i="19" s="1"/>
  <c r="D220" i="19"/>
  <c r="G217" i="19"/>
  <c r="H217" i="19" s="1"/>
  <c r="J217" i="19" s="1"/>
  <c r="I189" i="19"/>
  <c r="G190" i="19"/>
  <c r="H190" i="19" s="1"/>
  <c r="J190" i="19" s="1"/>
  <c r="I193" i="19"/>
  <c r="I192" i="19"/>
  <c r="I187" i="19"/>
  <c r="I190" i="19"/>
  <c r="I183" i="19"/>
  <c r="B214" i="19"/>
  <c r="D202" i="19"/>
  <c r="E202" i="19"/>
  <c r="B224" i="19"/>
  <c r="E212" i="19"/>
  <c r="E229" i="19"/>
  <c r="D229" i="19"/>
  <c r="F215" i="19"/>
  <c r="G215" i="19" s="1"/>
  <c r="H215" i="19" s="1"/>
  <c r="J215" i="19" s="1"/>
  <c r="C227" i="19"/>
  <c r="F227" i="19" s="1"/>
  <c r="I191" i="19"/>
  <c r="B206" i="19"/>
  <c r="E194" i="19"/>
  <c r="D194" i="19"/>
  <c r="I196" i="19" s="1"/>
  <c r="B210" i="19"/>
  <c r="D198" i="19"/>
  <c r="E198" i="19"/>
  <c r="I182" i="19"/>
  <c r="I184" i="19"/>
  <c r="E223" i="19"/>
  <c r="G223" i="19" s="1"/>
  <c r="H223" i="19" s="1"/>
  <c r="J223" i="19" s="1"/>
  <c r="D223" i="19"/>
  <c r="I185" i="19"/>
  <c r="C212" i="19"/>
  <c r="F200" i="19"/>
  <c r="G200" i="19" s="1"/>
  <c r="H200" i="19" s="1"/>
  <c r="J200" i="19" s="1"/>
  <c r="I188" i="19"/>
  <c r="E201" i="19"/>
  <c r="G201" i="19" s="1"/>
  <c r="H201" i="19" s="1"/>
  <c r="J201" i="19" s="1"/>
  <c r="D201" i="19"/>
  <c r="B213" i="19"/>
  <c r="E215" i="19"/>
  <c r="D215" i="19"/>
  <c r="I226" i="19" s="1"/>
  <c r="B227" i="19"/>
  <c r="C229" i="18"/>
  <c r="F229" i="18" s="1"/>
  <c r="F217" i="18"/>
  <c r="E227" i="18"/>
  <c r="D227" i="18"/>
  <c r="C214" i="18"/>
  <c r="F202" i="18"/>
  <c r="I190" i="18"/>
  <c r="B223" i="18"/>
  <c r="E211" i="18"/>
  <c r="D211" i="18"/>
  <c r="B224" i="18"/>
  <c r="E212" i="18"/>
  <c r="D212" i="18"/>
  <c r="I185" i="18"/>
  <c r="I193" i="18"/>
  <c r="C209" i="18"/>
  <c r="F197" i="18"/>
  <c r="G197" i="18" s="1"/>
  <c r="H197" i="18" s="1"/>
  <c r="J197" i="18" s="1"/>
  <c r="I196" i="18"/>
  <c r="B229" i="18"/>
  <c r="E217" i="18"/>
  <c r="D217" i="18"/>
  <c r="I228" i="18" s="1"/>
  <c r="C223" i="18"/>
  <c r="F223" i="18" s="1"/>
  <c r="F211" i="18"/>
  <c r="G211" i="18" s="1"/>
  <c r="H211" i="18" s="1"/>
  <c r="J211" i="18" s="1"/>
  <c r="B218" i="18"/>
  <c r="E206" i="18"/>
  <c r="D206" i="18"/>
  <c r="B219" i="18"/>
  <c r="D207" i="18"/>
  <c r="E207" i="18"/>
  <c r="C225" i="18"/>
  <c r="F225" i="18" s="1"/>
  <c r="F213" i="18"/>
  <c r="G208" i="18"/>
  <c r="H208" i="18" s="1"/>
  <c r="J208" i="18" s="1"/>
  <c r="E197" i="18"/>
  <c r="D197" i="18"/>
  <c r="I200" i="18" s="1"/>
  <c r="B209" i="18"/>
  <c r="I188" i="18"/>
  <c r="I192" i="18"/>
  <c r="F207" i="18"/>
  <c r="G207" i="18" s="1"/>
  <c r="H207" i="18" s="1"/>
  <c r="J207" i="18" s="1"/>
  <c r="C219" i="18"/>
  <c r="F219" i="18" s="1"/>
  <c r="F222" i="18"/>
  <c r="G222" i="18" s="1"/>
  <c r="H222" i="18" s="1"/>
  <c r="J222" i="18" s="1"/>
  <c r="D222" i="18"/>
  <c r="I189" i="18"/>
  <c r="D213" i="18"/>
  <c r="I224" i="18" s="1"/>
  <c r="B225" i="18"/>
  <c r="E213" i="18"/>
  <c r="I186" i="18"/>
  <c r="D202" i="18"/>
  <c r="B214" i="18"/>
  <c r="E202" i="18"/>
  <c r="C224" i="18"/>
  <c r="F224" i="18" s="1"/>
  <c r="F212" i="18"/>
  <c r="G206" i="18"/>
  <c r="H206" i="18" s="1"/>
  <c r="J206" i="18" s="1"/>
  <c r="D208" i="18"/>
  <c r="E208" i="18"/>
  <c r="B220" i="18"/>
  <c r="C228" i="18"/>
  <c r="F216" i="18"/>
  <c r="G216" i="18" s="1"/>
  <c r="H216" i="18" s="1"/>
  <c r="J216" i="18" s="1"/>
  <c r="D216" i="18"/>
  <c r="I227" i="18" s="1"/>
  <c r="G199" i="18"/>
  <c r="H199" i="18" s="1"/>
  <c r="J199" i="18" s="1"/>
  <c r="G200" i="18"/>
  <c r="H200" i="18" s="1"/>
  <c r="J200" i="18" s="1"/>
  <c r="G227" i="18"/>
  <c r="H227" i="18" s="1"/>
  <c r="J227" i="18" s="1"/>
  <c r="E203" i="22"/>
  <c r="D203" i="22"/>
  <c r="B215" i="22"/>
  <c r="I195" i="22"/>
  <c r="F208" i="22"/>
  <c r="C220" i="22"/>
  <c r="F220" i="22" s="1"/>
  <c r="G200" i="22"/>
  <c r="H200" i="22" s="1"/>
  <c r="G191" i="22"/>
  <c r="H191" i="22" s="1"/>
  <c r="F216" i="22"/>
  <c r="G216" i="22" s="1"/>
  <c r="H216" i="22" s="1"/>
  <c r="C228" i="22"/>
  <c r="F228" i="22" s="1"/>
  <c r="F203" i="22"/>
  <c r="G203" i="22" s="1"/>
  <c r="H203" i="22" s="1"/>
  <c r="C215" i="22"/>
  <c r="D218" i="22"/>
  <c r="I229" i="22" s="1"/>
  <c r="E218" i="22"/>
  <c r="G218" i="22" s="1"/>
  <c r="H218" i="22" s="1"/>
  <c r="E217" i="22"/>
  <c r="G217" i="22" s="1"/>
  <c r="H217" i="22" s="1"/>
  <c r="D217" i="22"/>
  <c r="I228" i="22" s="1"/>
  <c r="B229" i="22"/>
  <c r="I198" i="22"/>
  <c r="D208" i="22"/>
  <c r="B220" i="22"/>
  <c r="E208" i="22"/>
  <c r="E209" i="22"/>
  <c r="D209" i="22"/>
  <c r="B221" i="22"/>
  <c r="G196" i="22"/>
  <c r="H196" i="22" s="1"/>
  <c r="B214" i="22"/>
  <c r="E202" i="22"/>
  <c r="D202" i="22"/>
  <c r="D216" i="22"/>
  <c r="I227" i="22" s="1"/>
  <c r="B228" i="22"/>
  <c r="E216" i="22"/>
  <c r="C214" i="22"/>
  <c r="F202" i="22"/>
  <c r="G202" i="22" s="1"/>
  <c r="H202" i="22" s="1"/>
  <c r="I194" i="22"/>
  <c r="B219" i="22"/>
  <c r="E207" i="22"/>
  <c r="G207" i="22" s="1"/>
  <c r="H207" i="22" s="1"/>
  <c r="D207" i="22"/>
  <c r="F212" i="22"/>
  <c r="G212" i="22" s="1"/>
  <c r="H212" i="22" s="1"/>
  <c r="C224" i="22"/>
  <c r="F224" i="22" s="1"/>
  <c r="I196" i="22"/>
  <c r="I187" i="22"/>
  <c r="F209" i="22"/>
  <c r="C221" i="22"/>
  <c r="F221" i="22" s="1"/>
  <c r="F211" i="22"/>
  <c r="C223" i="22"/>
  <c r="F223" i="22" s="1"/>
  <c r="E199" i="22"/>
  <c r="G199" i="22" s="1"/>
  <c r="H199" i="22" s="1"/>
  <c r="D199" i="22"/>
  <c r="B211" i="22"/>
  <c r="F201" i="22"/>
  <c r="G201" i="22" s="1"/>
  <c r="H201" i="22" s="1"/>
  <c r="C213" i="22"/>
  <c r="D213" i="22" s="1"/>
  <c r="I224" i="22" s="1"/>
  <c r="I189" i="22"/>
  <c r="C222" i="22"/>
  <c r="F210" i="22"/>
  <c r="G210" i="22" s="1"/>
  <c r="H210" i="22" s="1"/>
  <c r="D210" i="22"/>
  <c r="I191" i="22"/>
  <c r="D212" i="22"/>
  <c r="B224" i="22"/>
  <c r="E212" i="22"/>
  <c r="G204" i="22"/>
  <c r="H204" i="22" s="1"/>
  <c r="E213" i="22"/>
  <c r="B225" i="22"/>
  <c r="I190" i="22"/>
  <c r="I192" i="22"/>
  <c r="I197" i="22"/>
  <c r="I193" i="22"/>
  <c r="E198" i="23"/>
  <c r="G198" i="23" s="1"/>
  <c r="H198" i="23" s="1"/>
  <c r="D198" i="23"/>
  <c r="B210" i="23"/>
  <c r="E213" i="23"/>
  <c r="G213" i="23" s="1"/>
  <c r="H213" i="23" s="1"/>
  <c r="D213" i="23"/>
  <c r="I224" i="23" s="1"/>
  <c r="B225" i="23"/>
  <c r="C220" i="23"/>
  <c r="F220" i="23" s="1"/>
  <c r="F208" i="23"/>
  <c r="I194" i="23"/>
  <c r="I192" i="23"/>
  <c r="I193" i="23"/>
  <c r="C229" i="23"/>
  <c r="F229" i="23" s="1"/>
  <c r="F217" i="23"/>
  <c r="I187" i="23"/>
  <c r="I184" i="23"/>
  <c r="B229" i="23"/>
  <c r="E217" i="23"/>
  <c r="D217" i="23"/>
  <c r="I228" i="23" s="1"/>
  <c r="E219" i="23"/>
  <c r="I189" i="23"/>
  <c r="C207" i="23"/>
  <c r="F195" i="23"/>
  <c r="G195" i="23" s="1"/>
  <c r="H195" i="23" s="1"/>
  <c r="D195" i="23"/>
  <c r="I185" i="23"/>
  <c r="F211" i="23"/>
  <c r="G211" i="23" s="1"/>
  <c r="H211" i="23" s="1"/>
  <c r="C223" i="23"/>
  <c r="D211" i="23"/>
  <c r="B208" i="23"/>
  <c r="E196" i="23"/>
  <c r="D196" i="23"/>
  <c r="F215" i="23"/>
  <c r="G215" i="23" s="1"/>
  <c r="H215" i="23" s="1"/>
  <c r="C227" i="23"/>
  <c r="F227" i="23" s="1"/>
  <c r="I188" i="23"/>
  <c r="G203" i="23"/>
  <c r="H203" i="23" s="1"/>
  <c r="I190" i="23"/>
  <c r="B216" i="23"/>
  <c r="E204" i="23"/>
  <c r="G204" i="23" s="1"/>
  <c r="H204" i="23" s="1"/>
  <c r="D204" i="23"/>
  <c r="C224" i="23"/>
  <c r="F212" i="23"/>
  <c r="G212" i="23" s="1"/>
  <c r="H212" i="23" s="1"/>
  <c r="D212" i="23"/>
  <c r="I186" i="23"/>
  <c r="I191" i="23"/>
  <c r="E218" i="23"/>
  <c r="D218" i="23"/>
  <c r="I229" i="23" s="1"/>
  <c r="E221" i="23"/>
  <c r="G221" i="23" s="1"/>
  <c r="H221" i="23" s="1"/>
  <c r="D221" i="23"/>
  <c r="E226" i="23"/>
  <c r="G226" i="23" s="1"/>
  <c r="H226" i="23" s="1"/>
  <c r="D226" i="23"/>
  <c r="F206" i="23"/>
  <c r="G206" i="23" s="1"/>
  <c r="H206" i="23" s="1"/>
  <c r="C218" i="23"/>
  <c r="F218" i="23" s="1"/>
  <c r="E215" i="23"/>
  <c r="D215" i="23"/>
  <c r="I226" i="23" s="1"/>
  <c r="B227" i="23"/>
  <c r="G196" i="23"/>
  <c r="H196" i="23" s="1"/>
  <c r="I225" i="8" l="1"/>
  <c r="I225" i="20"/>
  <c r="I202" i="20"/>
  <c r="I206" i="8"/>
  <c r="I196" i="20"/>
  <c r="I202" i="3"/>
  <c r="I207" i="3"/>
  <c r="I200" i="3"/>
  <c r="G226" i="20"/>
  <c r="H226" i="20" s="1"/>
  <c r="I200" i="20"/>
  <c r="G207" i="20"/>
  <c r="H207" i="20" s="1"/>
  <c r="G210" i="20"/>
  <c r="H210" i="20" s="1"/>
  <c r="I198" i="20"/>
  <c r="E213" i="20"/>
  <c r="D213" i="20"/>
  <c r="B225" i="20"/>
  <c r="E212" i="20"/>
  <c r="D212" i="20"/>
  <c r="B224" i="20"/>
  <c r="E211" i="20"/>
  <c r="G211" i="20" s="1"/>
  <c r="H211" i="20" s="1"/>
  <c r="D211" i="20"/>
  <c r="B223" i="20"/>
  <c r="I204" i="20"/>
  <c r="F212" i="20"/>
  <c r="G212" i="20" s="1"/>
  <c r="H212" i="20" s="1"/>
  <c r="C224" i="20"/>
  <c r="F224" i="20" s="1"/>
  <c r="E216" i="20"/>
  <c r="D216" i="20"/>
  <c r="B228" i="20"/>
  <c r="E208" i="20"/>
  <c r="D208" i="20"/>
  <c r="B220" i="20"/>
  <c r="E215" i="20"/>
  <c r="G215" i="20" s="1"/>
  <c r="H215" i="20" s="1"/>
  <c r="D215" i="20"/>
  <c r="B227" i="20"/>
  <c r="I199" i="20"/>
  <c r="I203" i="20"/>
  <c r="I197" i="20"/>
  <c r="E217" i="20"/>
  <c r="D217" i="20"/>
  <c r="B229" i="20"/>
  <c r="F217" i="20"/>
  <c r="G217" i="20" s="1"/>
  <c r="H217" i="20" s="1"/>
  <c r="C229" i="20"/>
  <c r="F229" i="20" s="1"/>
  <c r="I201" i="20"/>
  <c r="E226" i="20"/>
  <c r="D226" i="20"/>
  <c r="F216" i="20"/>
  <c r="C228" i="20"/>
  <c r="F228" i="20" s="1"/>
  <c r="I206" i="20"/>
  <c r="G204" i="20"/>
  <c r="H204" i="20" s="1"/>
  <c r="E207" i="20"/>
  <c r="B219" i="20"/>
  <c r="D207" i="20"/>
  <c r="I207" i="20" s="1"/>
  <c r="F213" i="20"/>
  <c r="G213" i="20" s="1"/>
  <c r="H213" i="20" s="1"/>
  <c r="C225" i="20"/>
  <c r="F225" i="20" s="1"/>
  <c r="F208" i="20"/>
  <c r="G208" i="20" s="1"/>
  <c r="H208" i="20" s="1"/>
  <c r="C220" i="20"/>
  <c r="F220" i="20" s="1"/>
  <c r="E218" i="20"/>
  <c r="G218" i="20" s="1"/>
  <c r="H218" i="20" s="1"/>
  <c r="D218" i="20"/>
  <c r="I229" i="20" s="1"/>
  <c r="I205" i="20"/>
  <c r="E209" i="20"/>
  <c r="D209" i="20"/>
  <c r="B221" i="20"/>
  <c r="E222" i="20"/>
  <c r="G222" i="20" s="1"/>
  <c r="H222" i="20" s="1"/>
  <c r="D222" i="20"/>
  <c r="F209" i="20"/>
  <c r="G209" i="20" s="1"/>
  <c r="H209" i="20" s="1"/>
  <c r="C221" i="20"/>
  <c r="F221" i="20" s="1"/>
  <c r="I204" i="12"/>
  <c r="E217" i="12"/>
  <c r="D217" i="12"/>
  <c r="I228" i="12" s="1"/>
  <c r="B229" i="12"/>
  <c r="G227" i="12"/>
  <c r="H227" i="12" s="1"/>
  <c r="F217" i="12"/>
  <c r="G217" i="12" s="1"/>
  <c r="H217" i="12" s="1"/>
  <c r="C229" i="12"/>
  <c r="F229" i="12" s="1"/>
  <c r="G208" i="12"/>
  <c r="H208" i="12" s="1"/>
  <c r="F209" i="12"/>
  <c r="C221" i="12"/>
  <c r="F221" i="12" s="1"/>
  <c r="D222" i="12"/>
  <c r="E222" i="12"/>
  <c r="G222" i="12" s="1"/>
  <c r="H222" i="12" s="1"/>
  <c r="E219" i="12"/>
  <c r="D219" i="12"/>
  <c r="G219" i="12"/>
  <c r="H219" i="12" s="1"/>
  <c r="G207" i="12"/>
  <c r="H207" i="12" s="1"/>
  <c r="E209" i="12"/>
  <c r="D209" i="12"/>
  <c r="I220" i="12" s="1"/>
  <c r="B221" i="12"/>
  <c r="C226" i="12"/>
  <c r="F226" i="12" s="1"/>
  <c r="F214" i="12"/>
  <c r="G214" i="12" s="1"/>
  <c r="H214" i="12" s="1"/>
  <c r="I206" i="12"/>
  <c r="B226" i="12"/>
  <c r="E214" i="12"/>
  <c r="D214" i="12"/>
  <c r="I225" i="12" s="1"/>
  <c r="E213" i="12"/>
  <c r="D213" i="12"/>
  <c r="I224" i="12" s="1"/>
  <c r="B225" i="12"/>
  <c r="G205" i="12"/>
  <c r="H205" i="12" s="1"/>
  <c r="F213" i="12"/>
  <c r="G213" i="12" s="1"/>
  <c r="H213" i="12" s="1"/>
  <c r="C225" i="12"/>
  <c r="F225" i="12" s="1"/>
  <c r="G201" i="12"/>
  <c r="H201" i="12" s="1"/>
  <c r="E208" i="12"/>
  <c r="D208" i="12"/>
  <c r="B220" i="12"/>
  <c r="I202" i="12"/>
  <c r="I207" i="12"/>
  <c r="I203" i="12"/>
  <c r="E212" i="12"/>
  <c r="G212" i="12" s="1"/>
  <c r="H212" i="12" s="1"/>
  <c r="D212" i="12"/>
  <c r="B224" i="12"/>
  <c r="E216" i="12"/>
  <c r="G216" i="12" s="1"/>
  <c r="H216" i="12" s="1"/>
  <c r="D216" i="12"/>
  <c r="I227" i="12" s="1"/>
  <c r="B228" i="12"/>
  <c r="I209" i="11"/>
  <c r="E228" i="11"/>
  <c r="G228" i="11" s="1"/>
  <c r="H228" i="11" s="1"/>
  <c r="D228" i="11"/>
  <c r="E224" i="11"/>
  <c r="D224" i="11"/>
  <c r="F213" i="11"/>
  <c r="G213" i="11" s="1"/>
  <c r="H213" i="11" s="1"/>
  <c r="C225" i="11"/>
  <c r="F225" i="11" s="1"/>
  <c r="E221" i="11"/>
  <c r="G224" i="11"/>
  <c r="H224" i="11" s="1"/>
  <c r="G212" i="11"/>
  <c r="H212" i="11" s="1"/>
  <c r="E207" i="11"/>
  <c r="G207" i="11" s="1"/>
  <c r="H207" i="11" s="1"/>
  <c r="D207" i="11"/>
  <c r="B219" i="11"/>
  <c r="E225" i="11"/>
  <c r="D225" i="11"/>
  <c r="I206" i="11"/>
  <c r="I202" i="11"/>
  <c r="I201" i="11"/>
  <c r="I199" i="11"/>
  <c r="G206" i="11"/>
  <c r="H206" i="11" s="1"/>
  <c r="D213" i="11"/>
  <c r="I224" i="11" s="1"/>
  <c r="I220" i="11"/>
  <c r="G216" i="11"/>
  <c r="H216" i="11" s="1"/>
  <c r="L186" i="18"/>
  <c r="I226" i="11"/>
  <c r="I225" i="11"/>
  <c r="E227" i="11"/>
  <c r="D227" i="11"/>
  <c r="E223" i="11"/>
  <c r="G223" i="11" s="1"/>
  <c r="H223" i="11" s="1"/>
  <c r="D223" i="11"/>
  <c r="E218" i="11"/>
  <c r="G218" i="11" s="1"/>
  <c r="H218" i="11" s="1"/>
  <c r="D218" i="11"/>
  <c r="I229" i="11" s="1"/>
  <c r="G210" i="11"/>
  <c r="H210" i="11" s="1"/>
  <c r="F209" i="11"/>
  <c r="G209" i="11" s="1"/>
  <c r="H209" i="11" s="1"/>
  <c r="C221" i="11"/>
  <c r="F221" i="11" s="1"/>
  <c r="G221" i="11" s="1"/>
  <c r="H221" i="11" s="1"/>
  <c r="I204" i="11"/>
  <c r="I200" i="11"/>
  <c r="E229" i="11"/>
  <c r="I207" i="11"/>
  <c r="G208" i="11"/>
  <c r="H208" i="11" s="1"/>
  <c r="I208" i="11"/>
  <c r="E222" i="11"/>
  <c r="D222" i="11"/>
  <c r="I195" i="11"/>
  <c r="E220" i="11"/>
  <c r="G220" i="11" s="1"/>
  <c r="H220" i="11" s="1"/>
  <c r="D220" i="11"/>
  <c r="I219" i="11"/>
  <c r="G222" i="11"/>
  <c r="H222" i="11" s="1"/>
  <c r="C227" i="11"/>
  <c r="F227" i="11" s="1"/>
  <c r="F215" i="11"/>
  <c r="G215" i="11" s="1"/>
  <c r="H215" i="11" s="1"/>
  <c r="I213" i="11"/>
  <c r="I215" i="11"/>
  <c r="F217" i="11"/>
  <c r="G217" i="11" s="1"/>
  <c r="H217" i="11" s="1"/>
  <c r="C229" i="11"/>
  <c r="F229" i="11" s="1"/>
  <c r="G229" i="11" s="1"/>
  <c r="H229" i="11" s="1"/>
  <c r="I221" i="11"/>
  <c r="B223" i="10"/>
  <c r="D211" i="10"/>
  <c r="E211" i="10"/>
  <c r="E213" i="10"/>
  <c r="D213" i="10"/>
  <c r="B225" i="10"/>
  <c r="E227" i="10"/>
  <c r="G227" i="10" s="1"/>
  <c r="H227" i="10" s="1"/>
  <c r="D227" i="10"/>
  <c r="L182" i="19"/>
  <c r="E209" i="10"/>
  <c r="D209" i="10"/>
  <c r="B221" i="10"/>
  <c r="F209" i="10"/>
  <c r="G209" i="10" s="1"/>
  <c r="H209" i="10" s="1"/>
  <c r="C221" i="10"/>
  <c r="F221" i="10" s="1"/>
  <c r="C223" i="10"/>
  <c r="F223" i="10" s="1"/>
  <c r="F211" i="10"/>
  <c r="G211" i="10" s="1"/>
  <c r="H211" i="10" s="1"/>
  <c r="E217" i="10"/>
  <c r="D217" i="10"/>
  <c r="I228" i="10" s="1"/>
  <c r="B229" i="10"/>
  <c r="G218" i="10"/>
  <c r="H218" i="10" s="1"/>
  <c r="I199" i="10"/>
  <c r="B219" i="10"/>
  <c r="E207" i="10"/>
  <c r="G207" i="10" s="1"/>
  <c r="H207" i="10" s="1"/>
  <c r="D207" i="10"/>
  <c r="I210" i="10" s="1"/>
  <c r="E218" i="10"/>
  <c r="D218" i="10"/>
  <c r="I229" i="10" s="1"/>
  <c r="I206" i="10"/>
  <c r="F213" i="10"/>
  <c r="C225" i="10"/>
  <c r="F225" i="10" s="1"/>
  <c r="I202" i="10"/>
  <c r="I203" i="10"/>
  <c r="I204" i="10"/>
  <c r="F210" i="10"/>
  <c r="G210" i="10" s="1"/>
  <c r="H210" i="10" s="1"/>
  <c r="C222" i="10"/>
  <c r="D210" i="10"/>
  <c r="I205" i="10"/>
  <c r="G205" i="10"/>
  <c r="H205" i="10" s="1"/>
  <c r="F217" i="10"/>
  <c r="C229" i="10"/>
  <c r="F229" i="10" s="1"/>
  <c r="G206" i="10"/>
  <c r="H206" i="10" s="1"/>
  <c r="I201" i="10"/>
  <c r="E223" i="8"/>
  <c r="G223" i="8" s="1"/>
  <c r="H223" i="8" s="1"/>
  <c r="D223" i="8"/>
  <c r="E209" i="8"/>
  <c r="D209" i="8"/>
  <c r="B221" i="8"/>
  <c r="I200" i="8"/>
  <c r="E212" i="8"/>
  <c r="G212" i="8" s="1"/>
  <c r="H212" i="8" s="1"/>
  <c r="D212" i="8"/>
  <c r="B224" i="8"/>
  <c r="F208" i="8"/>
  <c r="C220" i="8"/>
  <c r="F220" i="8" s="1"/>
  <c r="G209" i="8"/>
  <c r="H209" i="8" s="1"/>
  <c r="G196" i="8"/>
  <c r="H196" i="8" s="1"/>
  <c r="E213" i="8"/>
  <c r="D213" i="8"/>
  <c r="I224" i="8" s="1"/>
  <c r="B225" i="8"/>
  <c r="I198" i="8"/>
  <c r="I201" i="8"/>
  <c r="I205" i="8"/>
  <c r="I204" i="8"/>
  <c r="E222" i="8"/>
  <c r="G222" i="8" s="1"/>
  <c r="H222" i="8" s="1"/>
  <c r="D222" i="8"/>
  <c r="E217" i="8"/>
  <c r="G217" i="8" s="1"/>
  <c r="H217" i="8" s="1"/>
  <c r="D217" i="8"/>
  <c r="B229" i="8"/>
  <c r="E218" i="8"/>
  <c r="D218" i="8"/>
  <c r="I229" i="8" s="1"/>
  <c r="I195" i="8"/>
  <c r="F216" i="8"/>
  <c r="C228" i="8"/>
  <c r="F228" i="8" s="1"/>
  <c r="I197" i="8"/>
  <c r="G204" i="8"/>
  <c r="H204" i="8" s="1"/>
  <c r="G218" i="8"/>
  <c r="H218" i="8" s="1"/>
  <c r="G206" i="8"/>
  <c r="H206" i="8" s="1"/>
  <c r="I199" i="8"/>
  <c r="E208" i="8"/>
  <c r="D208" i="8"/>
  <c r="B220" i="8"/>
  <c r="F226" i="8"/>
  <c r="G226" i="8" s="1"/>
  <c r="H226" i="8" s="1"/>
  <c r="D226" i="8"/>
  <c r="I203" i="8"/>
  <c r="I196" i="8"/>
  <c r="I202" i="8"/>
  <c r="G213" i="8"/>
  <c r="H213" i="8" s="1"/>
  <c r="E207" i="8"/>
  <c r="G207" i="8" s="1"/>
  <c r="H207" i="8" s="1"/>
  <c r="D207" i="8"/>
  <c r="I211" i="8" s="1"/>
  <c r="B219" i="8"/>
  <c r="E216" i="8"/>
  <c r="D216" i="8"/>
  <c r="B228" i="8"/>
  <c r="E213" i="9"/>
  <c r="D213" i="9"/>
  <c r="B225" i="9"/>
  <c r="I196" i="9"/>
  <c r="E209" i="9"/>
  <c r="D209" i="9"/>
  <c r="B221" i="9"/>
  <c r="G211" i="9"/>
  <c r="H211" i="9" s="1"/>
  <c r="I205" i="9"/>
  <c r="I197" i="9"/>
  <c r="F209" i="9"/>
  <c r="G209" i="9" s="1"/>
  <c r="H209" i="9" s="1"/>
  <c r="C221" i="9"/>
  <c r="F221" i="9" s="1"/>
  <c r="I194" i="9"/>
  <c r="I198" i="9"/>
  <c r="L185" i="18"/>
  <c r="G197" i="9"/>
  <c r="H197" i="9" s="1"/>
  <c r="E217" i="9"/>
  <c r="D217" i="9"/>
  <c r="B229" i="9"/>
  <c r="G208" i="9"/>
  <c r="H208" i="9" s="1"/>
  <c r="F217" i="9"/>
  <c r="G217" i="9" s="1"/>
  <c r="H217" i="9" s="1"/>
  <c r="C229" i="9"/>
  <c r="F229" i="9" s="1"/>
  <c r="I202" i="9"/>
  <c r="I197" i="16"/>
  <c r="L197" i="18" s="1"/>
  <c r="D206" i="9"/>
  <c r="E206" i="9"/>
  <c r="B218" i="9"/>
  <c r="I198" i="16"/>
  <c r="L198" i="19" s="1"/>
  <c r="E215" i="9"/>
  <c r="G215" i="9" s="1"/>
  <c r="H215" i="9" s="1"/>
  <c r="D215" i="9"/>
  <c r="B227" i="9"/>
  <c r="I200" i="9"/>
  <c r="I195" i="9"/>
  <c r="G210" i="9"/>
  <c r="H210" i="9" s="1"/>
  <c r="I199" i="9"/>
  <c r="E222" i="9"/>
  <c r="G222" i="9" s="1"/>
  <c r="H222" i="9" s="1"/>
  <c r="D222" i="9"/>
  <c r="I207" i="9"/>
  <c r="F206" i="9"/>
  <c r="G206" i="9" s="1"/>
  <c r="H206" i="9" s="1"/>
  <c r="C218" i="9"/>
  <c r="F218" i="9" s="1"/>
  <c r="E208" i="9"/>
  <c r="D208" i="9"/>
  <c r="B220" i="9"/>
  <c r="G194" i="9"/>
  <c r="H194" i="9" s="1"/>
  <c r="E211" i="9"/>
  <c r="B223" i="9"/>
  <c r="D211" i="9"/>
  <c r="D226" i="9"/>
  <c r="E226" i="9"/>
  <c r="G226" i="9" s="1"/>
  <c r="H226" i="9" s="1"/>
  <c r="F213" i="9"/>
  <c r="G213" i="9" s="1"/>
  <c r="H213" i="9" s="1"/>
  <c r="C225" i="9"/>
  <c r="F225" i="9" s="1"/>
  <c r="E207" i="9"/>
  <c r="G207" i="9" s="1"/>
  <c r="H207" i="9" s="1"/>
  <c r="D207" i="9"/>
  <c r="B219" i="9"/>
  <c r="E212" i="9"/>
  <c r="G212" i="9" s="1"/>
  <c r="H212" i="9" s="1"/>
  <c r="D212" i="9"/>
  <c r="B224" i="9"/>
  <c r="G201" i="9"/>
  <c r="H201" i="9" s="1"/>
  <c r="E216" i="9"/>
  <c r="G216" i="9" s="1"/>
  <c r="H216" i="9" s="1"/>
  <c r="D216" i="9"/>
  <c r="B228" i="9"/>
  <c r="I204" i="9"/>
  <c r="I201" i="9"/>
  <c r="E224" i="16"/>
  <c r="G224" i="16" s="1"/>
  <c r="H224" i="16" s="1"/>
  <c r="D224" i="16"/>
  <c r="E211" i="16"/>
  <c r="B223" i="16"/>
  <c r="D211" i="16"/>
  <c r="I204" i="16"/>
  <c r="L192" i="18"/>
  <c r="L192" i="19"/>
  <c r="I202" i="16"/>
  <c r="L189" i="18"/>
  <c r="L189" i="19"/>
  <c r="L183" i="19"/>
  <c r="L183" i="18"/>
  <c r="L190" i="18"/>
  <c r="L190" i="19"/>
  <c r="F209" i="16"/>
  <c r="G209" i="16" s="1"/>
  <c r="H209" i="16" s="1"/>
  <c r="C221" i="16"/>
  <c r="F221" i="16" s="1"/>
  <c r="G212" i="16"/>
  <c r="H212" i="16" s="1"/>
  <c r="L187" i="19"/>
  <c r="L187" i="18"/>
  <c r="I205" i="16"/>
  <c r="L184" i="18"/>
  <c r="L184" i="19"/>
  <c r="L188" i="19"/>
  <c r="L188" i="18"/>
  <c r="I199" i="16"/>
  <c r="I201" i="16"/>
  <c r="E209" i="16"/>
  <c r="D209" i="16"/>
  <c r="B221" i="16"/>
  <c r="F213" i="16"/>
  <c r="C225" i="16"/>
  <c r="F225" i="16" s="1"/>
  <c r="I196" i="16"/>
  <c r="E213" i="16"/>
  <c r="D213" i="16"/>
  <c r="I224" i="16" s="1"/>
  <c r="B225" i="16"/>
  <c r="B218" i="16"/>
  <c r="E206" i="16"/>
  <c r="G206" i="16" s="1"/>
  <c r="H206" i="16" s="1"/>
  <c r="D206" i="16"/>
  <c r="G201" i="16"/>
  <c r="H201" i="16" s="1"/>
  <c r="G226" i="16"/>
  <c r="H226" i="16" s="1"/>
  <c r="L191" i="18"/>
  <c r="L191" i="19"/>
  <c r="L194" i="18"/>
  <c r="L194" i="19"/>
  <c r="L193" i="18"/>
  <c r="L193" i="19"/>
  <c r="E220" i="16"/>
  <c r="G220" i="16" s="1"/>
  <c r="H220" i="16" s="1"/>
  <c r="D220" i="16"/>
  <c r="C219" i="16"/>
  <c r="F219" i="16" s="1"/>
  <c r="F207" i="16"/>
  <c r="G195" i="16"/>
  <c r="H195" i="16" s="1"/>
  <c r="E226" i="16"/>
  <c r="D226" i="16"/>
  <c r="I200" i="16"/>
  <c r="G199" i="16"/>
  <c r="H199" i="16" s="1"/>
  <c r="L225" i="19"/>
  <c r="L225" i="18"/>
  <c r="E217" i="16"/>
  <c r="D217" i="16"/>
  <c r="I228" i="16" s="1"/>
  <c r="B229" i="16"/>
  <c r="C223" i="16"/>
  <c r="F223" i="16" s="1"/>
  <c r="F211" i="16"/>
  <c r="G211" i="16" s="1"/>
  <c r="H211" i="16" s="1"/>
  <c r="E207" i="16"/>
  <c r="B219" i="16"/>
  <c r="D207" i="16"/>
  <c r="I203" i="16"/>
  <c r="F217" i="16"/>
  <c r="G217" i="16" s="1"/>
  <c r="H217" i="16" s="1"/>
  <c r="C229" i="16"/>
  <c r="F229" i="16" s="1"/>
  <c r="G205" i="16"/>
  <c r="H205" i="16" s="1"/>
  <c r="I195" i="16"/>
  <c r="F207" i="15"/>
  <c r="G207" i="15" s="1"/>
  <c r="H207" i="15" s="1"/>
  <c r="C219" i="15"/>
  <c r="F219" i="15" s="1"/>
  <c r="F217" i="15"/>
  <c r="G217" i="15" s="1"/>
  <c r="H217" i="15" s="1"/>
  <c r="C229" i="15"/>
  <c r="F229" i="15" s="1"/>
  <c r="E228" i="15"/>
  <c r="G228" i="15" s="1"/>
  <c r="H228" i="15" s="1"/>
  <c r="D228" i="15"/>
  <c r="I197" i="15"/>
  <c r="E206" i="15"/>
  <c r="D206" i="15"/>
  <c r="B218" i="15"/>
  <c r="G215" i="15"/>
  <c r="H215" i="15" s="1"/>
  <c r="G216" i="15"/>
  <c r="H216" i="15" s="1"/>
  <c r="F212" i="15"/>
  <c r="G212" i="15" s="1"/>
  <c r="H212" i="15" s="1"/>
  <c r="C224" i="15"/>
  <c r="F224" i="15" s="1"/>
  <c r="I206" i="15"/>
  <c r="E209" i="15"/>
  <c r="D209" i="15"/>
  <c r="B221" i="15"/>
  <c r="E223" i="15"/>
  <c r="G223" i="15" s="1"/>
  <c r="H223" i="15" s="1"/>
  <c r="D223" i="15"/>
  <c r="G227" i="15"/>
  <c r="H227" i="15" s="1"/>
  <c r="E220" i="15"/>
  <c r="G220" i="15" s="1"/>
  <c r="H220" i="15" s="1"/>
  <c r="D220" i="15"/>
  <c r="E224" i="15"/>
  <c r="D224" i="15"/>
  <c r="D207" i="15"/>
  <c r="B222" i="15"/>
  <c r="E210" i="15"/>
  <c r="D210" i="15"/>
  <c r="E219" i="15"/>
  <c r="D219" i="15"/>
  <c r="E227" i="15"/>
  <c r="D227" i="15"/>
  <c r="I205" i="15"/>
  <c r="I204" i="15"/>
  <c r="I201" i="15"/>
  <c r="I202" i="15"/>
  <c r="I198" i="15"/>
  <c r="I203" i="15"/>
  <c r="I199" i="15"/>
  <c r="I195" i="15"/>
  <c r="F206" i="15"/>
  <c r="G206" i="15" s="1"/>
  <c r="H206" i="15" s="1"/>
  <c r="C218" i="15"/>
  <c r="F218" i="15" s="1"/>
  <c r="E229" i="15"/>
  <c r="D229" i="15"/>
  <c r="G211" i="15"/>
  <c r="H211" i="15" s="1"/>
  <c r="F209" i="15"/>
  <c r="G209" i="15" s="1"/>
  <c r="H209" i="15" s="1"/>
  <c r="C221" i="15"/>
  <c r="F221" i="15" s="1"/>
  <c r="I200" i="15"/>
  <c r="G194" i="15"/>
  <c r="H194" i="15" s="1"/>
  <c r="I196" i="15"/>
  <c r="C222" i="15"/>
  <c r="F222" i="15" s="1"/>
  <c r="F210" i="15"/>
  <c r="F213" i="15"/>
  <c r="G213" i="15" s="1"/>
  <c r="H213" i="15" s="1"/>
  <c r="C225" i="15"/>
  <c r="D213" i="15"/>
  <c r="G197" i="15"/>
  <c r="H197" i="15" s="1"/>
  <c r="D212" i="15"/>
  <c r="I214" i="7"/>
  <c r="E213" i="7"/>
  <c r="B225" i="7"/>
  <c r="D213" i="7"/>
  <c r="I224" i="7" s="1"/>
  <c r="D208" i="7"/>
  <c r="B220" i="7"/>
  <c r="E208" i="7"/>
  <c r="F206" i="7"/>
  <c r="G206" i="7" s="1"/>
  <c r="H206" i="7" s="1"/>
  <c r="C218" i="7"/>
  <c r="F218" i="7" s="1"/>
  <c r="G218" i="7" s="1"/>
  <c r="H218" i="7" s="1"/>
  <c r="I201" i="7"/>
  <c r="F227" i="7"/>
  <c r="G227" i="7" s="1"/>
  <c r="H227" i="7" s="1"/>
  <c r="D227" i="7"/>
  <c r="I196" i="7"/>
  <c r="I200" i="7"/>
  <c r="F222" i="7"/>
  <c r="G222" i="7" s="1"/>
  <c r="H222" i="7" s="1"/>
  <c r="D222" i="7"/>
  <c r="I203" i="7"/>
  <c r="E217" i="7"/>
  <c r="G217" i="7" s="1"/>
  <c r="H217" i="7" s="1"/>
  <c r="B229" i="7"/>
  <c r="D217" i="7"/>
  <c r="I228" i="7" s="1"/>
  <c r="I223" i="7"/>
  <c r="G201" i="7"/>
  <c r="H201" i="7" s="1"/>
  <c r="I211" i="7"/>
  <c r="E226" i="7"/>
  <c r="D226" i="7"/>
  <c r="E218" i="7"/>
  <c r="D218" i="7"/>
  <c r="I229" i="7" s="1"/>
  <c r="G226" i="7"/>
  <c r="H226" i="7" s="1"/>
  <c r="I202" i="7"/>
  <c r="I198" i="7"/>
  <c r="G214" i="7"/>
  <c r="H214" i="7" s="1"/>
  <c r="E223" i="7"/>
  <c r="G223" i="7" s="1"/>
  <c r="H223" i="7" s="1"/>
  <c r="D223" i="7"/>
  <c r="F219" i="7"/>
  <c r="G219" i="7" s="1"/>
  <c r="H219" i="7" s="1"/>
  <c r="D219" i="7"/>
  <c r="D224" i="7"/>
  <c r="E224" i="7"/>
  <c r="I199" i="7"/>
  <c r="F213" i="7"/>
  <c r="C225" i="7"/>
  <c r="F225" i="7" s="1"/>
  <c r="D206" i="7"/>
  <c r="I217" i="7" s="1"/>
  <c r="I207" i="7"/>
  <c r="G224" i="7"/>
  <c r="H224" i="7" s="1"/>
  <c r="D216" i="7"/>
  <c r="I227" i="7" s="1"/>
  <c r="B228" i="7"/>
  <c r="E216" i="7"/>
  <c r="G216" i="7" s="1"/>
  <c r="H216" i="7" s="1"/>
  <c r="G208" i="7"/>
  <c r="H208" i="7" s="1"/>
  <c r="I215" i="7"/>
  <c r="I205" i="7"/>
  <c r="I205" i="6"/>
  <c r="I196" i="6"/>
  <c r="F209" i="6"/>
  <c r="C221" i="6"/>
  <c r="F221" i="6" s="1"/>
  <c r="E215" i="6"/>
  <c r="G215" i="6" s="1"/>
  <c r="H215" i="6" s="1"/>
  <c r="D215" i="6"/>
  <c r="I226" i="6" s="1"/>
  <c r="B227" i="6"/>
  <c r="I198" i="6"/>
  <c r="G214" i="6"/>
  <c r="H214" i="6" s="1"/>
  <c r="E216" i="6"/>
  <c r="D216" i="6"/>
  <c r="I227" i="6" s="1"/>
  <c r="B228" i="6"/>
  <c r="I201" i="6"/>
  <c r="I202" i="6"/>
  <c r="F213" i="6"/>
  <c r="C225" i="6"/>
  <c r="F225" i="6" s="1"/>
  <c r="F216" i="6"/>
  <c r="G216" i="6" s="1"/>
  <c r="H216" i="6" s="1"/>
  <c r="C228" i="6"/>
  <c r="F228" i="6" s="1"/>
  <c r="I200" i="6"/>
  <c r="G201" i="6"/>
  <c r="H201" i="6" s="1"/>
  <c r="E211" i="6"/>
  <c r="G211" i="6" s="1"/>
  <c r="H211" i="6" s="1"/>
  <c r="D211" i="6"/>
  <c r="B223" i="6"/>
  <c r="G204" i="6"/>
  <c r="H204" i="6" s="1"/>
  <c r="E213" i="6"/>
  <c r="D213" i="6"/>
  <c r="I224" i="6" s="1"/>
  <c r="B225" i="6"/>
  <c r="I203" i="6"/>
  <c r="E208" i="6"/>
  <c r="D208" i="6"/>
  <c r="I217" i="6" s="1"/>
  <c r="B220" i="6"/>
  <c r="F212" i="6"/>
  <c r="C224" i="6"/>
  <c r="F224" i="6" s="1"/>
  <c r="I197" i="6"/>
  <c r="E226" i="6"/>
  <c r="D226" i="6"/>
  <c r="F217" i="6"/>
  <c r="C229" i="6"/>
  <c r="F229" i="6" s="1"/>
  <c r="E212" i="6"/>
  <c r="D212" i="6"/>
  <c r="B224" i="6"/>
  <c r="I204" i="6"/>
  <c r="G226" i="6"/>
  <c r="H226" i="6" s="1"/>
  <c r="I199" i="6"/>
  <c r="E209" i="6"/>
  <c r="D209" i="6"/>
  <c r="B221" i="6"/>
  <c r="F208" i="6"/>
  <c r="C220" i="6"/>
  <c r="F220" i="6" s="1"/>
  <c r="E218" i="6"/>
  <c r="G218" i="6" s="1"/>
  <c r="H218" i="6" s="1"/>
  <c r="D218" i="6"/>
  <c r="I229" i="6" s="1"/>
  <c r="I211" i="6"/>
  <c r="I195" i="19"/>
  <c r="E217" i="6"/>
  <c r="D217" i="6"/>
  <c r="I228" i="6" s="1"/>
  <c r="B229" i="6"/>
  <c r="E207" i="6"/>
  <c r="G207" i="6" s="1"/>
  <c r="H207" i="6" s="1"/>
  <c r="D207" i="6"/>
  <c r="I207" i="6" s="1"/>
  <c r="B219" i="6"/>
  <c r="I195" i="6"/>
  <c r="D212" i="5"/>
  <c r="E212" i="5"/>
  <c r="B224" i="5"/>
  <c r="I207" i="5"/>
  <c r="I206" i="5"/>
  <c r="I205" i="5"/>
  <c r="I201" i="5"/>
  <c r="I197" i="5"/>
  <c r="I198" i="5"/>
  <c r="F208" i="5"/>
  <c r="G208" i="5" s="1"/>
  <c r="H208" i="5" s="1"/>
  <c r="C220" i="5"/>
  <c r="D208" i="5"/>
  <c r="E217" i="5"/>
  <c r="G217" i="5" s="1"/>
  <c r="H217" i="5" s="1"/>
  <c r="D217" i="5"/>
  <c r="I228" i="5" s="1"/>
  <c r="B229" i="5"/>
  <c r="I196" i="5"/>
  <c r="I208" i="5"/>
  <c r="K189" i="18"/>
  <c r="G218" i="5"/>
  <c r="H218" i="5" s="1"/>
  <c r="E209" i="5"/>
  <c r="G209" i="5" s="1"/>
  <c r="H209" i="5" s="1"/>
  <c r="D209" i="5"/>
  <c r="I220" i="5" s="1"/>
  <c r="B221" i="5"/>
  <c r="E225" i="5"/>
  <c r="G225" i="5" s="1"/>
  <c r="H225" i="5" s="1"/>
  <c r="D225" i="5"/>
  <c r="G222" i="5"/>
  <c r="H222" i="5" s="1"/>
  <c r="F215" i="5"/>
  <c r="G215" i="5" s="1"/>
  <c r="H215" i="5" s="1"/>
  <c r="C227" i="5"/>
  <c r="D215" i="5"/>
  <c r="I199" i="14"/>
  <c r="D222" i="5"/>
  <c r="I209" i="5"/>
  <c r="I200" i="5"/>
  <c r="F216" i="5"/>
  <c r="G216" i="5" s="1"/>
  <c r="H216" i="5" s="1"/>
  <c r="C228" i="5"/>
  <c r="D216" i="5"/>
  <c r="I202" i="5"/>
  <c r="I197" i="23"/>
  <c r="E226" i="5"/>
  <c r="D226" i="5"/>
  <c r="I204" i="5"/>
  <c r="D223" i="5"/>
  <c r="E223" i="5"/>
  <c r="G223" i="5" s="1"/>
  <c r="H223" i="5" s="1"/>
  <c r="G226" i="5"/>
  <c r="H226" i="5" s="1"/>
  <c r="I222" i="5"/>
  <c r="F212" i="5"/>
  <c r="G212" i="5" s="1"/>
  <c r="H212" i="5" s="1"/>
  <c r="C224" i="5"/>
  <c r="F224" i="5" s="1"/>
  <c r="G214" i="5"/>
  <c r="H214" i="5" s="1"/>
  <c r="G200" i="5"/>
  <c r="H200" i="5" s="1"/>
  <c r="I197" i="14"/>
  <c r="I206" i="4"/>
  <c r="I205" i="25"/>
  <c r="I201" i="4"/>
  <c r="F213" i="4"/>
  <c r="C225" i="4"/>
  <c r="F225" i="4" s="1"/>
  <c r="I199" i="4"/>
  <c r="I198" i="4"/>
  <c r="I203" i="13"/>
  <c r="K203" i="19" s="1"/>
  <c r="G201" i="4"/>
  <c r="H201" i="4" s="1"/>
  <c r="F217" i="4"/>
  <c r="G217" i="4" s="1"/>
  <c r="H217" i="4" s="1"/>
  <c r="C229" i="4"/>
  <c r="F229" i="4" s="1"/>
  <c r="I196" i="14"/>
  <c r="I200" i="4"/>
  <c r="I203" i="23"/>
  <c r="D213" i="4"/>
  <c r="B225" i="4"/>
  <c r="E213" i="4"/>
  <c r="E222" i="4"/>
  <c r="D222" i="4"/>
  <c r="I197" i="4"/>
  <c r="D229" i="4"/>
  <c r="E229" i="4"/>
  <c r="D209" i="4"/>
  <c r="B221" i="4"/>
  <c r="E209" i="4"/>
  <c r="D217" i="4"/>
  <c r="I228" i="4" s="1"/>
  <c r="E215" i="4"/>
  <c r="D215" i="4"/>
  <c r="B227" i="4"/>
  <c r="C222" i="4"/>
  <c r="F222" i="4" s="1"/>
  <c r="F210" i="4"/>
  <c r="G210" i="4" s="1"/>
  <c r="H210" i="4" s="1"/>
  <c r="F209" i="4"/>
  <c r="G209" i="4" s="1"/>
  <c r="H209" i="4" s="1"/>
  <c r="C221" i="4"/>
  <c r="F221" i="4" s="1"/>
  <c r="I196" i="4"/>
  <c r="E219" i="4"/>
  <c r="G219" i="4" s="1"/>
  <c r="H219" i="4" s="1"/>
  <c r="D219" i="4"/>
  <c r="D208" i="4"/>
  <c r="I208" i="4" s="1"/>
  <c r="B220" i="4"/>
  <c r="E208" i="4"/>
  <c r="G208" i="4" s="1"/>
  <c r="H208" i="4" s="1"/>
  <c r="G215" i="4"/>
  <c r="H215" i="4" s="1"/>
  <c r="E226" i="4"/>
  <c r="G226" i="4" s="1"/>
  <c r="H226" i="4" s="1"/>
  <c r="D226" i="4"/>
  <c r="D212" i="4"/>
  <c r="B224" i="4"/>
  <c r="E212" i="4"/>
  <c r="G212" i="4" s="1"/>
  <c r="H212" i="4" s="1"/>
  <c r="I207" i="4"/>
  <c r="I205" i="4"/>
  <c r="D216" i="4"/>
  <c r="I227" i="4" s="1"/>
  <c r="B228" i="4"/>
  <c r="E216" i="4"/>
  <c r="G216" i="4" s="1"/>
  <c r="H216" i="4" s="1"/>
  <c r="G197" i="4"/>
  <c r="H197" i="4" s="1"/>
  <c r="I223" i="23"/>
  <c r="I199" i="19"/>
  <c r="G211" i="3"/>
  <c r="H211" i="3" s="1"/>
  <c r="E213" i="3"/>
  <c r="G213" i="3" s="1"/>
  <c r="H213" i="3" s="1"/>
  <c r="B225" i="3"/>
  <c r="D213" i="3"/>
  <c r="I201" i="13"/>
  <c r="I209" i="3"/>
  <c r="E228" i="3"/>
  <c r="I204" i="13"/>
  <c r="K204" i="18" s="1"/>
  <c r="K190" i="18"/>
  <c r="E217" i="3"/>
  <c r="G217" i="3" s="1"/>
  <c r="H217" i="3" s="1"/>
  <c r="D217" i="3"/>
  <c r="I228" i="3" s="1"/>
  <c r="B229" i="3"/>
  <c r="C227" i="3"/>
  <c r="F215" i="3"/>
  <c r="G215" i="3" s="1"/>
  <c r="H215" i="3" s="1"/>
  <c r="D215" i="3"/>
  <c r="I207" i="22"/>
  <c r="D219" i="3"/>
  <c r="E219" i="3"/>
  <c r="C228" i="3"/>
  <c r="F228" i="3" s="1"/>
  <c r="G228" i="3" s="1"/>
  <c r="H228" i="3" s="1"/>
  <c r="F216" i="3"/>
  <c r="G216" i="3" s="1"/>
  <c r="H216" i="3" s="1"/>
  <c r="I203" i="3"/>
  <c r="I210" i="3"/>
  <c r="I205" i="3"/>
  <c r="E220" i="3"/>
  <c r="G220" i="3" s="1"/>
  <c r="H220" i="3" s="1"/>
  <c r="D220" i="3"/>
  <c r="I206" i="3"/>
  <c r="G219" i="3"/>
  <c r="H219" i="3" s="1"/>
  <c r="I204" i="3"/>
  <c r="E218" i="3"/>
  <c r="G218" i="3" s="1"/>
  <c r="H218" i="3" s="1"/>
  <c r="D218" i="3"/>
  <c r="I229" i="3" s="1"/>
  <c r="I196" i="23"/>
  <c r="I211" i="3"/>
  <c r="I208" i="3"/>
  <c r="E224" i="3"/>
  <c r="F212" i="3"/>
  <c r="G212" i="3" s="1"/>
  <c r="H212" i="3" s="1"/>
  <c r="C224" i="3"/>
  <c r="F224" i="3" s="1"/>
  <c r="G224" i="3" s="1"/>
  <c r="H224" i="3" s="1"/>
  <c r="D223" i="3"/>
  <c r="E223" i="3"/>
  <c r="G223" i="3" s="1"/>
  <c r="H223" i="3" s="1"/>
  <c r="D212" i="3"/>
  <c r="I201" i="3"/>
  <c r="F217" i="25"/>
  <c r="G217" i="25" s="1"/>
  <c r="H217" i="25" s="1"/>
  <c r="C229" i="25"/>
  <c r="F229" i="25" s="1"/>
  <c r="D227" i="25"/>
  <c r="E227" i="25"/>
  <c r="C226" i="25"/>
  <c r="F226" i="25" s="1"/>
  <c r="F214" i="25"/>
  <c r="G214" i="25" s="1"/>
  <c r="H214" i="25" s="1"/>
  <c r="D214" i="25"/>
  <c r="I225" i="25" s="1"/>
  <c r="I212" i="25"/>
  <c r="I208" i="25"/>
  <c r="I210" i="25"/>
  <c r="I211" i="25"/>
  <c r="I201" i="25"/>
  <c r="G227" i="25"/>
  <c r="H227" i="25" s="1"/>
  <c r="F213" i="25"/>
  <c r="C225" i="25"/>
  <c r="F225" i="25" s="1"/>
  <c r="I203" i="25"/>
  <c r="I209" i="25"/>
  <c r="D226" i="25"/>
  <c r="E226" i="25"/>
  <c r="G224" i="25"/>
  <c r="H224" i="25" s="1"/>
  <c r="E213" i="25"/>
  <c r="B225" i="25"/>
  <c r="D213" i="25"/>
  <c r="I206" i="25"/>
  <c r="G216" i="25"/>
  <c r="H216" i="25" s="1"/>
  <c r="I204" i="25"/>
  <c r="E219" i="25"/>
  <c r="G219" i="25" s="1"/>
  <c r="H219" i="25" s="1"/>
  <c r="D219" i="25"/>
  <c r="D228" i="25"/>
  <c r="E228" i="25"/>
  <c r="G228" i="25" s="1"/>
  <c r="H228" i="25" s="1"/>
  <c r="G215" i="25"/>
  <c r="H215" i="25" s="1"/>
  <c r="F222" i="25"/>
  <c r="G222" i="25" s="1"/>
  <c r="H222" i="25" s="1"/>
  <c r="D222" i="25"/>
  <c r="G201" i="25"/>
  <c r="H201" i="25" s="1"/>
  <c r="G207" i="25"/>
  <c r="H207" i="25" s="1"/>
  <c r="I207" i="25"/>
  <c r="E217" i="25"/>
  <c r="B229" i="25"/>
  <c r="D217" i="25"/>
  <c r="I228" i="25" s="1"/>
  <c r="E229" i="14"/>
  <c r="G229" i="14" s="1"/>
  <c r="H229" i="14" s="1"/>
  <c r="D229" i="14"/>
  <c r="E225" i="14"/>
  <c r="G225" i="14" s="1"/>
  <c r="H225" i="14" s="1"/>
  <c r="D225" i="14"/>
  <c r="E207" i="14"/>
  <c r="G207" i="14" s="1"/>
  <c r="H207" i="14" s="1"/>
  <c r="D207" i="14"/>
  <c r="B219" i="14"/>
  <c r="E212" i="14"/>
  <c r="D212" i="14"/>
  <c r="I223" i="14" s="1"/>
  <c r="B224" i="14"/>
  <c r="D222" i="14"/>
  <c r="E222" i="14"/>
  <c r="I206" i="14"/>
  <c r="I204" i="14"/>
  <c r="I205" i="14"/>
  <c r="I200" i="14"/>
  <c r="I195" i="14"/>
  <c r="D218" i="14"/>
  <c r="I229" i="14" s="1"/>
  <c r="G204" i="14"/>
  <c r="H204" i="14" s="1"/>
  <c r="E221" i="14"/>
  <c r="G221" i="14" s="1"/>
  <c r="H221" i="14" s="1"/>
  <c r="D221" i="14"/>
  <c r="I201" i="14"/>
  <c r="I202" i="14"/>
  <c r="G212" i="14"/>
  <c r="H212" i="14" s="1"/>
  <c r="F216" i="14"/>
  <c r="G216" i="14" s="1"/>
  <c r="H216" i="14" s="1"/>
  <c r="C228" i="14"/>
  <c r="F228" i="14" s="1"/>
  <c r="F208" i="14"/>
  <c r="G208" i="14" s="1"/>
  <c r="H208" i="14" s="1"/>
  <c r="C220" i="14"/>
  <c r="F220" i="14" s="1"/>
  <c r="E215" i="14"/>
  <c r="G215" i="14" s="1"/>
  <c r="H215" i="14" s="1"/>
  <c r="D215" i="14"/>
  <c r="I226" i="14" s="1"/>
  <c r="B227" i="14"/>
  <c r="E216" i="14"/>
  <c r="D216" i="14"/>
  <c r="I227" i="14" s="1"/>
  <c r="B228" i="14"/>
  <c r="E211" i="14"/>
  <c r="G211" i="14" s="1"/>
  <c r="H211" i="14" s="1"/>
  <c r="D211" i="14"/>
  <c r="B223" i="14"/>
  <c r="E208" i="14"/>
  <c r="D208" i="14"/>
  <c r="B220" i="14"/>
  <c r="I206" i="22"/>
  <c r="G210" i="14"/>
  <c r="H210" i="14" s="1"/>
  <c r="G222" i="14"/>
  <c r="H222" i="14" s="1"/>
  <c r="I198" i="14"/>
  <c r="I203" i="14"/>
  <c r="K191" i="18"/>
  <c r="K191" i="19"/>
  <c r="G196" i="13"/>
  <c r="H196" i="13" s="1"/>
  <c r="I200" i="13"/>
  <c r="K186" i="19"/>
  <c r="K186" i="18"/>
  <c r="E221" i="13"/>
  <c r="I206" i="13"/>
  <c r="K201" i="19"/>
  <c r="K201" i="18"/>
  <c r="F208" i="13"/>
  <c r="C220" i="13"/>
  <c r="F220" i="13" s="1"/>
  <c r="C219" i="13"/>
  <c r="F207" i="13"/>
  <c r="G207" i="13" s="1"/>
  <c r="H207" i="13" s="1"/>
  <c r="D207" i="13"/>
  <c r="K187" i="18"/>
  <c r="K187" i="19"/>
  <c r="F212" i="13"/>
  <c r="C224" i="13"/>
  <c r="F224" i="13" s="1"/>
  <c r="F216" i="13"/>
  <c r="G216" i="13" s="1"/>
  <c r="H216" i="13" s="1"/>
  <c r="C228" i="13"/>
  <c r="F228" i="13" s="1"/>
  <c r="G204" i="13"/>
  <c r="H204" i="13" s="1"/>
  <c r="D211" i="13"/>
  <c r="B223" i="13"/>
  <c r="E211" i="13"/>
  <c r="G211" i="13" s="1"/>
  <c r="H211" i="13" s="1"/>
  <c r="E208" i="13"/>
  <c r="B220" i="13"/>
  <c r="D208" i="13"/>
  <c r="K184" i="19"/>
  <c r="K184" i="18"/>
  <c r="F209" i="13"/>
  <c r="G209" i="13" s="1"/>
  <c r="H209" i="13" s="1"/>
  <c r="C221" i="13"/>
  <c r="F221" i="13" s="1"/>
  <c r="G221" i="13" s="1"/>
  <c r="H221" i="13" s="1"/>
  <c r="K193" i="19"/>
  <c r="K193" i="18"/>
  <c r="K185" i="18"/>
  <c r="K185" i="19"/>
  <c r="D229" i="13"/>
  <c r="I198" i="13"/>
  <c r="D218" i="13"/>
  <c r="I229" i="13" s="1"/>
  <c r="E218" i="13"/>
  <c r="G218" i="13" s="1"/>
  <c r="H218" i="13" s="1"/>
  <c r="F213" i="13"/>
  <c r="G213" i="13" s="1"/>
  <c r="H213" i="13" s="1"/>
  <c r="C225" i="13"/>
  <c r="D213" i="13"/>
  <c r="C226" i="13"/>
  <c r="F226" i="13" s="1"/>
  <c r="F214" i="13"/>
  <c r="G214" i="13" s="1"/>
  <c r="H214" i="13" s="1"/>
  <c r="I202" i="13"/>
  <c r="I197" i="13"/>
  <c r="E212" i="13"/>
  <c r="B224" i="13"/>
  <c r="D212" i="13"/>
  <c r="I196" i="13"/>
  <c r="D215" i="13"/>
  <c r="I226" i="13" s="1"/>
  <c r="E215" i="13"/>
  <c r="G215" i="13" s="1"/>
  <c r="H215" i="13" s="1"/>
  <c r="B227" i="13"/>
  <c r="I205" i="13"/>
  <c r="D214" i="13"/>
  <c r="I225" i="13" s="1"/>
  <c r="B226" i="13"/>
  <c r="E214" i="13"/>
  <c r="K192" i="18"/>
  <c r="K192" i="19"/>
  <c r="I195" i="13"/>
  <c r="I199" i="13"/>
  <c r="K188" i="18"/>
  <c r="K188" i="19"/>
  <c r="E216" i="13"/>
  <c r="B228" i="13"/>
  <c r="D216" i="13"/>
  <c r="I227" i="13" s="1"/>
  <c r="K194" i="19"/>
  <c r="K194" i="18"/>
  <c r="C224" i="19"/>
  <c r="F224" i="19" s="1"/>
  <c r="F212" i="19"/>
  <c r="G212" i="19" s="1"/>
  <c r="H212" i="19" s="1"/>
  <c r="J212" i="19" s="1"/>
  <c r="E214" i="19"/>
  <c r="D214" i="19"/>
  <c r="I225" i="19" s="1"/>
  <c r="B226" i="19"/>
  <c r="B225" i="19"/>
  <c r="E213" i="19"/>
  <c r="G213" i="19" s="1"/>
  <c r="H213" i="19" s="1"/>
  <c r="J213" i="19" s="1"/>
  <c r="D213" i="19"/>
  <c r="I224" i="19" s="1"/>
  <c r="I205" i="19"/>
  <c r="I204" i="19"/>
  <c r="I198" i="19"/>
  <c r="I202" i="19"/>
  <c r="I203" i="19"/>
  <c r="I201" i="19"/>
  <c r="I194" i="19"/>
  <c r="I197" i="19"/>
  <c r="B218" i="19"/>
  <c r="E206" i="19"/>
  <c r="D206" i="19"/>
  <c r="B228" i="19"/>
  <c r="E216" i="19"/>
  <c r="G216" i="19" s="1"/>
  <c r="H216" i="19" s="1"/>
  <c r="J216" i="19" s="1"/>
  <c r="D216" i="19"/>
  <c r="I227" i="19" s="1"/>
  <c r="I199" i="23"/>
  <c r="E227" i="19"/>
  <c r="G227" i="19" s="1"/>
  <c r="H227" i="19" s="1"/>
  <c r="J227" i="19" s="1"/>
  <c r="D227" i="19"/>
  <c r="E224" i="19"/>
  <c r="D224" i="19"/>
  <c r="G198" i="19"/>
  <c r="H198" i="19" s="1"/>
  <c r="J198" i="19" s="1"/>
  <c r="E210" i="19"/>
  <c r="D210" i="19"/>
  <c r="B222" i="19"/>
  <c r="F214" i="19"/>
  <c r="G214" i="19" s="1"/>
  <c r="H214" i="19" s="1"/>
  <c r="J214" i="19" s="1"/>
  <c r="C226" i="19"/>
  <c r="F226" i="19" s="1"/>
  <c r="D212" i="19"/>
  <c r="F210" i="19"/>
  <c r="G210" i="19" s="1"/>
  <c r="H210" i="19" s="1"/>
  <c r="J210" i="19" s="1"/>
  <c r="C222" i="19"/>
  <c r="F222" i="19" s="1"/>
  <c r="G194" i="19"/>
  <c r="H194" i="19" s="1"/>
  <c r="J194" i="19" s="1"/>
  <c r="I200" i="19"/>
  <c r="F206" i="19"/>
  <c r="C218" i="19"/>
  <c r="F218" i="19" s="1"/>
  <c r="E225" i="18"/>
  <c r="G225" i="18" s="1"/>
  <c r="H225" i="18" s="1"/>
  <c r="J225" i="18" s="1"/>
  <c r="D225" i="18"/>
  <c r="C221" i="18"/>
  <c r="F221" i="18" s="1"/>
  <c r="F209" i="18"/>
  <c r="I222" i="18"/>
  <c r="I204" i="18"/>
  <c r="E223" i="18"/>
  <c r="D223" i="18"/>
  <c r="G223" i="18"/>
  <c r="H223" i="18" s="1"/>
  <c r="J223" i="18" s="1"/>
  <c r="I205" i="18"/>
  <c r="E229" i="18"/>
  <c r="G229" i="18" s="1"/>
  <c r="H229" i="18" s="1"/>
  <c r="J229" i="18" s="1"/>
  <c r="D229" i="18"/>
  <c r="I208" i="18"/>
  <c r="F228" i="18"/>
  <c r="G228" i="18" s="1"/>
  <c r="H228" i="18" s="1"/>
  <c r="J228" i="18" s="1"/>
  <c r="D228" i="18"/>
  <c r="I199" i="18"/>
  <c r="I221" i="18"/>
  <c r="I223" i="18"/>
  <c r="G213" i="18"/>
  <c r="H213" i="18" s="1"/>
  <c r="J213" i="18" s="1"/>
  <c r="D219" i="18"/>
  <c r="E219" i="18"/>
  <c r="G219" i="18" s="1"/>
  <c r="H219" i="18" s="1"/>
  <c r="J219" i="18" s="1"/>
  <c r="G217" i="18"/>
  <c r="H217" i="18" s="1"/>
  <c r="J217" i="18" s="1"/>
  <c r="E224" i="18"/>
  <c r="G224" i="18" s="1"/>
  <c r="H224" i="18" s="1"/>
  <c r="J224" i="18" s="1"/>
  <c r="D224" i="18"/>
  <c r="F214" i="18"/>
  <c r="G214" i="18" s="1"/>
  <c r="H214" i="18" s="1"/>
  <c r="J214" i="18" s="1"/>
  <c r="C226" i="18"/>
  <c r="F226" i="18" s="1"/>
  <c r="G212" i="18"/>
  <c r="H212" i="18" s="1"/>
  <c r="J212" i="18" s="1"/>
  <c r="I206" i="18"/>
  <c r="E214" i="18"/>
  <c r="D214" i="18"/>
  <c r="I225" i="18" s="1"/>
  <c r="B226" i="18"/>
  <c r="G202" i="18"/>
  <c r="H202" i="18" s="1"/>
  <c r="J202" i="18" s="1"/>
  <c r="I198" i="18"/>
  <c r="I203" i="18"/>
  <c r="I197" i="18"/>
  <c r="I207" i="18"/>
  <c r="B221" i="18"/>
  <c r="D209" i="18"/>
  <c r="I212" i="18" s="1"/>
  <c r="E209" i="18"/>
  <c r="E220" i="18"/>
  <c r="G220" i="18" s="1"/>
  <c r="H220" i="18" s="1"/>
  <c r="J220" i="18" s="1"/>
  <c r="D220" i="18"/>
  <c r="I201" i="18"/>
  <c r="E218" i="18"/>
  <c r="G218" i="18" s="1"/>
  <c r="H218" i="18" s="1"/>
  <c r="J218" i="18" s="1"/>
  <c r="D218" i="18"/>
  <c r="I229" i="18" s="1"/>
  <c r="I202" i="18"/>
  <c r="I200" i="22"/>
  <c r="I205" i="22"/>
  <c r="I199" i="22"/>
  <c r="C227" i="22"/>
  <c r="F227" i="22" s="1"/>
  <c r="F215" i="22"/>
  <c r="G208" i="22"/>
  <c r="H208" i="22" s="1"/>
  <c r="B227" i="22"/>
  <c r="E215" i="22"/>
  <c r="D215" i="22"/>
  <c r="I226" i="22" s="1"/>
  <c r="I210" i="22"/>
  <c r="E229" i="22"/>
  <c r="G229" i="22" s="1"/>
  <c r="H229" i="22" s="1"/>
  <c r="D229" i="22"/>
  <c r="G211" i="22"/>
  <c r="H211" i="22" s="1"/>
  <c r="G209" i="22"/>
  <c r="H209" i="22" s="1"/>
  <c r="F214" i="22"/>
  <c r="C226" i="22"/>
  <c r="F226" i="22" s="1"/>
  <c r="I209" i="22"/>
  <c r="I208" i="22"/>
  <c r="D224" i="22"/>
  <c r="E224" i="22"/>
  <c r="G224" i="22" s="1"/>
  <c r="H224" i="22" s="1"/>
  <c r="D228" i="22"/>
  <c r="E228" i="22"/>
  <c r="G228" i="22" s="1"/>
  <c r="H228" i="22" s="1"/>
  <c r="I223" i="22"/>
  <c r="E214" i="22"/>
  <c r="D214" i="22"/>
  <c r="I225" i="22" s="1"/>
  <c r="B226" i="22"/>
  <c r="D211" i="22"/>
  <c r="I222" i="22" s="1"/>
  <c r="E211" i="22"/>
  <c r="B223" i="22"/>
  <c r="I202" i="22"/>
  <c r="I203" i="22"/>
  <c r="E225" i="22"/>
  <c r="F222" i="22"/>
  <c r="G222" i="22" s="1"/>
  <c r="H222" i="22" s="1"/>
  <c r="D222" i="22"/>
  <c r="E221" i="22"/>
  <c r="G221" i="22" s="1"/>
  <c r="H221" i="22" s="1"/>
  <c r="D221" i="22"/>
  <c r="F213" i="22"/>
  <c r="G213" i="22" s="1"/>
  <c r="H213" i="22" s="1"/>
  <c r="C225" i="22"/>
  <c r="F225" i="22" s="1"/>
  <c r="G225" i="22" s="1"/>
  <c r="H225" i="22" s="1"/>
  <c r="D220" i="22"/>
  <c r="E220" i="22"/>
  <c r="E219" i="22"/>
  <c r="G219" i="22" s="1"/>
  <c r="H219" i="22" s="1"/>
  <c r="D219" i="22"/>
  <c r="I201" i="22"/>
  <c r="G220" i="22"/>
  <c r="H220" i="22" s="1"/>
  <c r="I204" i="22"/>
  <c r="F207" i="23"/>
  <c r="G207" i="23" s="1"/>
  <c r="H207" i="23" s="1"/>
  <c r="C219" i="23"/>
  <c r="D207" i="23"/>
  <c r="F224" i="23"/>
  <c r="G224" i="23" s="1"/>
  <c r="H224" i="23" s="1"/>
  <c r="D224" i="23"/>
  <c r="E229" i="23"/>
  <c r="D229" i="23"/>
  <c r="I198" i="23"/>
  <c r="G217" i="23"/>
  <c r="H217" i="23" s="1"/>
  <c r="I200" i="23"/>
  <c r="F223" i="23"/>
  <c r="G223" i="23" s="1"/>
  <c r="H223" i="23" s="1"/>
  <c r="D223" i="23"/>
  <c r="E225" i="23"/>
  <c r="G225" i="23" s="1"/>
  <c r="H225" i="23" s="1"/>
  <c r="D225" i="23"/>
  <c r="I205" i="23"/>
  <c r="E216" i="23"/>
  <c r="G216" i="23" s="1"/>
  <c r="H216" i="23" s="1"/>
  <c r="D216" i="23"/>
  <c r="I227" i="23" s="1"/>
  <c r="B228" i="23"/>
  <c r="G229" i="23"/>
  <c r="H229" i="23" s="1"/>
  <c r="I195" i="23"/>
  <c r="G208" i="23"/>
  <c r="H208" i="23" s="1"/>
  <c r="I222" i="23"/>
  <c r="G218" i="23"/>
  <c r="H218" i="23" s="1"/>
  <c r="E210" i="23"/>
  <c r="G210" i="23" s="1"/>
  <c r="H210" i="23" s="1"/>
  <c r="D210" i="23"/>
  <c r="B222" i="23"/>
  <c r="G227" i="23"/>
  <c r="H227" i="23" s="1"/>
  <c r="E227" i="23"/>
  <c r="D227" i="23"/>
  <c r="I206" i="23"/>
  <c r="I201" i="23"/>
  <c r="I204" i="23"/>
  <c r="I202" i="23"/>
  <c r="B220" i="23"/>
  <c r="E208" i="23"/>
  <c r="D208" i="23"/>
  <c r="I227" i="20" l="1"/>
  <c r="I228" i="20"/>
  <c r="I228" i="8"/>
  <c r="I226" i="20"/>
  <c r="I224" i="20"/>
  <c r="I227" i="8"/>
  <c r="I226" i="8"/>
  <c r="I224" i="15"/>
  <c r="I221" i="20"/>
  <c r="I223" i="20"/>
  <c r="I222" i="20"/>
  <c r="I224" i="3"/>
  <c r="I208" i="20"/>
  <c r="I217" i="20"/>
  <c r="I219" i="3"/>
  <c r="I207" i="8"/>
  <c r="I223" i="8"/>
  <c r="I219" i="8"/>
  <c r="I226" i="3"/>
  <c r="I225" i="3"/>
  <c r="I209" i="8"/>
  <c r="I227" i="3"/>
  <c r="I214" i="20"/>
  <c r="I219" i="20"/>
  <c r="I215" i="20"/>
  <c r="I209" i="20"/>
  <c r="I212" i="3"/>
  <c r="E219" i="20"/>
  <c r="G219" i="20" s="1"/>
  <c r="H219" i="20" s="1"/>
  <c r="D219" i="20"/>
  <c r="E220" i="20"/>
  <c r="G220" i="20" s="1"/>
  <c r="H220" i="20" s="1"/>
  <c r="D220" i="20"/>
  <c r="E228" i="20"/>
  <c r="D228" i="20"/>
  <c r="I212" i="20"/>
  <c r="E229" i="20"/>
  <c r="G229" i="20" s="1"/>
  <c r="H229" i="20" s="1"/>
  <c r="D229" i="20"/>
  <c r="E224" i="20"/>
  <c r="G224" i="20" s="1"/>
  <c r="H224" i="20" s="1"/>
  <c r="D224" i="20"/>
  <c r="I211" i="20"/>
  <c r="E223" i="20"/>
  <c r="G223" i="20" s="1"/>
  <c r="H223" i="20" s="1"/>
  <c r="D223" i="20"/>
  <c r="I210" i="20"/>
  <c r="I213" i="20"/>
  <c r="G216" i="20"/>
  <c r="H216" i="20" s="1"/>
  <c r="E227" i="20"/>
  <c r="G227" i="20" s="1"/>
  <c r="H227" i="20" s="1"/>
  <c r="D227" i="20"/>
  <c r="I218" i="20"/>
  <c r="G228" i="20"/>
  <c r="H228" i="20" s="1"/>
  <c r="I216" i="20"/>
  <c r="E225" i="20"/>
  <c r="G225" i="20" s="1"/>
  <c r="H225" i="20" s="1"/>
  <c r="D225" i="20"/>
  <c r="E221" i="20"/>
  <c r="G221" i="20" s="1"/>
  <c r="H221" i="20" s="1"/>
  <c r="D221" i="20"/>
  <c r="I220" i="20"/>
  <c r="E228" i="12"/>
  <c r="G228" i="12" s="1"/>
  <c r="H228" i="12" s="1"/>
  <c r="D228" i="12"/>
  <c r="I210" i="12"/>
  <c r="I218" i="12"/>
  <c r="I223" i="12"/>
  <c r="I222" i="12"/>
  <c r="I219" i="12"/>
  <c r="I215" i="12"/>
  <c r="E224" i="12"/>
  <c r="G224" i="12" s="1"/>
  <c r="H224" i="12" s="1"/>
  <c r="D224" i="12"/>
  <c r="I209" i="12"/>
  <c r="L198" i="18"/>
  <c r="E220" i="12"/>
  <c r="G220" i="12" s="1"/>
  <c r="H220" i="12" s="1"/>
  <c r="D220" i="12"/>
  <c r="I217" i="12"/>
  <c r="I208" i="12"/>
  <c r="I214" i="12"/>
  <c r="E225" i="12"/>
  <c r="D225" i="12"/>
  <c r="I211" i="12"/>
  <c r="G209" i="12"/>
  <c r="H209" i="12" s="1"/>
  <c r="I216" i="12"/>
  <c r="E226" i="12"/>
  <c r="G226" i="12" s="1"/>
  <c r="H226" i="12" s="1"/>
  <c r="D226" i="12"/>
  <c r="E229" i="12"/>
  <c r="G229" i="12" s="1"/>
  <c r="H229" i="12" s="1"/>
  <c r="D229" i="12"/>
  <c r="E221" i="12"/>
  <c r="G221" i="12" s="1"/>
  <c r="H221" i="12" s="1"/>
  <c r="D221" i="12"/>
  <c r="I213" i="12"/>
  <c r="G225" i="12"/>
  <c r="H225" i="12" s="1"/>
  <c r="I212" i="12"/>
  <c r="I221" i="12"/>
  <c r="G227" i="11"/>
  <c r="H227" i="11" s="1"/>
  <c r="I214" i="11"/>
  <c r="I218" i="11"/>
  <c r="I210" i="11"/>
  <c r="I216" i="11"/>
  <c r="I211" i="11"/>
  <c r="E219" i="11"/>
  <c r="G219" i="11" s="1"/>
  <c r="H219" i="11" s="1"/>
  <c r="D219" i="11"/>
  <c r="D229" i="11"/>
  <c r="G225" i="11"/>
  <c r="H225" i="11" s="1"/>
  <c r="I217" i="11"/>
  <c r="I223" i="11"/>
  <c r="I222" i="11"/>
  <c r="D221" i="11"/>
  <c r="I212" i="11"/>
  <c r="E229" i="10"/>
  <c r="D229" i="10"/>
  <c r="I207" i="10"/>
  <c r="G217" i="10"/>
  <c r="H217" i="10" s="1"/>
  <c r="I211" i="10"/>
  <c r="G229" i="10"/>
  <c r="H229" i="10" s="1"/>
  <c r="I212" i="10"/>
  <c r="E221" i="10"/>
  <c r="G221" i="10" s="1"/>
  <c r="H221" i="10" s="1"/>
  <c r="D221" i="10"/>
  <c r="I220" i="10"/>
  <c r="I219" i="10"/>
  <c r="I221" i="10"/>
  <c r="F222" i="10"/>
  <c r="G222" i="10" s="1"/>
  <c r="H222" i="10" s="1"/>
  <c r="D222" i="10"/>
  <c r="E225" i="10"/>
  <c r="D225" i="10"/>
  <c r="I215" i="10"/>
  <c r="G225" i="10"/>
  <c r="H225" i="10" s="1"/>
  <c r="I216" i="10"/>
  <c r="G213" i="10"/>
  <c r="H213" i="10" s="1"/>
  <c r="I218" i="10"/>
  <c r="I214" i="10"/>
  <c r="I213" i="10"/>
  <c r="E219" i="10"/>
  <c r="G219" i="10" s="1"/>
  <c r="H219" i="10" s="1"/>
  <c r="D219" i="10"/>
  <c r="I222" i="10"/>
  <c r="I209" i="10"/>
  <c r="E223" i="10"/>
  <c r="G223" i="10" s="1"/>
  <c r="H223" i="10" s="1"/>
  <c r="D223" i="10"/>
  <c r="I208" i="10"/>
  <c r="I224" i="10"/>
  <c r="I223" i="10"/>
  <c r="I217" i="10"/>
  <c r="I213" i="8"/>
  <c r="I212" i="8"/>
  <c r="E225" i="8"/>
  <c r="G225" i="8" s="1"/>
  <c r="H225" i="8" s="1"/>
  <c r="D225" i="8"/>
  <c r="E220" i="8"/>
  <c r="G220" i="8" s="1"/>
  <c r="H220" i="8" s="1"/>
  <c r="D220" i="8"/>
  <c r="G208" i="8"/>
  <c r="H208" i="8" s="1"/>
  <c r="I221" i="15"/>
  <c r="E224" i="8"/>
  <c r="G224" i="8" s="1"/>
  <c r="H224" i="8" s="1"/>
  <c r="D224" i="8"/>
  <c r="I214" i="8"/>
  <c r="I212" i="16"/>
  <c r="L212" i="18" s="1"/>
  <c r="I215" i="8"/>
  <c r="I217" i="8"/>
  <c r="G216" i="8"/>
  <c r="H216" i="8" s="1"/>
  <c r="E221" i="8"/>
  <c r="G221" i="8" s="1"/>
  <c r="H221" i="8" s="1"/>
  <c r="D221" i="8"/>
  <c r="I220" i="8"/>
  <c r="L197" i="19"/>
  <c r="I208" i="8"/>
  <c r="E228" i="8"/>
  <c r="G228" i="8" s="1"/>
  <c r="H228" i="8" s="1"/>
  <c r="D228" i="8"/>
  <c r="I222" i="8"/>
  <c r="I221" i="8"/>
  <c r="E219" i="8"/>
  <c r="G219" i="8" s="1"/>
  <c r="H219" i="8" s="1"/>
  <c r="D219" i="8"/>
  <c r="E229" i="8"/>
  <c r="G229" i="8" s="1"/>
  <c r="H229" i="8" s="1"/>
  <c r="D229" i="8"/>
  <c r="I216" i="8"/>
  <c r="I218" i="8"/>
  <c r="I210" i="8"/>
  <c r="I219" i="16"/>
  <c r="L219" i="19" s="1"/>
  <c r="E229" i="9"/>
  <c r="D229" i="9"/>
  <c r="E224" i="9"/>
  <c r="G224" i="9" s="1"/>
  <c r="H224" i="9" s="1"/>
  <c r="D224" i="9"/>
  <c r="E221" i="9"/>
  <c r="D221" i="9"/>
  <c r="I214" i="9"/>
  <c r="E220" i="9"/>
  <c r="G220" i="9" s="1"/>
  <c r="H220" i="9" s="1"/>
  <c r="D220" i="9"/>
  <c r="E228" i="9"/>
  <c r="G228" i="9" s="1"/>
  <c r="H228" i="9" s="1"/>
  <c r="D228" i="9"/>
  <c r="E218" i="9"/>
  <c r="D218" i="9"/>
  <c r="I225" i="9" s="1"/>
  <c r="I218" i="16"/>
  <c r="L218" i="19" s="1"/>
  <c r="E219" i="9"/>
  <c r="G219" i="9" s="1"/>
  <c r="H219" i="9" s="1"/>
  <c r="D219" i="9"/>
  <c r="E225" i="9"/>
  <c r="G225" i="9" s="1"/>
  <c r="H225" i="9" s="1"/>
  <c r="D225" i="9"/>
  <c r="I211" i="9"/>
  <c r="I227" i="9"/>
  <c r="I210" i="9"/>
  <c r="I217" i="9"/>
  <c r="I224" i="9"/>
  <c r="G218" i="9"/>
  <c r="H218" i="9" s="1"/>
  <c r="I216" i="9"/>
  <c r="E227" i="9"/>
  <c r="G227" i="9" s="1"/>
  <c r="H227" i="9" s="1"/>
  <c r="D227" i="9"/>
  <c r="I215" i="9"/>
  <c r="I208" i="9"/>
  <c r="I206" i="9"/>
  <c r="G221" i="9"/>
  <c r="H221" i="9" s="1"/>
  <c r="E223" i="9"/>
  <c r="G223" i="9" s="1"/>
  <c r="H223" i="9" s="1"/>
  <c r="D223" i="9"/>
  <c r="I212" i="9"/>
  <c r="I213" i="9"/>
  <c r="I217" i="16"/>
  <c r="L217" i="19" s="1"/>
  <c r="G229" i="9"/>
  <c r="H229" i="9" s="1"/>
  <c r="I209" i="9"/>
  <c r="L195" i="18"/>
  <c r="L195" i="19"/>
  <c r="E219" i="16"/>
  <c r="G219" i="16" s="1"/>
  <c r="H219" i="16" s="1"/>
  <c r="D219" i="16"/>
  <c r="I208" i="16"/>
  <c r="I216" i="16"/>
  <c r="L202" i="19"/>
  <c r="L202" i="18"/>
  <c r="I215" i="16"/>
  <c r="L228" i="18"/>
  <c r="L228" i="19"/>
  <c r="I206" i="16"/>
  <c r="E218" i="16"/>
  <c r="G218" i="16" s="1"/>
  <c r="H218" i="16" s="1"/>
  <c r="D218" i="16"/>
  <c r="I229" i="16" s="1"/>
  <c r="E221" i="16"/>
  <c r="G221" i="16" s="1"/>
  <c r="H221" i="16" s="1"/>
  <c r="D221" i="16"/>
  <c r="L201" i="19"/>
  <c r="L201" i="18"/>
  <c r="I209" i="16"/>
  <c r="I214" i="16"/>
  <c r="E225" i="16"/>
  <c r="G225" i="16" s="1"/>
  <c r="H225" i="16" s="1"/>
  <c r="D225" i="16"/>
  <c r="L204" i="19"/>
  <c r="L204" i="18"/>
  <c r="L200" i="19"/>
  <c r="L200" i="18"/>
  <c r="I223" i="16"/>
  <c r="E223" i="16"/>
  <c r="G223" i="16" s="1"/>
  <c r="H223" i="16" s="1"/>
  <c r="D223" i="16"/>
  <c r="L199" i="19"/>
  <c r="L199" i="18"/>
  <c r="L224" i="18"/>
  <c r="L224" i="19"/>
  <c r="L196" i="18"/>
  <c r="L196" i="19"/>
  <c r="G213" i="16"/>
  <c r="H213" i="16" s="1"/>
  <c r="I211" i="16"/>
  <c r="L205" i="19"/>
  <c r="L205" i="18"/>
  <c r="I207" i="16"/>
  <c r="L203" i="19"/>
  <c r="L203" i="18"/>
  <c r="E229" i="16"/>
  <c r="G229" i="16" s="1"/>
  <c r="H229" i="16" s="1"/>
  <c r="D229" i="16"/>
  <c r="I222" i="16"/>
  <c r="I221" i="16"/>
  <c r="I220" i="16"/>
  <c r="I210" i="16"/>
  <c r="G207" i="16"/>
  <c r="H207" i="16" s="1"/>
  <c r="I213" i="16"/>
  <c r="I218" i="15"/>
  <c r="G210" i="15"/>
  <c r="H210" i="15" s="1"/>
  <c r="E222" i="15"/>
  <c r="D222" i="15"/>
  <c r="G224" i="15"/>
  <c r="H224" i="15" s="1"/>
  <c r="E218" i="15"/>
  <c r="D218" i="15"/>
  <c r="G222" i="15"/>
  <c r="H222" i="15" s="1"/>
  <c r="E221" i="15"/>
  <c r="G221" i="15" s="1"/>
  <c r="H221" i="15" s="1"/>
  <c r="D221" i="15"/>
  <c r="G218" i="15"/>
  <c r="H218" i="15" s="1"/>
  <c r="I219" i="15"/>
  <c r="I217" i="15"/>
  <c r="I215" i="15"/>
  <c r="I214" i="15"/>
  <c r="I210" i="15"/>
  <c r="I207" i="15"/>
  <c r="I216" i="15"/>
  <c r="I212" i="15"/>
  <c r="I211" i="15"/>
  <c r="F225" i="15"/>
  <c r="G225" i="15" s="1"/>
  <c r="H225" i="15" s="1"/>
  <c r="D225" i="15"/>
  <c r="I213" i="15"/>
  <c r="G219" i="15"/>
  <c r="H219" i="15" s="1"/>
  <c r="I223" i="15"/>
  <c r="I209" i="15"/>
  <c r="G229" i="15"/>
  <c r="H229" i="15" s="1"/>
  <c r="I222" i="15"/>
  <c r="I208" i="15"/>
  <c r="D228" i="7"/>
  <c r="E228" i="7"/>
  <c r="G228" i="7" s="1"/>
  <c r="H228" i="7" s="1"/>
  <c r="I206" i="7"/>
  <c r="I221" i="7"/>
  <c r="I210" i="7"/>
  <c r="I209" i="7"/>
  <c r="G213" i="7"/>
  <c r="H213" i="7" s="1"/>
  <c r="I218" i="7"/>
  <c r="I220" i="7"/>
  <c r="D220" i="7"/>
  <c r="E220" i="7"/>
  <c r="G220" i="7" s="1"/>
  <c r="H220" i="7" s="1"/>
  <c r="I219" i="7"/>
  <c r="E229" i="7"/>
  <c r="G229" i="7" s="1"/>
  <c r="H229" i="7" s="1"/>
  <c r="D229" i="7"/>
  <c r="I222" i="7"/>
  <c r="E225" i="7"/>
  <c r="G225" i="7" s="1"/>
  <c r="H225" i="7" s="1"/>
  <c r="D225" i="7"/>
  <c r="I212" i="7"/>
  <c r="I208" i="7"/>
  <c r="I216" i="7"/>
  <c r="I213" i="7"/>
  <c r="E225" i="6"/>
  <c r="D225" i="6"/>
  <c r="E228" i="6"/>
  <c r="D228" i="6"/>
  <c r="I222" i="6"/>
  <c r="I221" i="6"/>
  <c r="E224" i="6"/>
  <c r="D224" i="6"/>
  <c r="G208" i="6"/>
  <c r="H208" i="6" s="1"/>
  <c r="G225" i="6"/>
  <c r="H225" i="6" s="1"/>
  <c r="G213" i="6"/>
  <c r="H213" i="6" s="1"/>
  <c r="I214" i="6"/>
  <c r="I208" i="6"/>
  <c r="G228" i="6"/>
  <c r="H228" i="6" s="1"/>
  <c r="E227" i="6"/>
  <c r="G227" i="6" s="1"/>
  <c r="H227" i="6" s="1"/>
  <c r="D227" i="6"/>
  <c r="I223" i="6"/>
  <c r="I215" i="6"/>
  <c r="G229" i="6"/>
  <c r="H229" i="6" s="1"/>
  <c r="E219" i="6"/>
  <c r="G219" i="6" s="1"/>
  <c r="H219" i="6" s="1"/>
  <c r="D219" i="6"/>
  <c r="G224" i="6"/>
  <c r="H224" i="6" s="1"/>
  <c r="I218" i="6"/>
  <c r="G212" i="6"/>
  <c r="H212" i="6" s="1"/>
  <c r="I212" i="6"/>
  <c r="I220" i="6"/>
  <c r="I209" i="6"/>
  <c r="E223" i="6"/>
  <c r="G223" i="6" s="1"/>
  <c r="H223" i="6" s="1"/>
  <c r="D223" i="6"/>
  <c r="E221" i="6"/>
  <c r="G221" i="6" s="1"/>
  <c r="H221" i="6" s="1"/>
  <c r="D221" i="6"/>
  <c r="I213" i="6"/>
  <c r="I217" i="25"/>
  <c r="G217" i="6"/>
  <c r="H217" i="6" s="1"/>
  <c r="I211" i="22"/>
  <c r="I209" i="14"/>
  <c r="I216" i="6"/>
  <c r="I210" i="6"/>
  <c r="G209" i="6"/>
  <c r="H209" i="6" s="1"/>
  <c r="E220" i="6"/>
  <c r="G220" i="6" s="1"/>
  <c r="H220" i="6" s="1"/>
  <c r="D220" i="6"/>
  <c r="E229" i="6"/>
  <c r="D229" i="6"/>
  <c r="I219" i="6"/>
  <c r="E221" i="5"/>
  <c r="G221" i="5" s="1"/>
  <c r="H221" i="5" s="1"/>
  <c r="D221" i="5"/>
  <c r="K204" i="19"/>
  <c r="I213" i="5"/>
  <c r="I218" i="18"/>
  <c r="I225" i="5"/>
  <c r="E229" i="5"/>
  <c r="G229" i="5" s="1"/>
  <c r="H229" i="5" s="1"/>
  <c r="D229" i="5"/>
  <c r="I210" i="18"/>
  <c r="I211" i="18"/>
  <c r="K203" i="18"/>
  <c r="I219" i="5"/>
  <c r="I218" i="5"/>
  <c r="I217" i="5"/>
  <c r="I217" i="18"/>
  <c r="I210" i="5"/>
  <c r="I227" i="5"/>
  <c r="I211" i="5"/>
  <c r="I214" i="18"/>
  <c r="F220" i="5"/>
  <c r="G220" i="5" s="1"/>
  <c r="H220" i="5" s="1"/>
  <c r="D220" i="5"/>
  <c r="F228" i="5"/>
  <c r="G228" i="5" s="1"/>
  <c r="H228" i="5" s="1"/>
  <c r="D228" i="5"/>
  <c r="I215" i="5"/>
  <c r="I216" i="5"/>
  <c r="I226" i="5"/>
  <c r="F227" i="5"/>
  <c r="G227" i="5" s="1"/>
  <c r="H227" i="5" s="1"/>
  <c r="D227" i="5"/>
  <c r="D224" i="5"/>
  <c r="E224" i="5"/>
  <c r="G224" i="5" s="1"/>
  <c r="H224" i="5" s="1"/>
  <c r="I214" i="13"/>
  <c r="K214" i="18" s="1"/>
  <c r="I214" i="5"/>
  <c r="I223" i="5"/>
  <c r="I212" i="5"/>
  <c r="I224" i="5"/>
  <c r="I221" i="5"/>
  <c r="D225" i="4"/>
  <c r="E225" i="4"/>
  <c r="G225" i="4" s="1"/>
  <c r="H225" i="4" s="1"/>
  <c r="I224" i="4"/>
  <c r="I223" i="4"/>
  <c r="I222" i="4"/>
  <c r="D224" i="4"/>
  <c r="E224" i="4"/>
  <c r="G224" i="4" s="1"/>
  <c r="H224" i="4" s="1"/>
  <c r="I208" i="14"/>
  <c r="I215" i="25"/>
  <c r="I218" i="4"/>
  <c r="D220" i="4"/>
  <c r="E220" i="4"/>
  <c r="G220" i="4" s="1"/>
  <c r="H220" i="4" s="1"/>
  <c r="G229" i="4"/>
  <c r="H229" i="4" s="1"/>
  <c r="I211" i="14"/>
  <c r="I219" i="4"/>
  <c r="I216" i="4"/>
  <c r="I217" i="4"/>
  <c r="I213" i="4"/>
  <c r="I209" i="4"/>
  <c r="I207" i="14"/>
  <c r="I215" i="4"/>
  <c r="G213" i="4"/>
  <c r="H213" i="4" s="1"/>
  <c r="I210" i="4"/>
  <c r="I219" i="14"/>
  <c r="D221" i="4"/>
  <c r="E221" i="4"/>
  <c r="G221" i="4" s="1"/>
  <c r="H221" i="4" s="1"/>
  <c r="I214" i="4"/>
  <c r="I218" i="25"/>
  <c r="G222" i="4"/>
  <c r="H222" i="4" s="1"/>
  <c r="E227" i="4"/>
  <c r="G227" i="4" s="1"/>
  <c r="H227" i="4" s="1"/>
  <c r="D227" i="4"/>
  <c r="I226" i="4"/>
  <c r="I211" i="4"/>
  <c r="I220" i="4"/>
  <c r="I212" i="4"/>
  <c r="I225" i="4"/>
  <c r="I216" i="25"/>
  <c r="D228" i="4"/>
  <c r="E228" i="4"/>
  <c r="G228" i="4" s="1"/>
  <c r="H228" i="4" s="1"/>
  <c r="I221" i="4"/>
  <c r="E229" i="3"/>
  <c r="G229" i="3" s="1"/>
  <c r="H229" i="3" s="1"/>
  <c r="D229" i="3"/>
  <c r="I218" i="3"/>
  <c r="I214" i="3"/>
  <c r="I215" i="19"/>
  <c r="I223" i="3"/>
  <c r="I221" i="3"/>
  <c r="I220" i="3"/>
  <c r="D224" i="3"/>
  <c r="D228" i="3"/>
  <c r="I216" i="3"/>
  <c r="I215" i="3"/>
  <c r="I217" i="3"/>
  <c r="F227" i="3"/>
  <c r="G227" i="3" s="1"/>
  <c r="H227" i="3" s="1"/>
  <c r="D227" i="3"/>
  <c r="I222" i="3"/>
  <c r="I212" i="13"/>
  <c r="K212" i="19" s="1"/>
  <c r="I223" i="13"/>
  <c r="K223" i="19" s="1"/>
  <c r="I222" i="14"/>
  <c r="I214" i="14"/>
  <c r="E225" i="3"/>
  <c r="G225" i="3" s="1"/>
  <c r="H225" i="3" s="1"/>
  <c r="D225" i="3"/>
  <c r="I224" i="13"/>
  <c r="K224" i="18" s="1"/>
  <c r="I213" i="3"/>
  <c r="I224" i="25"/>
  <c r="I223" i="25"/>
  <c r="I222" i="25"/>
  <c r="I219" i="25"/>
  <c r="E229" i="25"/>
  <c r="D229" i="25"/>
  <c r="I213" i="25"/>
  <c r="I220" i="25"/>
  <c r="E225" i="25"/>
  <c r="G225" i="25" s="1"/>
  <c r="H225" i="25" s="1"/>
  <c r="D225" i="25"/>
  <c r="I214" i="25"/>
  <c r="I221" i="25"/>
  <c r="G226" i="25"/>
  <c r="H226" i="25" s="1"/>
  <c r="G213" i="25"/>
  <c r="H213" i="25" s="1"/>
  <c r="G229" i="25"/>
  <c r="H229" i="25" s="1"/>
  <c r="I221" i="22"/>
  <c r="I213" i="22"/>
  <c r="E220" i="14"/>
  <c r="D220" i="14"/>
  <c r="I220" i="22"/>
  <c r="G220" i="14"/>
  <c r="H220" i="14" s="1"/>
  <c r="E223" i="14"/>
  <c r="G223" i="14" s="1"/>
  <c r="H223" i="14" s="1"/>
  <c r="D223" i="14"/>
  <c r="I220" i="14"/>
  <c r="I215" i="22"/>
  <c r="I221" i="14"/>
  <c r="I218" i="22"/>
  <c r="I215" i="14"/>
  <c r="I213" i="14"/>
  <c r="E224" i="14"/>
  <c r="G224" i="14" s="1"/>
  <c r="H224" i="14" s="1"/>
  <c r="D224" i="14"/>
  <c r="I210" i="14"/>
  <c r="E219" i="14"/>
  <c r="G219" i="14" s="1"/>
  <c r="H219" i="14" s="1"/>
  <c r="D219" i="14"/>
  <c r="I218" i="14"/>
  <c r="I212" i="14"/>
  <c r="I216" i="14"/>
  <c r="I217" i="14"/>
  <c r="I212" i="22"/>
  <c r="E227" i="14"/>
  <c r="G227" i="14" s="1"/>
  <c r="H227" i="14" s="1"/>
  <c r="D227" i="14"/>
  <c r="I216" i="22"/>
  <c r="E228" i="14"/>
  <c r="G228" i="14" s="1"/>
  <c r="H228" i="14" s="1"/>
  <c r="D228" i="14"/>
  <c r="E220" i="13"/>
  <c r="D220" i="13"/>
  <c r="K197" i="19"/>
  <c r="K197" i="18"/>
  <c r="K229" i="18"/>
  <c r="K229" i="19"/>
  <c r="I211" i="13"/>
  <c r="D221" i="13"/>
  <c r="E224" i="13"/>
  <c r="G224" i="13" s="1"/>
  <c r="H224" i="13" s="1"/>
  <c r="D224" i="13"/>
  <c r="I216" i="13"/>
  <c r="I217" i="13"/>
  <c r="K202" i="18"/>
  <c r="K202" i="19"/>
  <c r="G208" i="13"/>
  <c r="H208" i="13" s="1"/>
  <c r="D223" i="13"/>
  <c r="E223" i="13"/>
  <c r="G223" i="13" s="1"/>
  <c r="H223" i="13" s="1"/>
  <c r="G212" i="13"/>
  <c r="H212" i="13" s="1"/>
  <c r="K195" i="18"/>
  <c r="K195" i="19"/>
  <c r="K227" i="19"/>
  <c r="K227" i="18"/>
  <c r="K199" i="18"/>
  <c r="K199" i="19"/>
  <c r="I213" i="13"/>
  <c r="D226" i="13"/>
  <c r="E226" i="13"/>
  <c r="G226" i="13" s="1"/>
  <c r="H226" i="13" s="1"/>
  <c r="K200" i="19"/>
  <c r="K200" i="18"/>
  <c r="G228" i="13"/>
  <c r="H228" i="13" s="1"/>
  <c r="I218" i="13"/>
  <c r="I215" i="13"/>
  <c r="F219" i="13"/>
  <c r="G219" i="13" s="1"/>
  <c r="H219" i="13" s="1"/>
  <c r="D219" i="13"/>
  <c r="K198" i="19"/>
  <c r="K198" i="18"/>
  <c r="K206" i="19"/>
  <c r="K206" i="18"/>
  <c r="I208" i="23"/>
  <c r="K225" i="19"/>
  <c r="K225" i="18"/>
  <c r="I209" i="13"/>
  <c r="I210" i="13"/>
  <c r="I207" i="13"/>
  <c r="K196" i="19"/>
  <c r="K196" i="18"/>
  <c r="I222" i="13"/>
  <c r="I221" i="13"/>
  <c r="F225" i="13"/>
  <c r="G225" i="13" s="1"/>
  <c r="H225" i="13" s="1"/>
  <c r="D225" i="13"/>
  <c r="G220" i="13"/>
  <c r="H220" i="13" s="1"/>
  <c r="K205" i="19"/>
  <c r="K205" i="18"/>
  <c r="I220" i="13"/>
  <c r="E228" i="13"/>
  <c r="D228" i="13"/>
  <c r="D227" i="13"/>
  <c r="E227" i="13"/>
  <c r="G227" i="13" s="1"/>
  <c r="H227" i="13" s="1"/>
  <c r="K226" i="19"/>
  <c r="K226" i="18"/>
  <c r="I219" i="13"/>
  <c r="I208" i="13"/>
  <c r="I217" i="19"/>
  <c r="I216" i="19"/>
  <c r="I214" i="19"/>
  <c r="I211" i="19"/>
  <c r="I213" i="19"/>
  <c r="G222" i="19"/>
  <c r="H222" i="19" s="1"/>
  <c r="J222" i="19" s="1"/>
  <c r="I209" i="23"/>
  <c r="I206" i="19"/>
  <c r="D222" i="19"/>
  <c r="E222" i="19"/>
  <c r="D225" i="19"/>
  <c r="E225" i="19"/>
  <c r="G225" i="19" s="1"/>
  <c r="H225" i="19" s="1"/>
  <c r="J225" i="19" s="1"/>
  <c r="I207" i="19"/>
  <c r="I221" i="19"/>
  <c r="I218" i="19"/>
  <c r="I219" i="19"/>
  <c r="I220" i="19"/>
  <c r="I210" i="19"/>
  <c r="E226" i="19"/>
  <c r="D226" i="19"/>
  <c r="E228" i="19"/>
  <c r="G228" i="19" s="1"/>
  <c r="H228" i="19" s="1"/>
  <c r="J228" i="19" s="1"/>
  <c r="D228" i="19"/>
  <c r="G206" i="19"/>
  <c r="H206" i="19" s="1"/>
  <c r="J206" i="19" s="1"/>
  <c r="E218" i="19"/>
  <c r="D218" i="19"/>
  <c r="I229" i="19" s="1"/>
  <c r="G218" i="19"/>
  <c r="H218" i="19" s="1"/>
  <c r="J218" i="19" s="1"/>
  <c r="G226" i="19"/>
  <c r="H226" i="19" s="1"/>
  <c r="J226" i="19" s="1"/>
  <c r="I207" i="23"/>
  <c r="I208" i="19"/>
  <c r="I209" i="19"/>
  <c r="I212" i="19"/>
  <c r="I223" i="19"/>
  <c r="I222" i="19"/>
  <c r="G224" i="19"/>
  <c r="H224" i="19" s="1"/>
  <c r="J224" i="19" s="1"/>
  <c r="D221" i="18"/>
  <c r="E221" i="18"/>
  <c r="G209" i="18"/>
  <c r="H209" i="18" s="1"/>
  <c r="J209" i="18" s="1"/>
  <c r="I220" i="18"/>
  <c r="I216" i="18"/>
  <c r="I215" i="18"/>
  <c r="I209" i="18"/>
  <c r="E226" i="18"/>
  <c r="G226" i="18" s="1"/>
  <c r="H226" i="18" s="1"/>
  <c r="J226" i="18" s="1"/>
  <c r="D226" i="18"/>
  <c r="G221" i="18"/>
  <c r="H221" i="18" s="1"/>
  <c r="J221" i="18" s="1"/>
  <c r="I219" i="18"/>
  <c r="I213" i="18"/>
  <c r="E227" i="22"/>
  <c r="D227" i="22"/>
  <c r="D225" i="22"/>
  <c r="I217" i="22"/>
  <c r="I214" i="22"/>
  <c r="G215" i="22"/>
  <c r="H215" i="22" s="1"/>
  <c r="E223" i="22"/>
  <c r="G223" i="22" s="1"/>
  <c r="H223" i="22" s="1"/>
  <c r="D223" i="22"/>
  <c r="E226" i="22"/>
  <c r="G226" i="22" s="1"/>
  <c r="H226" i="22" s="1"/>
  <c r="D226" i="22"/>
  <c r="G214" i="22"/>
  <c r="H214" i="22" s="1"/>
  <c r="G227" i="22"/>
  <c r="H227" i="22" s="1"/>
  <c r="I219" i="22"/>
  <c r="E228" i="23"/>
  <c r="G228" i="23" s="1"/>
  <c r="H228" i="23" s="1"/>
  <c r="D228" i="23"/>
  <c r="I219" i="23"/>
  <c r="I221" i="23"/>
  <c r="I220" i="23"/>
  <c r="I211" i="23"/>
  <c r="I210" i="23"/>
  <c r="I215" i="23"/>
  <c r="I212" i="23"/>
  <c r="I218" i="23"/>
  <c r="I216" i="23"/>
  <c r="I217" i="23"/>
  <c r="I214" i="23"/>
  <c r="F219" i="23"/>
  <c r="G219" i="23" s="1"/>
  <c r="H219" i="23" s="1"/>
  <c r="D219" i="23"/>
  <c r="E222" i="23"/>
  <c r="G222" i="23" s="1"/>
  <c r="H222" i="23" s="1"/>
  <c r="D222" i="23"/>
  <c r="E220" i="23"/>
  <c r="G220" i="23" s="1"/>
  <c r="H220" i="23" s="1"/>
  <c r="D220" i="23"/>
  <c r="I213" i="23"/>
  <c r="I229" i="15" l="1"/>
  <c r="I228" i="15"/>
  <c r="I226" i="15"/>
  <c r="I225" i="15"/>
  <c r="I227" i="15"/>
  <c r="I220" i="15"/>
  <c r="L219" i="18"/>
  <c r="L212" i="19"/>
  <c r="L217" i="18"/>
  <c r="I223" i="9"/>
  <c r="I222" i="9"/>
  <c r="I218" i="9"/>
  <c r="I226" i="9"/>
  <c r="L218" i="18"/>
  <c r="I229" i="9"/>
  <c r="I219" i="9"/>
  <c r="I228" i="9"/>
  <c r="I220" i="9"/>
  <c r="I221" i="9"/>
  <c r="L209" i="19"/>
  <c r="L209" i="18"/>
  <c r="L210" i="19"/>
  <c r="L210" i="18"/>
  <c r="L221" i="19"/>
  <c r="L221" i="18"/>
  <c r="L213" i="19"/>
  <c r="L213" i="18"/>
  <c r="L220" i="19"/>
  <c r="L220" i="18"/>
  <c r="L229" i="18"/>
  <c r="L229" i="19"/>
  <c r="L222" i="19"/>
  <c r="L222" i="18"/>
  <c r="L207" i="19"/>
  <c r="L207" i="18"/>
  <c r="L215" i="19"/>
  <c r="L215" i="18"/>
  <c r="L223" i="19"/>
  <c r="L223" i="18"/>
  <c r="L214" i="18"/>
  <c r="L214" i="19"/>
  <c r="L206" i="19"/>
  <c r="L206" i="18"/>
  <c r="L211" i="18"/>
  <c r="L211" i="19"/>
  <c r="L216" i="18"/>
  <c r="L216" i="19"/>
  <c r="L208" i="18"/>
  <c r="L208" i="19"/>
  <c r="K214" i="19"/>
  <c r="K223" i="18"/>
  <c r="K224" i="19"/>
  <c r="K212" i="18"/>
  <c r="K216" i="19"/>
  <c r="K216" i="18"/>
  <c r="K220" i="18"/>
  <c r="K220" i="19"/>
  <c r="K222" i="19"/>
  <c r="K222" i="18"/>
  <c r="K213" i="19"/>
  <c r="K213" i="18"/>
  <c r="K210" i="19"/>
  <c r="K210" i="18"/>
  <c r="K208" i="18"/>
  <c r="K208" i="19"/>
  <c r="K217" i="18"/>
  <c r="K217" i="19"/>
  <c r="K211" i="19"/>
  <c r="K211" i="18"/>
  <c r="K215" i="19"/>
  <c r="K215" i="18"/>
  <c r="K218" i="18"/>
  <c r="K218" i="19"/>
  <c r="K221" i="19"/>
  <c r="K221" i="18"/>
  <c r="K207" i="18"/>
  <c r="K207" i="19"/>
  <c r="K209" i="19"/>
  <c r="K209" i="18"/>
  <c r="K219" i="18"/>
  <c r="K219" i="19"/>
  <c r="G15" i="1" l="1"/>
  <c r="N21" i="1" l="1"/>
  <c r="G18" i="1"/>
  <c r="N15" i="1"/>
  <c r="N9" i="1"/>
  <c r="N18" i="1"/>
  <c r="G21" i="1"/>
  <c r="N12" i="1"/>
  <c r="G12" i="1"/>
  <c r="L30" i="1" l="1"/>
  <c r="G9" i="1" l="1"/>
  <c r="L26" i="1" l="1"/>
</calcChain>
</file>

<file path=xl/sharedStrings.xml><?xml version="1.0" encoding="utf-8"?>
<sst xmlns="http://schemas.openxmlformats.org/spreadsheetml/2006/main" count="2652" uniqueCount="113">
  <si>
    <t>YTD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</si>
  <si>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</si>
  <si>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</si>
  <si>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</si>
  <si>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</si>
  <si>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</si>
  <si>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</si>
  <si>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</si>
  <si>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</si>
  <si>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</si>
  <si>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</si>
  <si>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</si>
  <si>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</si>
  <si>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</t>
  </si>
  <si>
    <t>%</t>
  </si>
  <si>
    <t>14/15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</si>
  <si>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</si>
  <si>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</si>
  <si>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</si>
  <si>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</si>
  <si>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</si>
  <si>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</si>
  <si>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</si>
  <si>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</si>
  <si>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</si>
  <si>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</si>
  <si>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</si>
  <si>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26/27</t>
  </si>
  <si>
    <t>YoY</t>
  </si>
  <si>
    <t>Offset</t>
  </si>
  <si>
    <t>Min</t>
  </si>
  <si>
    <t>Max</t>
  </si>
  <si>
    <t>Avg(5)</t>
  </si>
  <si>
    <t>Cumulative</t>
  </si>
  <si>
    <t>Month</t>
  </si>
  <si>
    <t>Brazil</t>
  </si>
  <si>
    <t>Coffee Aggregated Exports</t>
  </si>
  <si>
    <t>Colombia</t>
  </si>
  <si>
    <t>Honduras</t>
  </si>
  <si>
    <t>Ethiopia</t>
  </si>
  <si>
    <t>Peru</t>
  </si>
  <si>
    <t>Arabica</t>
  </si>
  <si>
    <t>Robusta</t>
  </si>
  <si>
    <t>Brazil : Arabica Exports</t>
  </si>
  <si>
    <t>Rolling 12m Sum</t>
  </si>
  <si>
    <t>Colombia : Arabica Exports</t>
  </si>
  <si>
    <t>Honduras : Arabica Exports</t>
  </si>
  <si>
    <t>Ethiopia : Arabica Exports</t>
  </si>
  <si>
    <t>Brazil : Robusta Exports</t>
  </si>
  <si>
    <t>Indonesia : Robusta Exports</t>
  </si>
  <si>
    <t>India : Robusta Exports</t>
  </si>
  <si>
    <t>Vietnam</t>
  </si>
  <si>
    <t>Indonesia</t>
  </si>
  <si>
    <t>Uganda</t>
  </si>
  <si>
    <t>India</t>
  </si>
  <si>
    <t>Latest Month</t>
  </si>
  <si>
    <t>Super 4 : Arabica Exports</t>
  </si>
  <si>
    <t>Brazil | Colombia | Honduras | Ethiopia</t>
  </si>
  <si>
    <t>Super 5 : Arabica Exports</t>
  </si>
  <si>
    <t>Brazil | Colombia | Honduras | Ethiopia |Peru</t>
  </si>
  <si>
    <t>Vietnam &amp; Brazil : Robusta Exports</t>
  </si>
  <si>
    <t>Super 5 : Robusta Exports</t>
  </si>
  <si>
    <t>Vietnam To Netherlands</t>
  </si>
  <si>
    <t>Vietnam Flow to Belgium</t>
  </si>
  <si>
    <t>Vietnam to UK</t>
  </si>
  <si>
    <t>Vietnam Coffee Flow to Netherlands</t>
  </si>
  <si>
    <t>Vietnam Coffee Flow to Belgium</t>
  </si>
  <si>
    <t>Vietnam Coffee Flow to UK</t>
  </si>
  <si>
    <t>Vietnam Coffee Flow : Total</t>
  </si>
  <si>
    <t>12/13</t>
  </si>
  <si>
    <t>13/14</t>
  </si>
  <si>
    <t>LTA</t>
  </si>
  <si>
    <t>Peru : Coffee Exports</t>
  </si>
  <si>
    <t>Vietnam | Brazil | Indonesia | Uganda | India</t>
  </si>
  <si>
    <t>Robusta + Arabica Exports</t>
  </si>
  <si>
    <t>Excluding Peru</t>
  </si>
  <si>
    <t>Including Peru</t>
  </si>
  <si>
    <t xml:space="preserve">Source: Cecafe </t>
  </si>
  <si>
    <t>MonPro</t>
  </si>
  <si>
    <t>Vietnam Flow to UK, Belgium &amp; Netherlands</t>
  </si>
  <si>
    <t>Vietnam &amp; Brazil : Total Coffee Exports</t>
  </si>
  <si>
    <t>Vietnam : Coffee Exports</t>
  </si>
  <si>
    <t>Old</t>
  </si>
  <si>
    <t>24/25 Honduras</t>
  </si>
  <si>
    <t>total</t>
  </si>
  <si>
    <t>revision</t>
  </si>
  <si>
    <t>New</t>
  </si>
  <si>
    <t>Uganda : Coffee Exports</t>
  </si>
  <si>
    <t>Revision</t>
  </si>
  <si>
    <t>vietnam</t>
  </si>
  <si>
    <t>tdm global</t>
  </si>
  <si>
    <t>tdm total</t>
  </si>
  <si>
    <t>our view</t>
  </si>
  <si>
    <t>\\</t>
  </si>
  <si>
    <t>Global + Vietnam</t>
  </si>
  <si>
    <t>Proportion</t>
  </si>
  <si>
    <t>Global Coffee Exports</t>
  </si>
  <si>
    <t>Global + Vietnam (Monthly)</t>
  </si>
  <si>
    <t>Prop</t>
  </si>
  <si>
    <t>OND</t>
  </si>
  <si>
    <t>marex avg</t>
  </si>
  <si>
    <t>Super 10</t>
  </si>
  <si>
    <t>Share</t>
  </si>
  <si>
    <t>Last 5 Year Average</t>
  </si>
  <si>
    <t>Marex</t>
  </si>
  <si>
    <t>Left</t>
  </si>
  <si>
    <t>25/26 Fcst</t>
  </si>
  <si>
    <t>Non Brazil Origins</t>
  </si>
  <si>
    <t>Colombia | Honduras | Ethiopia |Peru</t>
  </si>
  <si>
    <t>Oct-Mar</t>
  </si>
  <si>
    <t>Exports</t>
  </si>
  <si>
    <t>Crop</t>
  </si>
  <si>
    <t>Crop-Exports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</si>
</sst>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_(* #,##0_);_(* \(#,##0\);_(* &quot;-&quot;??_);_(@_)"/>
    <numFmt numFmtId="168" formatCode="#,##0_ ;[Red]\-#,##0\ "/>
    <numFmt numFmtId="169" formatCode="#,##0.0"/>
  </numFmts>
  <fonts count="35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7" tint="0.7999816888943144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8"/>
      <color theme="0" tint="-4.9989318521683403E-2"/>
      <name val="Calibri"/>
      <family val="2"/>
      <scheme val="minor"/>
    </font>
    <font>
      <b/>
      <sz val="8"/>
      <color theme="0" tint="-0.1499984740745262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9"/>
      <color theme="0" tint="-4.9989318521683403E-2"/>
      <name val="Calibri"/>
      <family val="2"/>
      <scheme val="minor"/>
    </font>
    <font>
      <b/>
      <sz val="16"/>
      <color theme="7" tint="0.79998168889431442"/>
      <name val="Calibri"/>
      <family val="2"/>
      <scheme val="minor"/>
    </font>
    <font>
      <b/>
      <sz val="24"/>
      <color theme="0" tint="-4.9989318521683403E-2"/>
      <name val="Calibri"/>
      <family val="2"/>
      <scheme val="minor"/>
    </font>
    <font>
      <sz val="11"/>
      <color rgb="FF600000"/>
      <name val="Calibri"/>
      <family val="2"/>
      <scheme val="minor"/>
    </font>
    <font>
      <b/>
      <sz val="16"/>
      <color theme="5" tint="0.3999755851924192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20"/>
      <color theme="0" tint="-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i/>
      <sz val="8"/>
      <color theme="0" tint="-4.9989318521683403E-2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183C5C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9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</borders>
  <cellStyleXfs count="5">
    <xf numFmtId="0" fontId="0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8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9" borderId="0" xfId="0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1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3" fillId="11" borderId="0" xfId="0" applyFont="1" applyFill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9" fontId="12" fillId="8" borderId="0" xfId="0" applyNumberFormat="1" applyFont="1" applyFill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0" fillId="12" borderId="0" xfId="0" applyFill="1" applyAlignment="1">
      <alignment horizontal="center"/>
    </xf>
    <xf numFmtId="0" fontId="16" fillId="6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wrapText="1"/>
    </xf>
    <xf numFmtId="0" fontId="11" fillId="11" borderId="0" xfId="0" applyFont="1" applyFill="1" applyAlignment="1">
      <alignment vertical="center"/>
    </xf>
    <xf numFmtId="0" fontId="10" fillId="11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17" fontId="0" fillId="10" borderId="0" xfId="0" applyNumberForma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0" fillId="15" borderId="0" xfId="0" applyFont="1" applyFill="1"/>
    <xf numFmtId="49" fontId="0" fillId="10" borderId="0" xfId="0" applyNumberFormat="1" applyFill="1" applyAlignment="1">
      <alignment horizontal="center"/>
    </xf>
    <xf numFmtId="49" fontId="0" fillId="13" borderId="0" xfId="0" applyNumberFormat="1" applyFill="1" applyAlignment="1">
      <alignment horizontal="center"/>
    </xf>
    <xf numFmtId="9" fontId="0" fillId="0" borderId="0" xfId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22" fillId="14" borderId="0" xfId="0" applyFont="1" applyFill="1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3" applyNumberFormat="1" applyFont="1" applyAlignment="1">
      <alignment horizontal="center"/>
    </xf>
    <xf numFmtId="22" fontId="23" fillId="0" borderId="0" xfId="0" applyNumberFormat="1" applyFont="1"/>
    <xf numFmtId="167" fontId="5" fillId="0" borderId="0" xfId="3" applyNumberFormat="1" applyFont="1" applyAlignment="1">
      <alignment horizontal="center" vertical="center"/>
    </xf>
    <xf numFmtId="167" fontId="7" fillId="0" borderId="0" xfId="3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17" borderId="0" xfId="0" applyFill="1" applyAlignment="1">
      <alignment horizontal="center"/>
    </xf>
    <xf numFmtId="0" fontId="26" fillId="16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10" fontId="0" fillId="0" borderId="0" xfId="1" applyNumberFormat="1" applyFont="1" applyAlignment="1">
      <alignment horizontal="center"/>
    </xf>
    <xf numFmtId="3" fontId="27" fillId="0" borderId="0" xfId="0" applyNumberFormat="1" applyFont="1" applyAlignment="1">
      <alignment horizontal="center" vertical="center"/>
    </xf>
    <xf numFmtId="9" fontId="28" fillId="8" borderId="0" xfId="0" applyNumberFormat="1" applyFont="1" applyFill="1" applyAlignment="1">
      <alignment horizontal="center" vertical="center"/>
    </xf>
    <xf numFmtId="0" fontId="29" fillId="11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3" fontId="25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31" fillId="11" borderId="0" xfId="0" applyFont="1" applyFill="1" applyAlignment="1">
      <alignment horizontal="center"/>
    </xf>
    <xf numFmtId="165" fontId="0" fillId="0" borderId="0" xfId="3" applyNumberFormat="1" applyFont="1" applyAlignment="1">
      <alignment horizontal="center"/>
    </xf>
    <xf numFmtId="3" fontId="0" fillId="0" borderId="0" xfId="0" applyNumberFormat="1"/>
    <xf numFmtId="0" fontId="30" fillId="0" borderId="0" xfId="4"/>
    <xf numFmtId="43" fontId="0" fillId="0" borderId="0" xfId="0" applyNumberFormat="1"/>
    <xf numFmtId="9" fontId="0" fillId="0" borderId="0" xfId="1" applyFont="1"/>
    <xf numFmtId="2" fontId="0" fillId="0" borderId="0" xfId="0" applyNumberFormat="1"/>
    <xf numFmtId="0" fontId="33" fillId="13" borderId="0" xfId="0" applyFont="1" applyFill="1" applyAlignment="1">
      <alignment horizontal="center"/>
    </xf>
    <xf numFmtId="3" fontId="28" fillId="13" borderId="0" xfId="0" applyNumberFormat="1" applyFont="1" applyFill="1" applyAlignment="1">
      <alignment horizontal="center" vertical="center"/>
    </xf>
    <xf numFmtId="0" fontId="34" fillId="0" borderId="0" xfId="0" applyFont="1" applyAlignment="1">
      <alignment horizontal="center"/>
    </xf>
    <xf numFmtId="43" fontId="0" fillId="0" borderId="0" xfId="0" applyNumberFormat="1" applyAlignment="1">
      <alignment horizontal="center"/>
    </xf>
    <xf numFmtId="169" fontId="0" fillId="0" borderId="0" xfId="3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13" borderId="0" xfId="0" applyFill="1" applyAlignment="1">
      <alignment horizontal="center"/>
    </xf>
    <xf numFmtId="0" fontId="25" fillId="17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1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/>
    </xf>
    <xf numFmtId="0" fontId="19" fillId="11" borderId="0" xfId="0" applyFont="1" applyFill="1" applyAlignment="1">
      <alignment horizontal="center" vertical="center"/>
    </xf>
  </cellXfs>
  <cellStyles count="5">
    <cellStyle name="Comma" xfId="3" builtinId="3"/>
    <cellStyle name="Comma 2" xfId="2" xr:uid="{92FEDA70-BFED-4108-BEAA-8F54180A9C9D}"/>
    <cellStyle name="Hyperlink" xfId="4" builtinId="8"/>
    <cellStyle name="Normal" xfId="0" builtinId="0"/>
    <cellStyle name="Percent" xfId="1" builtinId="5"/>
  </cellStyles>
  <dxfs count="24"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</dxfs>
  <tableStyles count="0" defaultTableStyle="TableStyleMedium2" defaultPivotStyle="PivotStyleLight16"/>
  <colors>
    <mruColors>
      <color rgb="FF6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580927384076991E-2"/>
          <c:y val="5.0925925925925923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'Marex total'!$D$5</c:f>
              <c:strCache>
                <c:ptCount val="1"/>
                <c:pt idx="0">
                  <c:v>marex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Curved/>
                    </ask:type>
                  </ask:lineSketchStyleProps>
                </a:ext>
              </a:extLst>
            </a:ln>
            <a:effectLst/>
          </c:spPr>
          <c:marker>
            <c:symbol val="none"/>
          </c:marker>
          <c:cat>
            <c:strRef>
              <c:f>'Marex total'!$C$6:$C$17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'Marex total'!$D$6:$D$17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11.6</c:v>
                </c:pt>
                <c:pt idx="3">
                  <c:v>11</c:v>
                </c:pt>
                <c:pt idx="4">
                  <c:v>11.6</c:v>
                </c:pt>
                <c:pt idx="5">
                  <c:v>13</c:v>
                </c:pt>
                <c:pt idx="6">
                  <c:v>11.6</c:v>
                </c:pt>
                <c:pt idx="7">
                  <c:v>11.7</c:v>
                </c:pt>
                <c:pt idx="8">
                  <c:v>11.6</c:v>
                </c:pt>
                <c:pt idx="9">
                  <c:v>11.2</c:v>
                </c:pt>
                <c:pt idx="10">
                  <c:v>11</c:v>
                </c:pt>
                <c:pt idx="11">
                  <c:v>10.8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63-499B-9F9F-3F3E09CCA123}"/>
            </c:ext>
          </c:extLst>
        </c:ser>
        <c:ser>
          <c:idx val="1"/>
          <c:order val="1"/>
          <c:tx>
            <c:strRef>
              <c:f>'Marex total'!$E$5</c:f>
              <c:strCache>
                <c:ptCount val="1"/>
                <c:pt idx="0">
                  <c:v>Super 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'Marex total'!$C$6:$C$17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'Marex total'!$E$6:$E$17</c:f>
              <c:numCache>
                <c:formatCode>General</c:formatCode>
                <c:ptCount val="12"/>
                <c:pt idx="0">
                  <c:v>8.727009942976002</c:v>
                </c:pt>
                <c:pt idx="1">
                  <c:v>9.0577548029220072</c:v>
                </c:pt>
                <c:pt idx="2">
                  <c:v>10.279128507839669</c:v>
                </c:pt>
                <c:pt idx="3">
                  <c:v>9.844219217901454</c:v>
                </c:pt>
                <c:pt idx="4">
                  <c:v>9.4219663277654462</c:v>
                </c:pt>
                <c:pt idx="5">
                  <c:v>10.624493580744556</c:v>
                </c:pt>
                <c:pt idx="6">
                  <c:v>9.1028455965025561</c:v>
                </c:pt>
                <c:pt idx="7">
                  <c:v>8.985324422103572</c:v>
                </c:pt>
                <c:pt idx="8">
                  <c:v>8.9204848570305568</c:v>
                </c:pt>
                <c:pt idx="9">
                  <c:v>8.878134188982683</c:v>
                </c:pt>
                <c:pt idx="10">
                  <c:v>8.7938333173615586</c:v>
                </c:pt>
                <c:pt idx="11">
                  <c:v>8.6403520070706339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063-499B-9F9F-3F3E09CCA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95744"/>
        <c:axId val="141004864"/>
      </c:lineChart>
      <c:catAx>
        <c:axId val="14099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4864"/>
        <c:crosses val="autoZero"/>
        <c:auto val="1"/>
        <c:lblAlgn val="ctr"/>
        <c:lblOffset val="100"/>
        <c:noMultiLvlLbl val="0"/>
      </c:catAx>
      <c:valAx>
        <c:axId val="14100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9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'Global derived'!$C$5</c:f>
          <c:strCache>
            <c:ptCount val="1"/>
            <c:pt idx="0">
              <c:v>Global Coffee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'Global derived'!$B$14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'Global derived'!$C$6:$N$6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derived'!$C$14:$N$14</c:f>
              <c:numCache>
                <c:formatCode>#,##0</c:formatCode>
                <c:ptCount val="12"/>
                <c:pt idx="0">
                  <c:v>9949518.1549459249</c:v>
                </c:pt>
                <c:pt idx="1">
                  <c:v>9804067.7271048669</c:v>
                </c:pt>
                <c:pt idx="2">
                  <c:v>11958329.037914967</c:v>
                </c:pt>
                <c:pt idx="3">
                  <c:v>12230473.169062009</c:v>
                </c:pt>
                <c:pt idx="4">
                  <c:v>11436849.802868651</c:v>
                </c:pt>
                <c:pt idx="5">
                  <c:v>13501957.104541706</c:v>
                </c:pt>
                <c:pt idx="6">
                  <c:v>11053003.493836617</c:v>
                </c:pt>
                <c:pt idx="7">
                  <c:v>11157467.73392245</c:v>
                </c:pt>
                <c:pt idx="8">
                  <c:v>11577882.941287177</c:v>
                </c:pt>
                <c:pt idx="9">
                  <c:v>10196514.746846348</c:v>
                </c:pt>
                <c:pt idx="10">
                  <c:v>10470487.738600034</c:v>
                </c:pt>
                <c:pt idx="11">
                  <c:v>10524775.924346736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5E-488C-A9C1-1646E6AB6556}"/>
            </c:ext>
          </c:extLst>
        </c:ser>
        <c:ser>
          <c:idx val="8"/>
          <c:order val="8"/>
          <c:tx>
            <c:strRef>
              <c:f>'Global derived'!$B$15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'Global derived'!$C$6:$N$6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derived'!$C$15:$N$15</c:f>
              <c:numCache>
                <c:formatCode>#,##0</c:formatCode>
                <c:ptCount val="12"/>
                <c:pt idx="0">
                  <c:v>9284589.2131166421</c:v>
                </c:pt>
                <c:pt idx="1">
                  <c:v>10009216.483144196</c:v>
                </c:pt>
                <c:pt idx="2">
                  <c:v>10436283.653071398</c:v>
                </c:pt>
                <c:pt idx="3">
                  <c:v>9284724.4118741117</c:v>
                </c:pt>
                <c:pt idx="4">
                  <c:v>10011138.601719223</c:v>
                </c:pt>
                <c:pt idx="5">
                  <c:v>11791649.130200544</c:v>
                </c:pt>
                <c:pt idx="6">
                  <c:v>10468151.341899138</c:v>
                </c:pt>
                <c:pt idx="7">
                  <c:v>10767190.753515432</c:v>
                </c:pt>
                <c:pt idx="8">
                  <c:v>10729536.770506924</c:v>
                </c:pt>
                <c:pt idx="9">
                  <c:v>10513064.843939845</c:v>
                </c:pt>
                <c:pt idx="10">
                  <c:v>10760429.628203329</c:v>
                </c:pt>
                <c:pt idx="11">
                  <c:v>9030134.4847685881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5E-488C-A9C1-1646E6AB6556}"/>
            </c:ext>
          </c:extLst>
        </c:ser>
        <c:ser>
          <c:idx val="9"/>
          <c:order val="9"/>
          <c:tx>
            <c:strRef>
              <c:f>'Global derived'!$B$16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'Global derived'!$C$6:$N$6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derived'!$C$16:$N$16</c:f>
              <c:numCache>
                <c:formatCode>#,##0</c:formatCode>
                <c:ptCount val="12"/>
                <c:pt idx="0">
                  <c:v>9231980.4411241002</c:v>
                </c:pt>
                <c:pt idx="1">
                  <c:v>10576041.557372687</c:v>
                </c:pt>
                <c:pt idx="2">
                  <c:v>11674082.631258063</c:v>
                </c:pt>
                <c:pt idx="3">
                  <c:v>11865035.812514577</c:v>
                </c:pt>
                <c:pt idx="4">
                  <c:v>11768315.233061567</c:v>
                </c:pt>
                <c:pt idx="5">
                  <c:v>13170236.781309944</c:v>
                </c:pt>
                <c:pt idx="6">
                  <c:v>12194971.260669509</c:v>
                </c:pt>
                <c:pt idx="7">
                  <c:v>12267034.415396089</c:v>
                </c:pt>
                <c:pt idx="8">
                  <c:v>11240380.703418141</c:v>
                </c:pt>
                <c:pt idx="9">
                  <c:v>11803918.420064678</c:v>
                </c:pt>
                <c:pt idx="10">
                  <c:v>11428707.642575298</c:v>
                </c:pt>
                <c:pt idx="11">
                  <c:v>11372709.485698933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5E-488C-A9C1-1646E6AB6556}"/>
            </c:ext>
          </c:extLst>
        </c:ser>
        <c:ser>
          <c:idx val="10"/>
          <c:order val="10"/>
          <c:tx>
            <c:strRef>
              <c:f>'Global derived'!$B$17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'Global derived'!$C$6:$N$6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derived'!$C$17:$N$17</c:f>
              <c:numCache>
                <c:formatCode>#,##0</c:formatCode>
                <c:ptCount val="12"/>
                <c:pt idx="0">
                  <c:v>10738179.650932442</c:v>
                </c:pt>
                <c:pt idx="1">
                  <c:v>9660552.1866142321</c:v>
                </c:pt>
                <c:pt idx="2">
                  <c:v>11407316.515094228</c:v>
                </c:pt>
                <c:pt idx="3">
                  <c:v>10330331.329329846</c:v>
                </c:pt>
                <c:pt idx="4">
                  <c:v>12152402.108761074</c:v>
                </c:pt>
                <c:pt idx="5">
                  <c:v>13077776.79016611</c:v>
                </c:pt>
                <c:pt idx="6">
                  <c:v>12045430.408728549</c:v>
                </c:pt>
                <c:pt idx="7">
                  <c:v>12729545.063789969</c:v>
                </c:pt>
                <c:pt idx="8">
                  <c:v>12173912.885420568</c:v>
                </c:pt>
                <c:pt idx="9">
                  <c:v>11685756.002730582</c:v>
                </c:pt>
                <c:pt idx="10">
                  <c:v>11427355.918077774</c:v>
                </c:pt>
                <c:pt idx="11">
                  <c:v>11947549.9407843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5E-488C-A9C1-1646E6AB6556}"/>
            </c:ext>
          </c:extLst>
        </c:ser>
        <c:ser>
          <c:idx val="11"/>
          <c:order val="11"/>
          <c:tx>
            <c:strRef>
              <c:f>'Global derived'!$B$18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'Global derived'!$C$6:$N$6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derived'!$C$18:$N$18</c:f>
              <c:numCache>
                <c:formatCode>#,##0</c:formatCode>
                <c:ptCount val="12"/>
                <c:pt idx="0">
                  <c:v>10619764.67466308</c:v>
                </c:pt>
                <c:pt idx="1">
                  <c:v>9968464.3286310863</c:v>
                </c:pt>
                <c:pt idx="2">
                  <c:v>10827102.526014708</c:v>
                </c:pt>
                <c:pt idx="3">
                  <c:v>10717513.666105781</c:v>
                </c:pt>
                <c:pt idx="4">
                  <c:v>10334147.63749839</c:v>
                </c:pt>
                <c:pt idx="5">
                  <c:v>11708877.264399027</c:v>
                </c:pt>
                <c:pt idx="6">
                  <c:v>12258304.990131078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5E-488C-A9C1-1646E6AB6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'Global derived'!$B$7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'Global derived'!$C$6:$N$6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'Global derived'!$C$7:$N$7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25E-488C-A9C1-1646E6AB655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25E-488C-A9C1-1646E6AB655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25E-488C-A9C1-1646E6AB655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8630970.4682461824</c:v>
                      </c:pt>
                      <c:pt idx="1">
                        <c:v>9055937.5827418789</c:v>
                      </c:pt>
                      <c:pt idx="2">
                        <c:v>10146942.357473075</c:v>
                      </c:pt>
                      <c:pt idx="3">
                        <c:v>10686469.491901226</c:v>
                      </c:pt>
                      <c:pt idx="4">
                        <c:v>10033223.779589375</c:v>
                      </c:pt>
                      <c:pt idx="5">
                        <c:v>11149435.036687834</c:v>
                      </c:pt>
                      <c:pt idx="6">
                        <c:v>10299317.709379356</c:v>
                      </c:pt>
                      <c:pt idx="7">
                        <c:v>9788242.7589356005</c:v>
                      </c:pt>
                      <c:pt idx="8">
                        <c:v>10753919.067892291</c:v>
                      </c:pt>
                      <c:pt idx="9">
                        <c:v>9885368.5785908587</c:v>
                      </c:pt>
                      <c:pt idx="10">
                        <c:v>11117856.545650007</c:v>
                      </c:pt>
                      <c:pt idx="11">
                        <c:v>10386829.560519589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25E-488C-A9C1-1646E6AB655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10671215.671042973</c:v>
                      </c:pt>
                      <c:pt idx="1">
                        <c:v>10743708.225571161</c:v>
                      </c:pt>
                      <c:pt idx="2">
                        <c:v>10946305.1968977</c:v>
                      </c:pt>
                      <c:pt idx="3">
                        <c:v>11402898.836439276</c:v>
                      </c:pt>
                      <c:pt idx="4">
                        <c:v>10870670.030980157</c:v>
                      </c:pt>
                      <c:pt idx="5">
                        <c:v>11355909.344637197</c:v>
                      </c:pt>
                      <c:pt idx="6">
                        <c:v>11009150.613840126</c:v>
                      </c:pt>
                      <c:pt idx="7">
                        <c:v>12302119.051450966</c:v>
                      </c:pt>
                      <c:pt idx="8">
                        <c:v>11424806.683976144</c:v>
                      </c:pt>
                      <c:pt idx="9">
                        <c:v>11612504.725000435</c:v>
                      </c:pt>
                      <c:pt idx="10">
                        <c:v>11136573.693754809</c:v>
                      </c:pt>
                      <c:pt idx="11">
                        <c:v>10612658.326759813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25E-488C-A9C1-1646E6AB655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derived'!$B$12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derived'!$C$12:$N$12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9950618.6381846797</c:v>
                      </c:pt>
                      <c:pt idx="1">
                        <c:v>9643185.1113164816</c:v>
                      </c:pt>
                      <c:pt idx="2">
                        <c:v>10815732.707544766</c:v>
                      </c:pt>
                      <c:pt idx="3">
                        <c:v>10204714.835298883</c:v>
                      </c:pt>
                      <c:pt idx="4">
                        <c:v>11530570.381078726</c:v>
                      </c:pt>
                      <c:pt idx="5">
                        <c:v>12146818.164105318</c:v>
                      </c:pt>
                      <c:pt idx="6">
                        <c:v>11261491.991353391</c:v>
                      </c:pt>
                      <c:pt idx="7">
                        <c:v>10719890.753555</c:v>
                      </c:pt>
                      <c:pt idx="8">
                        <c:v>10663595.539210293</c:v>
                      </c:pt>
                      <c:pt idx="9">
                        <c:v>10452609.314790456</c:v>
                      </c:pt>
                      <c:pt idx="10">
                        <c:v>10555719.718583314</c:v>
                      </c:pt>
                      <c:pt idx="11">
                        <c:v>11117875.450022358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25E-488C-A9C1-1646E6AB655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derived'!$B$13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derived'!$C$13:$N$13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10162602.207926374</c:v>
                      </c:pt>
                      <c:pt idx="1">
                        <c:v>10538824.42288764</c:v>
                      </c:pt>
                      <c:pt idx="2">
                        <c:v>11492074.80106171</c:v>
                      </c:pt>
                      <c:pt idx="3">
                        <c:v>10563890.244351832</c:v>
                      </c:pt>
                      <c:pt idx="4">
                        <c:v>11616779.141194366</c:v>
                      </c:pt>
                      <c:pt idx="5">
                        <c:v>12688275.198954113</c:v>
                      </c:pt>
                      <c:pt idx="6">
                        <c:v>11757781.903056649</c:v>
                      </c:pt>
                      <c:pt idx="7">
                        <c:v>10523204.073065698</c:v>
                      </c:pt>
                      <c:pt idx="8">
                        <c:v>11636511.937813282</c:v>
                      </c:pt>
                      <c:pt idx="9">
                        <c:v>11107640.554465195</c:v>
                      </c:pt>
                      <c:pt idx="10">
                        <c:v>10497298.393015807</c:v>
                      </c:pt>
                      <c:pt idx="11">
                        <c:v>10786931.405702867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25E-488C-A9C1-1646E6AB6556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66516829571116209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'Global derived'!$A$66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'Global derived'!$B$65:$M$65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derived'!$B$66:$M$66</c:f>
              <c:numCache>
                <c:formatCode>#,##0</c:formatCode>
                <c:ptCount val="12"/>
                <c:pt idx="0">
                  <c:v>10619764.67466308</c:v>
                </c:pt>
                <c:pt idx="1">
                  <c:v>9968464.3286310863</c:v>
                </c:pt>
                <c:pt idx="2">
                  <c:v>10827102.526014708</c:v>
                </c:pt>
                <c:pt idx="3">
                  <c:v>10717513.666105781</c:v>
                </c:pt>
                <c:pt idx="4">
                  <c:v>10334147.63749839</c:v>
                </c:pt>
                <c:pt idx="5">
                  <c:v>11708877.264399027</c:v>
                </c:pt>
                <c:pt idx="6">
                  <c:v>12258304.990131078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A-48A1-8696-80C7289FC360}"/>
            </c:ext>
          </c:extLst>
        </c:ser>
        <c:ser>
          <c:idx val="1"/>
          <c:order val="1"/>
          <c:tx>
            <c:strRef>
              <c:f>'Global derived'!$A$67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'Global derived'!$B$65:$M$65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derived'!$B$67:$M$67</c:f>
              <c:numCache>
                <c:formatCode>#,##0</c:formatCode>
                <c:ptCount val="12"/>
                <c:pt idx="0">
                  <c:v>8630970.4682461824</c:v>
                </c:pt>
                <c:pt idx="1">
                  <c:v>9055937.5827418789</c:v>
                </c:pt>
                <c:pt idx="2">
                  <c:v>10146942.357473075</c:v>
                </c:pt>
                <c:pt idx="3">
                  <c:v>9284724.4118741117</c:v>
                </c:pt>
                <c:pt idx="4">
                  <c:v>10011138.601719223</c:v>
                </c:pt>
                <c:pt idx="5">
                  <c:v>11149435.036687834</c:v>
                </c:pt>
                <c:pt idx="6">
                  <c:v>10299317.709379356</c:v>
                </c:pt>
                <c:pt idx="7">
                  <c:v>9788242.7589356005</c:v>
                </c:pt>
                <c:pt idx="8">
                  <c:v>10663595.539210293</c:v>
                </c:pt>
                <c:pt idx="9">
                  <c:v>9885368.5785908587</c:v>
                </c:pt>
                <c:pt idx="10">
                  <c:v>10470487.738600034</c:v>
                </c:pt>
                <c:pt idx="11">
                  <c:v>9030134.4847685881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1A-48A1-8696-80C7289FC360}"/>
            </c:ext>
          </c:extLst>
        </c:ser>
        <c:ser>
          <c:idx val="2"/>
          <c:order val="2"/>
          <c:tx>
            <c:strRef>
              <c:f>'Global derived'!$A$68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'Global derived'!$B$65:$M$65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derived'!$B$68:$M$68</c:f>
              <c:numCache>
                <c:formatCode>#,##0</c:formatCode>
                <c:ptCount val="12"/>
                <c:pt idx="0">
                  <c:v>10738179.650932442</c:v>
                </c:pt>
                <c:pt idx="1">
                  <c:v>10743708.225571161</c:v>
                </c:pt>
                <c:pt idx="2">
                  <c:v>11958329.037914967</c:v>
                </c:pt>
                <c:pt idx="3">
                  <c:v>12230473.169062009</c:v>
                </c:pt>
                <c:pt idx="4">
                  <c:v>12152402.108761074</c:v>
                </c:pt>
                <c:pt idx="5">
                  <c:v>13501957.104541706</c:v>
                </c:pt>
                <c:pt idx="6">
                  <c:v>12194971.260669509</c:v>
                </c:pt>
                <c:pt idx="7">
                  <c:v>12729545.063789969</c:v>
                </c:pt>
                <c:pt idx="8">
                  <c:v>12173912.885420568</c:v>
                </c:pt>
                <c:pt idx="9">
                  <c:v>11803918.420064678</c:v>
                </c:pt>
                <c:pt idx="10">
                  <c:v>11428707.642575298</c:v>
                </c:pt>
                <c:pt idx="11">
                  <c:v>11947549.9407843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1A-48A1-8696-80C7289FC360}"/>
            </c:ext>
          </c:extLst>
        </c:ser>
        <c:ser>
          <c:idx val="3"/>
          <c:order val="3"/>
          <c:tx>
            <c:strRef>
              <c:f>'Global derived'!$A$69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'Global derived'!$B$65:$M$65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derived'!$B$69:$M$69</c:f>
              <c:numCache>
                <c:formatCode>#,##0</c:formatCode>
                <c:ptCount val="12"/>
                <c:pt idx="0">
                  <c:v>9873373.9336090982</c:v>
                </c:pt>
                <c:pt idx="1">
                  <c:v>10117740.475424726</c:v>
                </c:pt>
                <c:pt idx="2">
                  <c:v>11393617.327680074</c:v>
                </c:pt>
                <c:pt idx="3">
                  <c:v>10854890.993426476</c:v>
                </c:pt>
                <c:pt idx="4">
                  <c:v>11397096.977520976</c:v>
                </c:pt>
                <c:pt idx="5">
                  <c:v>12845979.001034483</c:v>
                </c:pt>
                <c:pt idx="6">
                  <c:v>11503867.681638092</c:v>
                </c:pt>
                <c:pt idx="7">
                  <c:v>11488888.407937927</c:v>
                </c:pt>
                <c:pt idx="8">
                  <c:v>11471645.047689218</c:v>
                </c:pt>
                <c:pt idx="9">
                  <c:v>11061378.91360933</c:v>
                </c:pt>
                <c:pt idx="10">
                  <c:v>10916855.864094447</c:v>
                </c:pt>
                <c:pt idx="11">
                  <c:v>10732420.248260286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1A-48A1-8696-80C7289FC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  <c:min val="80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'Global derived'!$I$84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'Global derived'!$H$121:$H$208</c:f>
              <c:strCache>
                <c:ptCount val="88"/>
                <c:pt idx="0">
                  <c:v>Sep'17/18</c:v>
                </c:pt>
                <c:pt idx="1">
                  <c:v>Oct'18/19</c:v>
                </c:pt>
                <c:pt idx="2">
                  <c:v>Nov'18/19</c:v>
                </c:pt>
                <c:pt idx="3">
                  <c:v>Dec'18/19</c:v>
                </c:pt>
                <c:pt idx="4">
                  <c:v>Jan'18/19</c:v>
                </c:pt>
                <c:pt idx="5">
                  <c:v>Feb'18/19</c:v>
                </c:pt>
                <c:pt idx="6">
                  <c:v>Mar'18/19</c:v>
                </c:pt>
                <c:pt idx="7">
                  <c:v>Apr'18/19</c:v>
                </c:pt>
                <c:pt idx="8">
                  <c:v>May'18/19</c:v>
                </c:pt>
                <c:pt idx="9">
                  <c:v>Jun'18/19</c:v>
                </c:pt>
                <c:pt idx="10">
                  <c:v>Jul'18/19</c:v>
                </c:pt>
                <c:pt idx="11">
                  <c:v>Aug'18/19</c:v>
                </c:pt>
                <c:pt idx="12">
                  <c:v>Sep'18/19</c:v>
                </c:pt>
                <c:pt idx="13">
                  <c:v>Oct'19/20</c:v>
                </c:pt>
                <c:pt idx="14">
                  <c:v>Nov'19/20</c:v>
                </c:pt>
                <c:pt idx="15">
                  <c:v>Dec'19/20</c:v>
                </c:pt>
                <c:pt idx="16">
                  <c:v>Jan'19/20</c:v>
                </c:pt>
                <c:pt idx="17">
                  <c:v>Feb'19/20</c:v>
                </c:pt>
                <c:pt idx="18">
                  <c:v>Mar'19/20</c:v>
                </c:pt>
                <c:pt idx="19">
                  <c:v>Apr'19/20</c:v>
                </c:pt>
                <c:pt idx="20">
                  <c:v>May'19/20</c:v>
                </c:pt>
                <c:pt idx="21">
                  <c:v>Jun'19/20</c:v>
                </c:pt>
                <c:pt idx="22">
                  <c:v>Jul'19/20</c:v>
                </c:pt>
                <c:pt idx="23">
                  <c:v>Aug'19/20</c:v>
                </c:pt>
                <c:pt idx="24">
                  <c:v>Sep'19/20</c:v>
                </c:pt>
                <c:pt idx="25">
                  <c:v>Oct'20/21</c:v>
                </c:pt>
                <c:pt idx="26">
                  <c:v>Nov'20/21</c:v>
                </c:pt>
                <c:pt idx="27">
                  <c:v>Dec'20/21</c:v>
                </c:pt>
                <c:pt idx="28">
                  <c:v>Jan'20/21</c:v>
                </c:pt>
                <c:pt idx="29">
                  <c:v>Feb'20/21</c:v>
                </c:pt>
                <c:pt idx="30">
                  <c:v>Mar'20/21</c:v>
                </c:pt>
                <c:pt idx="31">
                  <c:v>Apr'20/21</c:v>
                </c:pt>
                <c:pt idx="32">
                  <c:v>May'20/21</c:v>
                </c:pt>
                <c:pt idx="33">
                  <c:v>Jun'20/21</c:v>
                </c:pt>
                <c:pt idx="34">
                  <c:v>Jul'20/21</c:v>
                </c:pt>
                <c:pt idx="35">
                  <c:v>Aug'20/21</c:v>
                </c:pt>
                <c:pt idx="36">
                  <c:v>Sep'20/21</c:v>
                </c:pt>
                <c:pt idx="37">
                  <c:v>Oct'21/22</c:v>
                </c:pt>
                <c:pt idx="38">
                  <c:v>Nov'21/22</c:v>
                </c:pt>
                <c:pt idx="39">
                  <c:v>Dec'21/22</c:v>
                </c:pt>
                <c:pt idx="40">
                  <c:v>Jan'21/22</c:v>
                </c:pt>
                <c:pt idx="41">
                  <c:v>Feb'21/22</c:v>
                </c:pt>
                <c:pt idx="42">
                  <c:v>Mar'21/22</c:v>
                </c:pt>
                <c:pt idx="43">
                  <c:v>Apr'21/22</c:v>
                </c:pt>
                <c:pt idx="44">
                  <c:v>May'21/22</c:v>
                </c:pt>
                <c:pt idx="45">
                  <c:v>Jun'21/22</c:v>
                </c:pt>
                <c:pt idx="46">
                  <c:v>Jul'21/22</c:v>
                </c:pt>
                <c:pt idx="47">
                  <c:v>Aug'21/22</c:v>
                </c:pt>
                <c:pt idx="48">
                  <c:v>Sep'21/22</c:v>
                </c:pt>
                <c:pt idx="49">
                  <c:v>Oct'22/23</c:v>
                </c:pt>
                <c:pt idx="50">
                  <c:v>Nov'22/23</c:v>
                </c:pt>
                <c:pt idx="51">
                  <c:v>Dec'22/23</c:v>
                </c:pt>
                <c:pt idx="52">
                  <c:v>Jan'22/23</c:v>
                </c:pt>
                <c:pt idx="53">
                  <c:v>Feb'22/23</c:v>
                </c:pt>
                <c:pt idx="54">
                  <c:v>Mar'22/23</c:v>
                </c:pt>
                <c:pt idx="55">
                  <c:v>Apr'22/23</c:v>
                </c:pt>
                <c:pt idx="56">
                  <c:v>May'22/23</c:v>
                </c:pt>
                <c:pt idx="57">
                  <c:v>Jun'22/23</c:v>
                </c:pt>
                <c:pt idx="58">
                  <c:v>Jul'22/23</c:v>
                </c:pt>
                <c:pt idx="59">
                  <c:v>Aug'22/23</c:v>
                </c:pt>
                <c:pt idx="60">
                  <c:v>Sep'22/23</c:v>
                </c:pt>
                <c:pt idx="61">
                  <c:v>Oct'23/24</c:v>
                </c:pt>
                <c:pt idx="62">
                  <c:v>Nov'23/24</c:v>
                </c:pt>
                <c:pt idx="63">
                  <c:v>Dec'23/24</c:v>
                </c:pt>
                <c:pt idx="64">
                  <c:v>Jan'23/24</c:v>
                </c:pt>
                <c:pt idx="65">
                  <c:v>Feb'23/24</c:v>
                </c:pt>
                <c:pt idx="66">
                  <c:v>Mar'23/24</c:v>
                </c:pt>
                <c:pt idx="67">
                  <c:v>Apr'23/24</c:v>
                </c:pt>
                <c:pt idx="68">
                  <c:v>May'23/24</c:v>
                </c:pt>
                <c:pt idx="69">
                  <c:v>Jun'23/24</c:v>
                </c:pt>
                <c:pt idx="70">
                  <c:v>Jul'23/24</c:v>
                </c:pt>
                <c:pt idx="71">
                  <c:v>Aug'23/24</c:v>
                </c:pt>
                <c:pt idx="72">
                  <c:v>Sep'23/24</c:v>
                </c:pt>
                <c:pt idx="73">
                  <c:v>Oct'24/25</c:v>
                </c:pt>
                <c:pt idx="74">
                  <c:v>Nov'24/25</c:v>
                </c:pt>
                <c:pt idx="75">
                  <c:v>Dec'24/25</c:v>
                </c:pt>
                <c:pt idx="76">
                  <c:v>Jan'24/25</c:v>
                </c:pt>
                <c:pt idx="77">
                  <c:v>Feb'24/25</c:v>
                </c:pt>
                <c:pt idx="78">
                  <c:v>Mar'24/25</c:v>
                </c:pt>
                <c:pt idx="79">
                  <c:v>Apr'24/25</c:v>
                </c:pt>
                <c:pt idx="80">
                  <c:v>May'24/25</c:v>
                </c:pt>
                <c:pt idx="81">
                  <c:v>Jun'24/25</c:v>
                </c:pt>
                <c:pt idx="82">
                  <c:v>Jul'24/25</c:v>
                </c:pt>
                <c:pt idx="83">
                  <c:v>Aug'24/25</c:v>
                </c:pt>
                <c:pt idx="84">
                  <c:v>Sep'24/25</c:v>
                </c:pt>
                <c:pt idx="85">
                  <c:v>Oct'25/26</c:v>
                </c:pt>
                <c:pt idx="86">
                  <c:v>Nov'25/26</c:v>
                </c:pt>
                <c:pt idx="87">
                  <c:v>Dec'25/26</c:v>
                </c:pt>
              </c:strCache>
            </c:strRef>
          </c:cat>
          <c:val>
            <c:numRef>
              <c:f>'Global derived'!$I$121:$I$208</c:f>
              <c:numCache>
                <c:formatCode>General</c:formatCode>
                <c:ptCount val="88"/>
                <c:pt idx="0">
                  <c:v>121.93451293760729</c:v>
                </c:pt>
                <c:pt idx="1">
                  <c:v>123.97475814040408</c:v>
                </c:pt>
                <c:pt idx="2">
                  <c:v>125.66252878323334</c:v>
                </c:pt>
                <c:pt idx="3">
                  <c:v>126.46189162265799</c:v>
                </c:pt>
                <c:pt idx="4">
                  <c:v>127.17832096719603</c:v>
                </c:pt>
                <c:pt idx="5">
                  <c:v>128.0157672185868</c:v>
                </c:pt>
                <c:pt idx="6">
                  <c:v>128.22224152653618</c:v>
                </c:pt>
                <c:pt idx="7">
                  <c:v>128.93207443099695</c:v>
                </c:pt>
                <c:pt idx="8">
                  <c:v>131.44595072351231</c:v>
                </c:pt>
                <c:pt idx="9">
                  <c:v>132.11683833959614</c:v>
                </c:pt>
                <c:pt idx="10">
                  <c:v>133.84397448600575</c:v>
                </c:pt>
                <c:pt idx="11">
                  <c:v>133.86269163411052</c:v>
                </c:pt>
                <c:pt idx="12">
                  <c:v>134.08852040035077</c:v>
                </c:pt>
                <c:pt idx="13">
                  <c:v>133.36792336749247</c:v>
                </c:pt>
                <c:pt idx="14">
                  <c:v>132.26740025323778</c:v>
                </c:pt>
                <c:pt idx="15">
                  <c:v>132.13682776388487</c:v>
                </c:pt>
                <c:pt idx="16">
                  <c:v>130.93864376274448</c:v>
                </c:pt>
                <c:pt idx="17">
                  <c:v>131.59854411284303</c:v>
                </c:pt>
                <c:pt idx="18">
                  <c:v>132.38945293231114</c:v>
                </c:pt>
                <c:pt idx="19">
                  <c:v>132.64179430982441</c:v>
                </c:pt>
                <c:pt idx="20">
                  <c:v>131.05956601192844</c:v>
                </c:pt>
                <c:pt idx="21">
                  <c:v>130.29835486716257</c:v>
                </c:pt>
                <c:pt idx="22">
                  <c:v>129.1384594569526</c:v>
                </c:pt>
                <c:pt idx="23">
                  <c:v>128.55760548178114</c:v>
                </c:pt>
                <c:pt idx="24">
                  <c:v>129.06282260504366</c:v>
                </c:pt>
                <c:pt idx="25">
                  <c:v>129.27480617478537</c:v>
                </c:pt>
                <c:pt idx="26">
                  <c:v>130.17044548635653</c:v>
                </c:pt>
                <c:pt idx="27">
                  <c:v>130.84678757987345</c:v>
                </c:pt>
                <c:pt idx="28">
                  <c:v>131.20596298892642</c:v>
                </c:pt>
                <c:pt idx="29">
                  <c:v>131.29217174904207</c:v>
                </c:pt>
                <c:pt idx="30">
                  <c:v>131.83362878389084</c:v>
                </c:pt>
                <c:pt idx="31">
                  <c:v>132.3299186955941</c:v>
                </c:pt>
                <c:pt idx="32">
                  <c:v>132.1332320151048</c:v>
                </c:pt>
                <c:pt idx="33">
                  <c:v>133.10614841370779</c:v>
                </c:pt>
                <c:pt idx="34">
                  <c:v>133.76117965338253</c:v>
                </c:pt>
                <c:pt idx="35">
                  <c:v>133.70275832781502</c:v>
                </c:pt>
                <c:pt idx="36">
                  <c:v>133.37181428349552</c:v>
                </c:pt>
                <c:pt idx="37">
                  <c:v>133.15873023051509</c:v>
                </c:pt>
                <c:pt idx="38">
                  <c:v>132.42397353473234</c:v>
                </c:pt>
                <c:pt idx="39">
                  <c:v>132.89022777158556</c:v>
                </c:pt>
                <c:pt idx="40">
                  <c:v>134.55681069629574</c:v>
                </c:pt>
                <c:pt idx="41">
                  <c:v>134.37688135797003</c:v>
                </c:pt>
                <c:pt idx="42">
                  <c:v>135.19056326355764</c:v>
                </c:pt>
                <c:pt idx="43">
                  <c:v>134.48578485433757</c:v>
                </c:pt>
                <c:pt idx="44">
                  <c:v>135.12004851519433</c:v>
                </c:pt>
                <c:pt idx="45">
                  <c:v>135.06141951866823</c:v>
                </c:pt>
                <c:pt idx="46">
                  <c:v>134.15029371104939</c:v>
                </c:pt>
                <c:pt idx="47">
                  <c:v>134.1234830566336</c:v>
                </c:pt>
                <c:pt idx="48">
                  <c:v>133.86132757527747</c:v>
                </c:pt>
                <c:pt idx="49">
                  <c:v>133.19639863344821</c:v>
                </c:pt>
                <c:pt idx="50">
                  <c:v>133.40154738948752</c:v>
                </c:pt>
                <c:pt idx="51">
                  <c:v>131.87950200464397</c:v>
                </c:pt>
                <c:pt idx="52">
                  <c:v>128.93375324745608</c:v>
                </c:pt>
                <c:pt idx="53">
                  <c:v>127.50804204630664</c:v>
                </c:pt>
                <c:pt idx="54">
                  <c:v>125.79773407196551</c:v>
                </c:pt>
                <c:pt idx="55">
                  <c:v>125.212881920028</c:v>
                </c:pt>
                <c:pt idx="56">
                  <c:v>124.82260493962099</c:v>
                </c:pt>
                <c:pt idx="57">
                  <c:v>123.97425876884071</c:v>
                </c:pt>
                <c:pt idx="58">
                  <c:v>124.29080886593424</c:v>
                </c:pt>
                <c:pt idx="59">
                  <c:v>124.58075075553751</c:v>
                </c:pt>
                <c:pt idx="60">
                  <c:v>123.08610931595936</c:v>
                </c:pt>
                <c:pt idx="61">
                  <c:v>123.03350054396681</c:v>
                </c:pt>
                <c:pt idx="62">
                  <c:v>123.60032561819531</c:v>
                </c:pt>
                <c:pt idx="63">
                  <c:v>124.83812459638199</c:v>
                </c:pt>
                <c:pt idx="64">
                  <c:v>127.41843599702246</c:v>
                </c:pt>
                <c:pt idx="65">
                  <c:v>129.17561262836477</c:v>
                </c:pt>
                <c:pt idx="66">
                  <c:v>130.5542002794742</c:v>
                </c:pt>
                <c:pt idx="67">
                  <c:v>132.28102019824456</c:v>
                </c:pt>
                <c:pt idx="68">
                  <c:v>133.78086386012524</c:v>
                </c:pt>
                <c:pt idx="69">
                  <c:v>134.29170779303647</c:v>
                </c:pt>
                <c:pt idx="70">
                  <c:v>135.58256136916128</c:v>
                </c:pt>
                <c:pt idx="71">
                  <c:v>136.25083938353325</c:v>
                </c:pt>
                <c:pt idx="72">
                  <c:v>138.59341438446359</c:v>
                </c:pt>
                <c:pt idx="73">
                  <c:v>140.09961359427191</c:v>
                </c:pt>
                <c:pt idx="74">
                  <c:v>139.18412422351349</c:v>
                </c:pt>
                <c:pt idx="75">
                  <c:v>138.91735810734963</c:v>
                </c:pt>
                <c:pt idx="76">
                  <c:v>137.3826536241649</c:v>
                </c:pt>
                <c:pt idx="77">
                  <c:v>137.76674049986443</c:v>
                </c:pt>
                <c:pt idx="78">
                  <c:v>137.67428050872059</c:v>
                </c:pt>
                <c:pt idx="79">
                  <c:v>137.52473965677962</c:v>
                </c:pt>
                <c:pt idx="80">
                  <c:v>137.98725030517352</c:v>
                </c:pt>
                <c:pt idx="81">
                  <c:v>138.9207824871759</c:v>
                </c:pt>
                <c:pt idx="82">
                  <c:v>138.80262006984182</c:v>
                </c:pt>
                <c:pt idx="83">
                  <c:v>138.80126834534431</c:v>
                </c:pt>
                <c:pt idx="84">
                  <c:v>139.37610880042968</c:v>
                </c:pt>
                <c:pt idx="85">
                  <c:v>139.25769382416027</c:v>
                </c:pt>
                <c:pt idx="86">
                  <c:v>139.56560596617717</c:v>
                </c:pt>
                <c:pt idx="87">
                  <c:v>138.98539197709766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0-46F2-8E61-BE43D622F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'Global derived'!$K$27</c:f>
          <c:strCache>
            <c:ptCount val="1"/>
            <c:pt idx="0">
              <c:v>Global Coffee Exports | YTD : Oct-Apr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65045777447551"/>
          <c:y val="0.16757507662745516"/>
          <c:w val="0.803843048042442"/>
          <c:h val="0.7292115778382242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'Global derived'!$S$10:$S$18</c:f>
              <c:strCache>
                <c:ptCount val="9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'Global derived'!$T$10:$T$18</c:f>
              <c:numCache>
                <c:formatCode>#,##0</c:formatCode>
                <c:ptCount val="9"/>
                <c:pt idx="0">
                  <c:v>70002296.426018938</c:v>
                </c:pt>
                <c:pt idx="1">
                  <c:v>76999857.91940859</c:v>
                </c:pt>
                <c:pt idx="2">
                  <c:v>75553131.828882247</c:v>
                </c:pt>
                <c:pt idx="3">
                  <c:v>78820227.919432685</c:v>
                </c:pt>
                <c:pt idx="4">
                  <c:v>79934198.490274742</c:v>
                </c:pt>
                <c:pt idx="5">
                  <c:v>71285752.835025251</c:v>
                </c:pt>
                <c:pt idx="6">
                  <c:v>80480663.717310458</c:v>
                </c:pt>
                <c:pt idx="7">
                  <c:v>79411988.989626482</c:v>
                </c:pt>
                <c:pt idx="8">
                  <c:v>76434175.087443143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A-492E-93F9-D745AF976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'Global derived'!$Q$27</c:f>
          <c:strCache>
            <c:ptCount val="1"/>
            <c:pt idx="0">
              <c:v>Global Coffee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'Global derived'!$M$83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2"/>
              </a:solidFill>
              <a:ln w="9525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marker>
          <c:cat>
            <c:strRef>
              <c:f>'Global derived'!$N$75:$Y$75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derived'!$N$83:$Y$83</c:f>
              <c:numCache>
                <c:formatCode>#,##0</c:formatCode>
                <c:ptCount val="12"/>
                <c:pt idx="0">
                  <c:v>9949518.1549459249</c:v>
                </c:pt>
                <c:pt idx="1">
                  <c:v>19753585.88205079</c:v>
                </c:pt>
                <c:pt idx="2">
                  <c:v>31711914.919965759</c:v>
                </c:pt>
                <c:pt idx="3">
                  <c:v>43942388.08902777</c:v>
                </c:pt>
                <c:pt idx="4">
                  <c:v>55379237.891896419</c:v>
                </c:pt>
                <c:pt idx="5">
                  <c:v>68881194.996438131</c:v>
                </c:pt>
                <c:pt idx="6">
                  <c:v>79934198.490274742</c:v>
                </c:pt>
                <c:pt idx="7">
                  <c:v>91091666.224197194</c:v>
                </c:pt>
                <c:pt idx="8">
                  <c:v>102669549.16548437</c:v>
                </c:pt>
                <c:pt idx="9">
                  <c:v>112866063.91233072</c:v>
                </c:pt>
                <c:pt idx="10">
                  <c:v>123336551.65093075</c:v>
                </c:pt>
                <c:pt idx="11">
                  <c:v>133861327.57527748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4-48DC-802C-05F118330A1A}"/>
            </c:ext>
          </c:extLst>
        </c:ser>
        <c:ser>
          <c:idx val="2"/>
          <c:order val="2"/>
          <c:tx>
            <c:strRef>
              <c:f>'Global derived'!$M$84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'Global derived'!$N$75:$Y$75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derived'!$N$84:$Y$84</c:f>
              <c:numCache>
                <c:formatCode>#,##0</c:formatCode>
                <c:ptCount val="12"/>
                <c:pt idx="0">
                  <c:v>9284589.2131166421</c:v>
                </c:pt>
                <c:pt idx="1">
                  <c:v>19293805.69626084</c:v>
                </c:pt>
                <c:pt idx="2">
                  <c:v>29730089.349332236</c:v>
                </c:pt>
                <c:pt idx="3">
                  <c:v>39014813.761206344</c:v>
                </c:pt>
                <c:pt idx="4">
                  <c:v>49025952.362925567</c:v>
                </c:pt>
                <c:pt idx="5">
                  <c:v>60817601.493126109</c:v>
                </c:pt>
                <c:pt idx="6">
                  <c:v>71285752.835025251</c:v>
                </c:pt>
                <c:pt idx="7">
                  <c:v>82052943.588540688</c:v>
                </c:pt>
                <c:pt idx="8">
                  <c:v>92782480.359047607</c:v>
                </c:pt>
                <c:pt idx="9">
                  <c:v>103295545.20298745</c:v>
                </c:pt>
                <c:pt idx="10">
                  <c:v>114055974.83119078</c:v>
                </c:pt>
                <c:pt idx="11">
                  <c:v>123086109.31595936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4-48DC-802C-05F118330A1A}"/>
            </c:ext>
          </c:extLst>
        </c:ser>
        <c:ser>
          <c:idx val="3"/>
          <c:order val="3"/>
          <c:tx>
            <c:strRef>
              <c:f>'Global derived'!$M$85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'Global derived'!$N$75:$Y$75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derived'!$N$85:$Y$85</c:f>
              <c:numCache>
                <c:formatCode>#,##0</c:formatCode>
                <c:ptCount val="12"/>
                <c:pt idx="0">
                  <c:v>9231980.4411241002</c:v>
                </c:pt>
                <c:pt idx="1">
                  <c:v>19808021.998496786</c:v>
                </c:pt>
                <c:pt idx="2">
                  <c:v>31482104.629754849</c:v>
                </c:pt>
                <c:pt idx="3">
                  <c:v>43347140.44226943</c:v>
                </c:pt>
                <c:pt idx="4">
                  <c:v>55115455.675330997</c:v>
                </c:pt>
                <c:pt idx="5">
                  <c:v>68285692.456640944</c:v>
                </c:pt>
                <c:pt idx="6">
                  <c:v>80480663.717310458</c:v>
                </c:pt>
                <c:pt idx="7">
                  <c:v>92747698.132706553</c:v>
                </c:pt>
                <c:pt idx="8">
                  <c:v>103988078.83612469</c:v>
                </c:pt>
                <c:pt idx="9">
                  <c:v>115791997.25618936</c:v>
                </c:pt>
                <c:pt idx="10">
                  <c:v>127220704.89876465</c:v>
                </c:pt>
                <c:pt idx="11">
                  <c:v>138593414.38446358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4-48DC-802C-05F118330A1A}"/>
            </c:ext>
          </c:extLst>
        </c:ser>
        <c:ser>
          <c:idx val="4"/>
          <c:order val="4"/>
          <c:tx>
            <c:strRef>
              <c:f>'Global derived'!$M$86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'Global derived'!$N$75:$Y$75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derived'!$N$86:$Y$86</c:f>
              <c:numCache>
                <c:formatCode>#,##0</c:formatCode>
                <c:ptCount val="12"/>
                <c:pt idx="0">
                  <c:v>10738179.650932442</c:v>
                </c:pt>
                <c:pt idx="1">
                  <c:v>20398731.837546676</c:v>
                </c:pt>
                <c:pt idx="2">
                  <c:v>31806048.352640904</c:v>
                </c:pt>
                <c:pt idx="3">
                  <c:v>42136379.681970753</c:v>
                </c:pt>
                <c:pt idx="4">
                  <c:v>54288781.790731825</c:v>
                </c:pt>
                <c:pt idx="5">
                  <c:v>67366558.580897927</c:v>
                </c:pt>
                <c:pt idx="6">
                  <c:v>79411988.989626482</c:v>
                </c:pt>
                <c:pt idx="7">
                  <c:v>92141534.053416446</c:v>
                </c:pt>
                <c:pt idx="8">
                  <c:v>104315446.93883702</c:v>
                </c:pt>
                <c:pt idx="9">
                  <c:v>116001202.9415676</c:v>
                </c:pt>
                <c:pt idx="10">
                  <c:v>127428558.85964537</c:v>
                </c:pt>
                <c:pt idx="11">
                  <c:v>139376108.80042967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64-48DC-802C-05F118330A1A}"/>
            </c:ext>
          </c:extLst>
        </c:ser>
        <c:ser>
          <c:idx val="5"/>
          <c:order val="5"/>
          <c:tx>
            <c:strRef>
              <c:f>'Global derived'!$M$87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'Global derived'!$N$75:$Y$75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derived'!$N$87:$Y$87</c:f>
              <c:numCache>
                <c:formatCode>#,##0</c:formatCode>
                <c:ptCount val="12"/>
                <c:pt idx="0">
                  <c:v>10619764.67466308</c:v>
                </c:pt>
                <c:pt idx="1">
                  <c:v>20588229.003294166</c:v>
                </c:pt>
                <c:pt idx="2">
                  <c:v>31415331.529308874</c:v>
                </c:pt>
                <c:pt idx="3">
                  <c:v>42132845.195414655</c:v>
                </c:pt>
                <c:pt idx="4">
                  <c:v>52466992.832913041</c:v>
                </c:pt>
                <c:pt idx="5">
                  <c:v>64175870.09731207</c:v>
                </c:pt>
                <c:pt idx="6">
                  <c:v>76434175.087443143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64-48DC-802C-05F118330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'Global derived'!$M$82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'Global derived'!$N$75:$Y$75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'Global derived'!$N$82:$Y$82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10162602.207926374</c:v>
                      </c:pt>
                      <c:pt idx="1">
                        <c:v>20701426.630814016</c:v>
                      </c:pt>
                      <c:pt idx="2">
                        <c:v>32193501.431875728</c:v>
                      </c:pt>
                      <c:pt idx="3">
                        <c:v>42757391.676227562</c:v>
                      </c:pt>
                      <c:pt idx="4">
                        <c:v>54374170.817421928</c:v>
                      </c:pt>
                      <c:pt idx="5">
                        <c:v>67062446.016376041</c:v>
                      </c:pt>
                      <c:pt idx="6">
                        <c:v>78820227.919432685</c:v>
                      </c:pt>
                      <c:pt idx="7">
                        <c:v>89343431.992498383</c:v>
                      </c:pt>
                      <c:pt idx="8">
                        <c:v>100979943.93031166</c:v>
                      </c:pt>
                      <c:pt idx="9">
                        <c:v>112087584.48477685</c:v>
                      </c:pt>
                      <c:pt idx="10">
                        <c:v>122584882.87779266</c:v>
                      </c:pt>
                      <c:pt idx="11">
                        <c:v>133371814.28349552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A64-48DC-802C-05F118330A1A}"/>
                  </c:ext>
                </c:extLst>
              </c15:ser>
            </c15:filteredLineSeries>
          </c:ext>
        </c:extLst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'Global TDM + Vietnam'!$C$5</c:f>
          <c:strCache>
            <c:ptCount val="1"/>
            <c:pt idx="0">
              <c:v>Global + Vietnam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'Global TDM + Vietnam'!$B$14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'Global TDM + Vietnam'!$C$6:$N$6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TDM + Vietnam'!$C$14:$N$14</c:f>
              <c:numCache>
                <c:formatCode>#,##0</c:formatCode>
                <c:ptCount val="12"/>
                <c:pt idx="0">
                  <c:v>11563100</c:v>
                </c:pt>
                <c:pt idx="1">
                  <c:v>11724150</c:v>
                </c:pt>
                <c:pt idx="2">
                  <c:v>13447866.666666668</c:v>
                </c:pt>
                <c:pt idx="3">
                  <c:v>13967500.000000002</c:v>
                </c:pt>
                <c:pt idx="4">
                  <c:v>13086683.333333334</c:v>
                </c:pt>
                <c:pt idx="5">
                  <c:v>15474783.333333334</c:v>
                </c:pt>
                <c:pt idx="6">
                  <c:v>12712516.666666668</c:v>
                </c:pt>
                <c:pt idx="7">
                  <c:v>12360383.333333336</c:v>
                </c:pt>
                <c:pt idx="8">
                  <c:v>13552800.000000002</c:v>
                </c:pt>
                <c:pt idx="9">
                  <c:v>13886233.333333334</c:v>
                </c:pt>
                <c:pt idx="10">
                  <c:v>11867866.666666666</c:v>
                </c:pt>
                <c:pt idx="11">
                  <c:v>11724366.666666668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0-49F8-9FF8-EF5FA3FE2DB3}"/>
            </c:ext>
          </c:extLst>
        </c:ser>
        <c:ser>
          <c:idx val="8"/>
          <c:order val="8"/>
          <c:tx>
            <c:strRef>
              <c:f>'Global TDM + Vietnam'!$B$15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'Global TDM + Vietnam'!$C$6:$N$6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TDM + Vietnam'!$C$15:$N$15</c:f>
              <c:numCache>
                <c:formatCode>#,##0</c:formatCode>
                <c:ptCount val="12"/>
                <c:pt idx="0">
                  <c:v>11325750</c:v>
                </c:pt>
                <c:pt idx="1">
                  <c:v>12293466.666666668</c:v>
                </c:pt>
                <c:pt idx="2">
                  <c:v>12538866.699999999</c:v>
                </c:pt>
                <c:pt idx="3">
                  <c:v>10804586.639713153</c:v>
                </c:pt>
                <c:pt idx="4">
                  <c:v>11385231.820761472</c:v>
                </c:pt>
                <c:pt idx="5">
                  <c:v>12848742.323659111</c:v>
                </c:pt>
                <c:pt idx="6">
                  <c:v>12011141.72498103</c:v>
                </c:pt>
                <c:pt idx="7">
                  <c:v>12007555.926960722</c:v>
                </c:pt>
                <c:pt idx="8">
                  <c:v>12114722.883063262</c:v>
                </c:pt>
                <c:pt idx="9">
                  <c:v>12432448.336847106</c:v>
                </c:pt>
                <c:pt idx="10">
                  <c:v>12144480.192413529</c:v>
                </c:pt>
                <c:pt idx="11">
                  <c:v>9968256.4551196434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70-49F8-9FF8-EF5FA3FE2DB3}"/>
            </c:ext>
          </c:extLst>
        </c:ser>
        <c:ser>
          <c:idx val="9"/>
          <c:order val="9"/>
          <c:tx>
            <c:strRef>
              <c:f>'Global TDM + Vietnam'!$B$16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'Global TDM + Vietnam'!$C$6:$N$6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TDM + Vietnam'!$C$16:$N$16</c:f>
              <c:numCache>
                <c:formatCode>#,##0</c:formatCode>
                <c:ptCount val="12"/>
                <c:pt idx="0">
                  <c:v>10973177.168927584</c:v>
                </c:pt>
                <c:pt idx="1">
                  <c:v>12626363.564057395</c:v>
                </c:pt>
                <c:pt idx="2">
                  <c:v>13550975.096935781</c:v>
                </c:pt>
                <c:pt idx="3">
                  <c:v>13829033.333333334</c:v>
                </c:pt>
                <c:pt idx="4">
                  <c:v>12851366.666666668</c:v>
                </c:pt>
                <c:pt idx="5">
                  <c:v>13485100.000000002</c:v>
                </c:pt>
                <c:pt idx="6">
                  <c:v>14038250</c:v>
                </c:pt>
                <c:pt idx="7">
                  <c:v>13329833.333333334</c:v>
                </c:pt>
                <c:pt idx="8">
                  <c:v>12012066.666666668</c:v>
                </c:pt>
                <c:pt idx="9">
                  <c:v>12524250.000000002</c:v>
                </c:pt>
                <c:pt idx="10">
                  <c:v>12108166.666666668</c:v>
                </c:pt>
                <c:pt idx="11">
                  <c:v>11953750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70-49F8-9FF8-EF5FA3FE2DB3}"/>
            </c:ext>
          </c:extLst>
        </c:ser>
        <c:ser>
          <c:idx val="10"/>
          <c:order val="10"/>
          <c:tx>
            <c:strRef>
              <c:f>'Global TDM + Vietnam'!$B$17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'Global TDM + Vietnam'!$C$6:$N$6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TDM + Vietnam'!$C$17:$N$17</c:f>
              <c:numCache>
                <c:formatCode>#,##0</c:formatCode>
                <c:ptCount val="12"/>
                <c:pt idx="0">
                  <c:v>12596066.333333334</c:v>
                </c:pt>
                <c:pt idx="1">
                  <c:v>11889966.666666666</c:v>
                </c:pt>
                <c:pt idx="2">
                  <c:v>11809533.333333334</c:v>
                </c:pt>
                <c:pt idx="3">
                  <c:v>13087433.333333336</c:v>
                </c:pt>
                <c:pt idx="4">
                  <c:v>12776266.666666668</c:v>
                </c:pt>
                <c:pt idx="5">
                  <c:v>14938466.666666668</c:v>
                </c:pt>
                <c:pt idx="6">
                  <c:v>13238250</c:v>
                </c:pt>
                <c:pt idx="7">
                  <c:v>13465616.666666668</c:v>
                </c:pt>
                <c:pt idx="8">
                  <c:v>11940616.666666668</c:v>
                </c:pt>
                <c:pt idx="9">
                  <c:v>12149850</c:v>
                </c:pt>
                <c:pt idx="10">
                  <c:v>10918183</c:v>
                </c:pt>
                <c:pt idx="11">
                  <c:v>11755966.666666668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70-49F8-9FF8-EF5FA3FE2DB3}"/>
            </c:ext>
          </c:extLst>
        </c:ser>
        <c:ser>
          <c:idx val="11"/>
          <c:order val="11"/>
          <c:tx>
            <c:strRef>
              <c:f>'Global TDM + Vietnam'!$B$18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'Global TDM + Vietnam'!$C$6:$N$6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TDM + Vietnam'!$C$18:$N$18</c:f>
              <c:numCache>
                <c:formatCode>#,##0</c:formatCode>
                <c:ptCount val="12"/>
                <c:pt idx="0">
                  <c:v>10567150</c:v>
                </c:pt>
                <c:pt idx="1">
                  <c:v>8871933.2524816655</c:v>
                </c:pt>
                <c:pt idx="2">
                  <c:v>9594239.5027983338</c:v>
                </c:pt>
                <c:pt idx="3">
                  <c:v>9591414</c:v>
                </c:pt>
                <c:pt idx="4">
                  <c:v>8393792.333333334</c:v>
                </c:pt>
                <c:pt idx="5">
                  <c:v>9569299.3333333321</c:v>
                </c:pt>
                <c:pt idx="6">
                  <c:v>9619436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70-49F8-9FF8-EF5FA3FE2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'Global TDM + Vietnam'!$B$7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'Global TDM + Vietnam'!$C$6:$N$6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'Global TDM + Vietnam'!$C$7:$N$7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870-49F8-9FF8-EF5FA3FE2DB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870-49F8-9FF8-EF5FA3FE2DB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10954100</c:v>
                      </c:pt>
                      <c:pt idx="1">
                        <c:v>11034100.000000002</c:v>
                      </c:pt>
                      <c:pt idx="2">
                        <c:v>12652216.666666668</c:v>
                      </c:pt>
                      <c:pt idx="3">
                        <c:v>11826133.333333334</c:v>
                      </c:pt>
                      <c:pt idx="4">
                        <c:v>11680583.333333334</c:v>
                      </c:pt>
                      <c:pt idx="5">
                        <c:v>13757350</c:v>
                      </c:pt>
                      <c:pt idx="6">
                        <c:v>11601316.666666668</c:v>
                      </c:pt>
                      <c:pt idx="7">
                        <c:v>12376150</c:v>
                      </c:pt>
                      <c:pt idx="8">
                        <c:v>11541050</c:v>
                      </c:pt>
                      <c:pt idx="9">
                        <c:v>11045100.000000002</c:v>
                      </c:pt>
                      <c:pt idx="10">
                        <c:v>11236051.314217445</c:v>
                      </c:pt>
                      <c:pt idx="11">
                        <c:v>10290316.666666668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870-49F8-9FF8-EF5FA3FE2DB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10396266.666666668</c:v>
                      </c:pt>
                      <c:pt idx="1">
                        <c:v>10860351.277955271</c:v>
                      </c:pt>
                      <c:pt idx="2">
                        <c:v>11342100.000000002</c:v>
                      </c:pt>
                      <c:pt idx="3">
                        <c:v>12900466.666666668</c:v>
                      </c:pt>
                      <c:pt idx="4">
                        <c:v>11260350</c:v>
                      </c:pt>
                      <c:pt idx="5">
                        <c:v>13237333.333333334</c:v>
                      </c:pt>
                      <c:pt idx="6">
                        <c:v>12122650</c:v>
                      </c:pt>
                      <c:pt idx="7">
                        <c:v>11890000</c:v>
                      </c:pt>
                      <c:pt idx="8">
                        <c:v>12149100.000000002</c:v>
                      </c:pt>
                      <c:pt idx="9">
                        <c:v>10616000</c:v>
                      </c:pt>
                      <c:pt idx="10">
                        <c:v>11784100.000000002</c:v>
                      </c:pt>
                      <c:pt idx="11">
                        <c:v>11177766.666666668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870-49F8-9FF8-EF5FA3FE2DB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12224966.666666668</c:v>
                      </c:pt>
                      <c:pt idx="1">
                        <c:v>12735066.666666668</c:v>
                      </c:pt>
                      <c:pt idx="2">
                        <c:v>12779850</c:v>
                      </c:pt>
                      <c:pt idx="3">
                        <c:v>13426450</c:v>
                      </c:pt>
                      <c:pt idx="4">
                        <c:v>12432000</c:v>
                      </c:pt>
                      <c:pt idx="5">
                        <c:v>13950516.666666668</c:v>
                      </c:pt>
                      <c:pt idx="6">
                        <c:v>12753716.666666668</c:v>
                      </c:pt>
                      <c:pt idx="7">
                        <c:v>13959566.666666668</c:v>
                      </c:pt>
                      <c:pt idx="8">
                        <c:v>12584000.000000002</c:v>
                      </c:pt>
                      <c:pt idx="9">
                        <c:v>13364416.666666668</c:v>
                      </c:pt>
                      <c:pt idx="10">
                        <c:v>12094300</c:v>
                      </c:pt>
                      <c:pt idx="11">
                        <c:v>11605883.333333334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870-49F8-9FF8-EF5FA3FE2DB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Vietnam'!$B$12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Vietnam'!$C$12:$N$12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11643650</c:v>
                      </c:pt>
                      <c:pt idx="1">
                        <c:v>11555816.666666666</c:v>
                      </c:pt>
                      <c:pt idx="2">
                        <c:v>12828433.333333336</c:v>
                      </c:pt>
                      <c:pt idx="3">
                        <c:v>11830383.333333334</c:v>
                      </c:pt>
                      <c:pt idx="4">
                        <c:v>12610883.333333336</c:v>
                      </c:pt>
                      <c:pt idx="5">
                        <c:v>13620083.333333334</c:v>
                      </c:pt>
                      <c:pt idx="6">
                        <c:v>12939433.333333334</c:v>
                      </c:pt>
                      <c:pt idx="7">
                        <c:v>12454833.333333334</c:v>
                      </c:pt>
                      <c:pt idx="8">
                        <c:v>11763600</c:v>
                      </c:pt>
                      <c:pt idx="9">
                        <c:v>12146700</c:v>
                      </c:pt>
                      <c:pt idx="10">
                        <c:v>11151850</c:v>
                      </c:pt>
                      <c:pt idx="11">
                        <c:v>11916916.666666666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870-49F8-9FF8-EF5FA3FE2DB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Vietnam'!$B$13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'Global TDM + Vietnam'!$C$13:$N$13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11567333.333333334</c:v>
                      </c:pt>
                      <c:pt idx="1">
                        <c:v>12117266.666666668</c:v>
                      </c:pt>
                      <c:pt idx="2">
                        <c:v>13407133.333333334</c:v>
                      </c:pt>
                      <c:pt idx="3">
                        <c:v>12576566.666666668</c:v>
                      </c:pt>
                      <c:pt idx="4">
                        <c:v>12320966.666666668</c:v>
                      </c:pt>
                      <c:pt idx="5">
                        <c:v>15164233.333333334</c:v>
                      </c:pt>
                      <c:pt idx="6">
                        <c:v>13353100</c:v>
                      </c:pt>
                      <c:pt idx="7">
                        <c:v>12368716.666666668</c:v>
                      </c:pt>
                      <c:pt idx="8">
                        <c:v>12728500</c:v>
                      </c:pt>
                      <c:pt idx="9">
                        <c:v>12304033.333333334</c:v>
                      </c:pt>
                      <c:pt idx="10">
                        <c:v>11984116.666666666</c:v>
                      </c:pt>
                      <c:pt idx="11">
                        <c:v>11860166.666666668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870-49F8-9FF8-EF5FA3FE2DB3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66516829571116209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'Global TDM + Vietnam'!$A$66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'Global TDM + Vietnam'!$B$65:$M$65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TDM + Vietnam'!$B$66:$M$66</c:f>
              <c:numCache>
                <c:formatCode>#,##0</c:formatCode>
                <c:ptCount val="12"/>
                <c:pt idx="0">
                  <c:v>10567150</c:v>
                </c:pt>
                <c:pt idx="1">
                  <c:v>8871933.2524816655</c:v>
                </c:pt>
                <c:pt idx="2">
                  <c:v>9594239.5027983338</c:v>
                </c:pt>
                <c:pt idx="3">
                  <c:v>9591414</c:v>
                </c:pt>
                <c:pt idx="4">
                  <c:v>8393792.333333334</c:v>
                </c:pt>
                <c:pt idx="5">
                  <c:v>9569299.3333333321</c:v>
                </c:pt>
                <c:pt idx="6">
                  <c:v>9619436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11-4CC9-A53F-E281949A513E}"/>
            </c:ext>
          </c:extLst>
        </c:ser>
        <c:ser>
          <c:idx val="1"/>
          <c:order val="1"/>
          <c:tx>
            <c:strRef>
              <c:f>'Global TDM + Vietnam'!$A$67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'Global TDM + Vietnam'!$B$65:$M$65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TDM + Vietnam'!$B$67:$M$67</c:f>
              <c:numCache>
                <c:formatCode>#,##0</c:formatCode>
                <c:ptCount val="12"/>
                <c:pt idx="0">
                  <c:v>10396266.666666668</c:v>
                </c:pt>
                <c:pt idx="1">
                  <c:v>10860351.277955271</c:v>
                </c:pt>
                <c:pt idx="2">
                  <c:v>11342100.000000002</c:v>
                </c:pt>
                <c:pt idx="3">
                  <c:v>10804586.639713153</c:v>
                </c:pt>
                <c:pt idx="4">
                  <c:v>11260350</c:v>
                </c:pt>
                <c:pt idx="5">
                  <c:v>12848742.323659111</c:v>
                </c:pt>
                <c:pt idx="6">
                  <c:v>12011141.72498103</c:v>
                </c:pt>
                <c:pt idx="7">
                  <c:v>11890000</c:v>
                </c:pt>
                <c:pt idx="8">
                  <c:v>11763600</c:v>
                </c:pt>
                <c:pt idx="9">
                  <c:v>10616000</c:v>
                </c:pt>
                <c:pt idx="10">
                  <c:v>10918183</c:v>
                </c:pt>
                <c:pt idx="11">
                  <c:v>9968256.4551196434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11-4CC9-A53F-E281949A513E}"/>
            </c:ext>
          </c:extLst>
        </c:ser>
        <c:ser>
          <c:idx val="2"/>
          <c:order val="2"/>
          <c:tx>
            <c:strRef>
              <c:f>'Global TDM + Vietnam'!$A$68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'Global TDM + Vietnam'!$B$65:$M$65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TDM + Vietnam'!$B$68:$M$68</c:f>
              <c:numCache>
                <c:formatCode>#,##0</c:formatCode>
                <c:ptCount val="12"/>
                <c:pt idx="0">
                  <c:v>12596066.333333334</c:v>
                </c:pt>
                <c:pt idx="1">
                  <c:v>12735066.666666668</c:v>
                </c:pt>
                <c:pt idx="2">
                  <c:v>13550975.096935781</c:v>
                </c:pt>
                <c:pt idx="3">
                  <c:v>13967500.000000002</c:v>
                </c:pt>
                <c:pt idx="4">
                  <c:v>13086683.333333334</c:v>
                </c:pt>
                <c:pt idx="5">
                  <c:v>15474783.333333334</c:v>
                </c:pt>
                <c:pt idx="6">
                  <c:v>14038250</c:v>
                </c:pt>
                <c:pt idx="7">
                  <c:v>13959566.666666668</c:v>
                </c:pt>
                <c:pt idx="8">
                  <c:v>13552800.000000002</c:v>
                </c:pt>
                <c:pt idx="9">
                  <c:v>13886233.333333334</c:v>
                </c:pt>
                <c:pt idx="10">
                  <c:v>12144480.192413529</c:v>
                </c:pt>
                <c:pt idx="11">
                  <c:v>11953750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11-4CC9-A53F-E281949A513E}"/>
            </c:ext>
          </c:extLst>
        </c:ser>
        <c:ser>
          <c:idx val="3"/>
          <c:order val="3"/>
          <c:tx>
            <c:strRef>
              <c:f>'Global TDM + Vietnam'!$A$69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'Global TDM + Vietnam'!$B$65:$M$65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TDM + Vietnam'!$B$69:$M$69</c:f>
              <c:numCache>
                <c:formatCode>#,##0</c:formatCode>
                <c:ptCount val="12"/>
                <c:pt idx="0">
                  <c:v>11605085.367118852</c:v>
                </c:pt>
                <c:pt idx="1">
                  <c:v>12130242.712811479</c:v>
                </c:pt>
                <c:pt idx="2">
                  <c:v>12950875.026053824</c:v>
                </c:pt>
                <c:pt idx="3">
                  <c:v>12853023.9946093</c:v>
                </c:pt>
                <c:pt idx="4">
                  <c:v>12484103.030818963</c:v>
                </c:pt>
                <c:pt idx="5">
                  <c:v>14382265.13139849</c:v>
                </c:pt>
                <c:pt idx="6">
                  <c:v>13070651.678329539</c:v>
                </c:pt>
                <c:pt idx="7">
                  <c:v>12706421.185392145</c:v>
                </c:pt>
                <c:pt idx="8">
                  <c:v>12469741.243279319</c:v>
                </c:pt>
                <c:pt idx="9">
                  <c:v>12659363.000702756</c:v>
                </c:pt>
                <c:pt idx="10">
                  <c:v>11804562.638482705</c:v>
                </c:pt>
                <c:pt idx="11">
                  <c:v>11452501.291023931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11-4CC9-A53F-E281949A5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'Global TDM + Vietnam'!$I$84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'Global TDM + Vietnam'!$H$121:$H$208</c:f>
              <c:strCache>
                <c:ptCount val="88"/>
                <c:pt idx="0">
                  <c:v>Sep'17/18</c:v>
                </c:pt>
                <c:pt idx="1">
                  <c:v>Oct'18/19</c:v>
                </c:pt>
                <c:pt idx="2">
                  <c:v>Nov'18/19</c:v>
                </c:pt>
                <c:pt idx="3">
                  <c:v>Dec'18/19</c:v>
                </c:pt>
                <c:pt idx="4">
                  <c:v>Jan'18/19</c:v>
                </c:pt>
                <c:pt idx="5">
                  <c:v>Feb'18/19</c:v>
                </c:pt>
                <c:pt idx="6">
                  <c:v>Mar'18/19</c:v>
                </c:pt>
                <c:pt idx="7">
                  <c:v>Apr'18/19</c:v>
                </c:pt>
                <c:pt idx="8">
                  <c:v>May'18/19</c:v>
                </c:pt>
                <c:pt idx="9">
                  <c:v>Jun'18/19</c:v>
                </c:pt>
                <c:pt idx="10">
                  <c:v>Jul'18/19</c:v>
                </c:pt>
                <c:pt idx="11">
                  <c:v>Aug'18/19</c:v>
                </c:pt>
                <c:pt idx="12">
                  <c:v>Sep'18/19</c:v>
                </c:pt>
                <c:pt idx="13">
                  <c:v>Oct'19/20</c:v>
                </c:pt>
                <c:pt idx="14">
                  <c:v>Nov'19/20</c:v>
                </c:pt>
                <c:pt idx="15">
                  <c:v>Dec'19/20</c:v>
                </c:pt>
                <c:pt idx="16">
                  <c:v>Jan'19/20</c:v>
                </c:pt>
                <c:pt idx="17">
                  <c:v>Feb'19/20</c:v>
                </c:pt>
                <c:pt idx="18">
                  <c:v>Mar'19/20</c:v>
                </c:pt>
                <c:pt idx="19">
                  <c:v>Apr'19/20</c:v>
                </c:pt>
                <c:pt idx="20">
                  <c:v>May'19/20</c:v>
                </c:pt>
                <c:pt idx="21">
                  <c:v>Jun'19/20</c:v>
                </c:pt>
                <c:pt idx="22">
                  <c:v>Jul'19/20</c:v>
                </c:pt>
                <c:pt idx="23">
                  <c:v>Aug'19/20</c:v>
                </c:pt>
                <c:pt idx="24">
                  <c:v>Sep'19/20</c:v>
                </c:pt>
                <c:pt idx="25">
                  <c:v>Oct'20/21</c:v>
                </c:pt>
                <c:pt idx="26">
                  <c:v>Nov'20/21</c:v>
                </c:pt>
                <c:pt idx="27">
                  <c:v>Dec'20/21</c:v>
                </c:pt>
                <c:pt idx="28">
                  <c:v>Jan'20/21</c:v>
                </c:pt>
                <c:pt idx="29">
                  <c:v>Feb'20/21</c:v>
                </c:pt>
                <c:pt idx="30">
                  <c:v>Mar'20/21</c:v>
                </c:pt>
                <c:pt idx="31">
                  <c:v>Apr'20/21</c:v>
                </c:pt>
                <c:pt idx="32">
                  <c:v>May'20/21</c:v>
                </c:pt>
                <c:pt idx="33">
                  <c:v>Jun'20/21</c:v>
                </c:pt>
                <c:pt idx="34">
                  <c:v>Jul'20/21</c:v>
                </c:pt>
                <c:pt idx="35">
                  <c:v>Aug'20/21</c:v>
                </c:pt>
                <c:pt idx="36">
                  <c:v>Sep'20/21</c:v>
                </c:pt>
                <c:pt idx="37">
                  <c:v>Oct'21/22</c:v>
                </c:pt>
                <c:pt idx="38">
                  <c:v>Nov'21/22</c:v>
                </c:pt>
                <c:pt idx="39">
                  <c:v>Dec'21/22</c:v>
                </c:pt>
                <c:pt idx="40">
                  <c:v>Jan'21/22</c:v>
                </c:pt>
                <c:pt idx="41">
                  <c:v>Feb'21/22</c:v>
                </c:pt>
                <c:pt idx="42">
                  <c:v>Mar'21/22</c:v>
                </c:pt>
                <c:pt idx="43">
                  <c:v>Apr'21/22</c:v>
                </c:pt>
                <c:pt idx="44">
                  <c:v>May'21/22</c:v>
                </c:pt>
                <c:pt idx="45">
                  <c:v>Jun'21/22</c:v>
                </c:pt>
                <c:pt idx="46">
                  <c:v>Jul'21/22</c:v>
                </c:pt>
                <c:pt idx="47">
                  <c:v>Aug'21/22</c:v>
                </c:pt>
                <c:pt idx="48">
                  <c:v>Sep'21/22</c:v>
                </c:pt>
                <c:pt idx="49">
                  <c:v>Oct'22/23</c:v>
                </c:pt>
                <c:pt idx="50">
                  <c:v>Nov'22/23</c:v>
                </c:pt>
                <c:pt idx="51">
                  <c:v>Dec'22/23</c:v>
                </c:pt>
                <c:pt idx="52">
                  <c:v>Jan'22/23</c:v>
                </c:pt>
                <c:pt idx="53">
                  <c:v>Feb'22/23</c:v>
                </c:pt>
                <c:pt idx="54">
                  <c:v>Mar'22/23</c:v>
                </c:pt>
                <c:pt idx="55">
                  <c:v>Apr'22/23</c:v>
                </c:pt>
                <c:pt idx="56">
                  <c:v>May'22/23</c:v>
                </c:pt>
                <c:pt idx="57">
                  <c:v>Jun'22/23</c:v>
                </c:pt>
                <c:pt idx="58">
                  <c:v>Jul'22/23</c:v>
                </c:pt>
                <c:pt idx="59">
                  <c:v>Aug'22/23</c:v>
                </c:pt>
                <c:pt idx="60">
                  <c:v>Sep'22/23</c:v>
                </c:pt>
                <c:pt idx="61">
                  <c:v>Oct'23/24</c:v>
                </c:pt>
                <c:pt idx="62">
                  <c:v>Nov'23/24</c:v>
                </c:pt>
                <c:pt idx="63">
                  <c:v>Dec'23/24</c:v>
                </c:pt>
                <c:pt idx="64">
                  <c:v>Jan'23/24</c:v>
                </c:pt>
                <c:pt idx="65">
                  <c:v>Feb'23/24</c:v>
                </c:pt>
                <c:pt idx="66">
                  <c:v>Mar'23/24</c:v>
                </c:pt>
                <c:pt idx="67">
                  <c:v>Apr'23/24</c:v>
                </c:pt>
                <c:pt idx="68">
                  <c:v>May'23/24</c:v>
                </c:pt>
                <c:pt idx="69">
                  <c:v>Jun'23/24</c:v>
                </c:pt>
                <c:pt idx="70">
                  <c:v>Jul'23/24</c:v>
                </c:pt>
                <c:pt idx="71">
                  <c:v>Aug'23/24</c:v>
                </c:pt>
                <c:pt idx="72">
                  <c:v>Sep'23/24</c:v>
                </c:pt>
                <c:pt idx="73">
                  <c:v>Oct'24/25</c:v>
                </c:pt>
                <c:pt idx="74">
                  <c:v>Nov'24/25</c:v>
                </c:pt>
                <c:pt idx="75">
                  <c:v>Dec'24/25</c:v>
                </c:pt>
                <c:pt idx="76">
                  <c:v>Jan'24/25</c:v>
                </c:pt>
                <c:pt idx="77">
                  <c:v>Feb'24/25</c:v>
                </c:pt>
                <c:pt idx="78">
                  <c:v>Mar'24/25</c:v>
                </c:pt>
                <c:pt idx="79">
                  <c:v>Apr'24/25</c:v>
                </c:pt>
                <c:pt idx="80">
                  <c:v>May'24/25</c:v>
                </c:pt>
                <c:pt idx="81">
                  <c:v>Jun'24/25</c:v>
                </c:pt>
                <c:pt idx="82">
                  <c:v>Jul'24/25</c:v>
                </c:pt>
                <c:pt idx="83">
                  <c:v>Aug'24/25</c:v>
                </c:pt>
                <c:pt idx="84">
                  <c:v>Sep'24/25</c:v>
                </c:pt>
                <c:pt idx="85">
                  <c:v>Oct'25/26</c:v>
                </c:pt>
                <c:pt idx="86">
                  <c:v>Nov'25/26</c:v>
                </c:pt>
                <c:pt idx="87">
                  <c:v>Dec'25/26</c:v>
                </c:pt>
              </c:strCache>
            </c:strRef>
          </c:cat>
          <c:val>
            <c:numRef>
              <c:f>'Global TDM + Vietnam'!$I$121:$I$208</c:f>
              <c:numCache>
                <c:formatCode>General</c:formatCode>
                <c:ptCount val="88"/>
                <c:pt idx="0">
                  <c:v>139.7364846112886</c:v>
                </c:pt>
                <c:pt idx="1">
                  <c:v>141.5651846112886</c:v>
                </c:pt>
                <c:pt idx="2">
                  <c:v>143.43989999999999</c:v>
                </c:pt>
                <c:pt idx="3">
                  <c:v>144.87764999999999</c:v>
                </c:pt>
                <c:pt idx="4">
                  <c:v>145.40363333333337</c:v>
                </c:pt>
                <c:pt idx="5">
                  <c:v>146.57528333333337</c:v>
                </c:pt>
                <c:pt idx="6">
                  <c:v>147.28846666666669</c:v>
                </c:pt>
                <c:pt idx="7">
                  <c:v>147.91953333333333</c:v>
                </c:pt>
                <c:pt idx="8">
                  <c:v>149.98910000000001</c:v>
                </c:pt>
                <c:pt idx="9">
                  <c:v>150.42400000000004</c:v>
                </c:pt>
                <c:pt idx="10">
                  <c:v>153.17241666666669</c:v>
                </c:pt>
                <c:pt idx="11">
                  <c:v>153.4826166666667</c:v>
                </c:pt>
                <c:pt idx="12">
                  <c:v>153.91073333333335</c:v>
                </c:pt>
                <c:pt idx="13">
                  <c:v>153.32941666666667</c:v>
                </c:pt>
                <c:pt idx="14">
                  <c:v>152.15016666666665</c:v>
                </c:pt>
                <c:pt idx="15">
                  <c:v>152.19875000000002</c:v>
                </c:pt>
                <c:pt idx="16">
                  <c:v>150.60268333333335</c:v>
                </c:pt>
                <c:pt idx="17">
                  <c:v>150.78156666666669</c:v>
                </c:pt>
                <c:pt idx="18">
                  <c:v>150.45113333333333</c:v>
                </c:pt>
                <c:pt idx="19">
                  <c:v>150.63685000000004</c:v>
                </c:pt>
                <c:pt idx="20">
                  <c:v>149.13211666666666</c:v>
                </c:pt>
                <c:pt idx="21">
                  <c:v>148.31171666666665</c:v>
                </c:pt>
                <c:pt idx="22">
                  <c:v>147.09399999999999</c:v>
                </c:pt>
                <c:pt idx="23">
                  <c:v>146.15154999999999</c:v>
                </c:pt>
                <c:pt idx="24">
                  <c:v>146.46258333333333</c:v>
                </c:pt>
                <c:pt idx="25">
                  <c:v>146.3862666666667</c:v>
                </c:pt>
                <c:pt idx="26">
                  <c:v>146.94771666666668</c:v>
                </c:pt>
                <c:pt idx="27">
                  <c:v>147.52641666666668</c:v>
                </c:pt>
                <c:pt idx="28">
                  <c:v>148.27260000000001</c:v>
                </c:pt>
                <c:pt idx="29">
                  <c:v>147.98268333333331</c:v>
                </c:pt>
                <c:pt idx="30">
                  <c:v>149.52683333333334</c:v>
                </c:pt>
                <c:pt idx="31">
                  <c:v>149.94049999999999</c:v>
                </c:pt>
                <c:pt idx="32">
                  <c:v>149.85438333333335</c:v>
                </c:pt>
                <c:pt idx="33">
                  <c:v>150.81928333333335</c:v>
                </c:pt>
                <c:pt idx="34">
                  <c:v>150.9766166666667</c:v>
                </c:pt>
                <c:pt idx="35">
                  <c:v>151.80888333333334</c:v>
                </c:pt>
                <c:pt idx="36">
                  <c:v>151.75213333333332</c:v>
                </c:pt>
                <c:pt idx="37">
                  <c:v>151.74790000000004</c:v>
                </c:pt>
                <c:pt idx="38">
                  <c:v>151.35478333333333</c:v>
                </c:pt>
                <c:pt idx="39">
                  <c:v>151.39551666666665</c:v>
                </c:pt>
                <c:pt idx="40">
                  <c:v>152.78645</c:v>
                </c:pt>
                <c:pt idx="41">
                  <c:v>153.55216666666669</c:v>
                </c:pt>
                <c:pt idx="42">
                  <c:v>153.8627166666667</c:v>
                </c:pt>
                <c:pt idx="43">
                  <c:v>153.22213333333332</c:v>
                </c:pt>
                <c:pt idx="44">
                  <c:v>153.21379999999999</c:v>
                </c:pt>
                <c:pt idx="45">
                  <c:v>154.03809999999999</c:v>
                </c:pt>
                <c:pt idx="46">
                  <c:v>155.62029999999999</c:v>
                </c:pt>
                <c:pt idx="47">
                  <c:v>155.50405000000001</c:v>
                </c:pt>
                <c:pt idx="48">
                  <c:v>155.36824999999999</c:v>
                </c:pt>
                <c:pt idx="49">
                  <c:v>155.1309</c:v>
                </c:pt>
                <c:pt idx="50">
                  <c:v>155.70021666666665</c:v>
                </c:pt>
                <c:pt idx="51">
                  <c:v>154.79121670000001</c:v>
                </c:pt>
                <c:pt idx="52">
                  <c:v>151.62830333971317</c:v>
                </c:pt>
                <c:pt idx="53">
                  <c:v>149.92685182714132</c:v>
                </c:pt>
                <c:pt idx="54">
                  <c:v>147.3008108174671</c:v>
                </c:pt>
                <c:pt idx="55">
                  <c:v>146.59943587578144</c:v>
                </c:pt>
                <c:pt idx="56">
                  <c:v>146.24660846940881</c:v>
                </c:pt>
                <c:pt idx="57">
                  <c:v>144.8085313524721</c:v>
                </c:pt>
                <c:pt idx="58">
                  <c:v>143.35474635598584</c:v>
                </c:pt>
                <c:pt idx="59">
                  <c:v>143.63135988173269</c:v>
                </c:pt>
                <c:pt idx="60">
                  <c:v>141.8752496701857</c:v>
                </c:pt>
                <c:pt idx="61">
                  <c:v>141.52267683911327</c:v>
                </c:pt>
                <c:pt idx="62">
                  <c:v>141.85557373650403</c:v>
                </c:pt>
                <c:pt idx="63">
                  <c:v>142.86768213343979</c:v>
                </c:pt>
                <c:pt idx="64">
                  <c:v>145.89212882705996</c:v>
                </c:pt>
                <c:pt idx="65">
                  <c:v>147.35826367296514</c:v>
                </c:pt>
                <c:pt idx="66">
                  <c:v>147.99462134930604</c:v>
                </c:pt>
                <c:pt idx="67">
                  <c:v>150.02172962432505</c:v>
                </c:pt>
                <c:pt idx="68">
                  <c:v>151.34400703069764</c:v>
                </c:pt>
                <c:pt idx="69">
                  <c:v>151.241350814301</c:v>
                </c:pt>
                <c:pt idx="70">
                  <c:v>151.33315247745392</c:v>
                </c:pt>
                <c:pt idx="71">
                  <c:v>151.29683895170706</c:v>
                </c:pt>
                <c:pt idx="72">
                  <c:v>153.28233249658743</c:v>
                </c:pt>
                <c:pt idx="73">
                  <c:v>154.90522166099319</c:v>
                </c:pt>
                <c:pt idx="74">
                  <c:v>154.16882476360243</c:v>
                </c:pt>
                <c:pt idx="75">
                  <c:v>152.42738299999999</c:v>
                </c:pt>
                <c:pt idx="76">
                  <c:v>151.68578300000004</c:v>
                </c:pt>
                <c:pt idx="77">
                  <c:v>151.61068299999999</c:v>
                </c:pt>
                <c:pt idx="78">
                  <c:v>153.06404966666665</c:v>
                </c:pt>
                <c:pt idx="79">
                  <c:v>152.26404966666669</c:v>
                </c:pt>
                <c:pt idx="80">
                  <c:v>152.399833</c:v>
                </c:pt>
                <c:pt idx="81">
                  <c:v>152.328383</c:v>
                </c:pt>
                <c:pt idx="82">
                  <c:v>151.95398300000002</c:v>
                </c:pt>
                <c:pt idx="83">
                  <c:v>150.76399933333337</c:v>
                </c:pt>
                <c:pt idx="84">
                  <c:v>150.56621600000003</c:v>
                </c:pt>
                <c:pt idx="85">
                  <c:v>148.53729966666668</c:v>
                </c:pt>
                <c:pt idx="86">
                  <c:v>145.51926625248169</c:v>
                </c:pt>
                <c:pt idx="87">
                  <c:v>143.3039724219467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87-42B8-8049-5258EC500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'Global TDM + Vietnam'!$K$27</c:f>
          <c:strCache>
            <c:ptCount val="1"/>
            <c:pt idx="0">
              <c:v>Global + Vietnam | YTD : Oct-Apr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65045777447551"/>
          <c:y val="0.16757507662745516"/>
          <c:w val="0.803843048042442"/>
          <c:h val="0.7292115778382242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'Global TDM + Vietnam'!$S$10:$S$18</c:f>
              <c:strCache>
                <c:ptCount val="9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'Global TDM + Vietnam'!$T$10:$T$18</c:f>
              <c:numCache>
                <c:formatCode>#,##0</c:formatCode>
                <c:ptCount val="9"/>
                <c:pt idx="0">
                  <c:v>82119517.944621935</c:v>
                </c:pt>
                <c:pt idx="1">
                  <c:v>90302566.666666672</c:v>
                </c:pt>
                <c:pt idx="2">
                  <c:v>87028683.333333328</c:v>
                </c:pt>
                <c:pt idx="3">
                  <c:v>90506600</c:v>
                </c:pt>
                <c:pt idx="4">
                  <c:v>91976600.000000015</c:v>
                </c:pt>
                <c:pt idx="5">
                  <c:v>83207785.875781432</c:v>
                </c:pt>
                <c:pt idx="6">
                  <c:v>91354265.829920769</c:v>
                </c:pt>
                <c:pt idx="7">
                  <c:v>90335983.000000015</c:v>
                </c:pt>
                <c:pt idx="8">
                  <c:v>66207264.421946675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05-4BCB-83C5-B7D75BD4C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'Global TDM + Vietnam'!$Q$27</c:f>
          <c:strCache>
            <c:ptCount val="1"/>
            <c:pt idx="0">
              <c:v>Global + Vietnam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'Global TDM + Vietnam'!$M$83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2"/>
              </a:solidFill>
              <a:ln w="9525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marker>
          <c:cat>
            <c:strRef>
              <c:f>'Global TDM + Vietnam'!$N$75:$Y$75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TDM + Vietnam'!$N$83:$Y$83</c:f>
              <c:numCache>
                <c:formatCode>#,##0</c:formatCode>
                <c:ptCount val="12"/>
                <c:pt idx="0">
                  <c:v>11563100</c:v>
                </c:pt>
                <c:pt idx="1">
                  <c:v>23287250</c:v>
                </c:pt>
                <c:pt idx="2">
                  <c:v>36735116.666666672</c:v>
                </c:pt>
                <c:pt idx="3">
                  <c:v>50702616.666666672</c:v>
                </c:pt>
                <c:pt idx="4">
                  <c:v>63789300.000000007</c:v>
                </c:pt>
                <c:pt idx="5">
                  <c:v>79264083.333333343</c:v>
                </c:pt>
                <c:pt idx="6">
                  <c:v>91976600.000000015</c:v>
                </c:pt>
                <c:pt idx="7">
                  <c:v>104336983.33333334</c:v>
                </c:pt>
                <c:pt idx="8">
                  <c:v>117889783.33333334</c:v>
                </c:pt>
                <c:pt idx="9">
                  <c:v>131776016.66666667</c:v>
                </c:pt>
                <c:pt idx="10">
                  <c:v>143643883.33333334</c:v>
                </c:pt>
                <c:pt idx="11">
                  <c:v>155368250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4-4A35-BA78-4F30FDD4588D}"/>
            </c:ext>
          </c:extLst>
        </c:ser>
        <c:ser>
          <c:idx val="2"/>
          <c:order val="2"/>
          <c:tx>
            <c:strRef>
              <c:f>'Global TDM + Vietnam'!$M$84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'Global TDM + Vietnam'!$N$75:$Y$75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TDM + Vietnam'!$N$84:$Y$84</c:f>
              <c:numCache>
                <c:formatCode>#,##0</c:formatCode>
                <c:ptCount val="12"/>
                <c:pt idx="0">
                  <c:v>11325750</c:v>
                </c:pt>
                <c:pt idx="1">
                  <c:v>23619216.666666668</c:v>
                </c:pt>
                <c:pt idx="2">
                  <c:v>36158083.366666667</c:v>
                </c:pt>
                <c:pt idx="3">
                  <c:v>46962670.00637982</c:v>
                </c:pt>
                <c:pt idx="4">
                  <c:v>58347901.827141292</c:v>
                </c:pt>
                <c:pt idx="5">
                  <c:v>71196644.150800407</c:v>
                </c:pt>
                <c:pt idx="6">
                  <c:v>83207785.875781432</c:v>
                </c:pt>
                <c:pt idx="7">
                  <c:v>95215341.802742153</c:v>
                </c:pt>
                <c:pt idx="8">
                  <c:v>107330064.68580541</c:v>
                </c:pt>
                <c:pt idx="9">
                  <c:v>119762513.02265252</c:v>
                </c:pt>
                <c:pt idx="10">
                  <c:v>131906993.21506605</c:v>
                </c:pt>
                <c:pt idx="11">
                  <c:v>141875249.67018569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4-4A35-BA78-4F30FDD4588D}"/>
            </c:ext>
          </c:extLst>
        </c:ser>
        <c:ser>
          <c:idx val="3"/>
          <c:order val="3"/>
          <c:tx>
            <c:strRef>
              <c:f>'Global TDM + Vietnam'!$M$85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'Global TDM + Vietnam'!$N$75:$Y$75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TDM + Vietnam'!$N$85:$Y$85</c:f>
              <c:numCache>
                <c:formatCode>#,##0</c:formatCode>
                <c:ptCount val="12"/>
                <c:pt idx="0">
                  <c:v>10973177.168927584</c:v>
                </c:pt>
                <c:pt idx="1">
                  <c:v>23599540.732984979</c:v>
                </c:pt>
                <c:pt idx="2">
                  <c:v>37150515.829920761</c:v>
                </c:pt>
                <c:pt idx="3">
                  <c:v>50979549.163254097</c:v>
                </c:pt>
                <c:pt idx="4">
                  <c:v>63830915.829920769</c:v>
                </c:pt>
                <c:pt idx="5">
                  <c:v>77316015.829920769</c:v>
                </c:pt>
                <c:pt idx="6">
                  <c:v>91354265.829920769</c:v>
                </c:pt>
                <c:pt idx="7">
                  <c:v>104684099.1632541</c:v>
                </c:pt>
                <c:pt idx="8">
                  <c:v>116696165.82992077</c:v>
                </c:pt>
                <c:pt idx="9">
                  <c:v>129220415.82992077</c:v>
                </c:pt>
                <c:pt idx="10">
                  <c:v>141328582.49658743</c:v>
                </c:pt>
                <c:pt idx="11">
                  <c:v>153282332.49658743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84-4A35-BA78-4F30FDD4588D}"/>
            </c:ext>
          </c:extLst>
        </c:ser>
        <c:ser>
          <c:idx val="4"/>
          <c:order val="4"/>
          <c:tx>
            <c:strRef>
              <c:f>'Global TDM + Vietnam'!$M$86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'Global TDM + Vietnam'!$N$75:$Y$75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TDM + Vietnam'!$N$86:$Y$86</c:f>
              <c:numCache>
                <c:formatCode>#,##0</c:formatCode>
                <c:ptCount val="12"/>
                <c:pt idx="0">
                  <c:v>12596066.333333334</c:v>
                </c:pt>
                <c:pt idx="1">
                  <c:v>24486033</c:v>
                </c:pt>
                <c:pt idx="2">
                  <c:v>36295566.333333336</c:v>
                </c:pt>
                <c:pt idx="3">
                  <c:v>49382999.666666672</c:v>
                </c:pt>
                <c:pt idx="4">
                  <c:v>62159266.333333343</c:v>
                </c:pt>
                <c:pt idx="5">
                  <c:v>77097733.000000015</c:v>
                </c:pt>
                <c:pt idx="6">
                  <c:v>90335983.000000015</c:v>
                </c:pt>
                <c:pt idx="7">
                  <c:v>103801599.66666669</c:v>
                </c:pt>
                <c:pt idx="8">
                  <c:v>115742216.33333336</c:v>
                </c:pt>
                <c:pt idx="9">
                  <c:v>127892066.33333336</c:v>
                </c:pt>
                <c:pt idx="10">
                  <c:v>138810249.33333337</c:v>
                </c:pt>
                <c:pt idx="11">
                  <c:v>150566216.00000003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84-4A35-BA78-4F30FDD4588D}"/>
            </c:ext>
          </c:extLst>
        </c:ser>
        <c:ser>
          <c:idx val="5"/>
          <c:order val="5"/>
          <c:tx>
            <c:strRef>
              <c:f>'Global TDM + Vietnam'!$M$87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'Global TDM + Vietnam'!$N$75:$Y$75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'Global TDM + Vietnam'!$N$87:$Y$87</c:f>
              <c:numCache>
                <c:formatCode>#,##0</c:formatCode>
                <c:ptCount val="12"/>
                <c:pt idx="0">
                  <c:v>10567150</c:v>
                </c:pt>
                <c:pt idx="1">
                  <c:v>19439083.252481665</c:v>
                </c:pt>
                <c:pt idx="2">
                  <c:v>29033322.755279999</c:v>
                </c:pt>
                <c:pt idx="3">
                  <c:v>38624736.755280003</c:v>
                </c:pt>
                <c:pt idx="4">
                  <c:v>47018529.088613339</c:v>
                </c:pt>
                <c:pt idx="5">
                  <c:v>56587828.421946675</c:v>
                </c:pt>
                <c:pt idx="6">
                  <c:v>66207264.421946675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84-4A35-BA78-4F30FDD45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'Global TDM + Vietnam'!$M$82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'Global TDM + Vietnam'!$N$75:$Y$75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'Global TDM + Vietnam'!$N$82:$Y$82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11567333.333333334</c:v>
                      </c:pt>
                      <c:pt idx="1">
                        <c:v>23684600</c:v>
                      </c:pt>
                      <c:pt idx="2">
                        <c:v>37091733.333333336</c:v>
                      </c:pt>
                      <c:pt idx="3">
                        <c:v>49668300</c:v>
                      </c:pt>
                      <c:pt idx="4">
                        <c:v>61989266.666666672</c:v>
                      </c:pt>
                      <c:pt idx="5">
                        <c:v>77153500</c:v>
                      </c:pt>
                      <c:pt idx="6">
                        <c:v>90506600</c:v>
                      </c:pt>
                      <c:pt idx="7">
                        <c:v>102875316.66666667</c:v>
                      </c:pt>
                      <c:pt idx="8">
                        <c:v>115603816.66666667</c:v>
                      </c:pt>
                      <c:pt idx="9">
                        <c:v>127907850</c:v>
                      </c:pt>
                      <c:pt idx="10">
                        <c:v>139891966.66666666</c:v>
                      </c:pt>
                      <c:pt idx="11">
                        <c:v>151752133.33333331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F84-4A35-BA78-4F30FDD4588D}"/>
                  </c:ext>
                </c:extLst>
              </c15:ser>
            </c15:filteredLineSeries>
          </c:ext>
        </c:extLst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Aggregated!$C$5</c:f>
          <c:strCache>
            <c:ptCount val="1"/>
            <c:pt idx="0">
              <c:v>Robusta + Arabica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Aggregated!$B$12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5">
                    <a:lumMod val="20000"/>
                    <a:lumOff val="80000"/>
                  </a:schemeClr>
                </a:solidFill>
                <a:round/>
              </a:ln>
              <a:effectLst/>
            </c:spPr>
          </c:marker>
          <c:cat>
            <c:strRef>
              <c:f>Aggregated!$C$6:$N$6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Aggregated!$C$12:$N$12</c:f>
              <c:numCache>
                <c:formatCode>#,##0</c:formatCode>
                <c:ptCount val="12"/>
                <c:pt idx="0">
                  <c:v>8093038.9226400005</c:v>
                </c:pt>
                <c:pt idx="1">
                  <c:v>8033227.5857683346</c:v>
                </c:pt>
                <c:pt idx="2">
                  <c:v>9055351.3365000002</c:v>
                </c:pt>
                <c:pt idx="3">
                  <c:v>8962609.9988700002</c:v>
                </c:pt>
                <c:pt idx="4">
                  <c:v>9284799.7822066676</c:v>
                </c:pt>
                <c:pt idx="5">
                  <c:v>9890221.6159416661</c:v>
                </c:pt>
                <c:pt idx="6">
                  <c:v>8779765.0363333337</c:v>
                </c:pt>
                <c:pt idx="7">
                  <c:v>8124567.2800000003</c:v>
                </c:pt>
                <c:pt idx="8">
                  <c:v>8049321.3439650005</c:v>
                </c:pt>
                <c:pt idx="9">
                  <c:v>7921190.3782500001</c:v>
                </c:pt>
                <c:pt idx="10">
                  <c:v>7912156.9367933329</c:v>
                </c:pt>
                <c:pt idx="11">
                  <c:v>8307500.6855000006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5-4D56-B69A-A27A2B295C63}"/>
            </c:ext>
          </c:extLst>
        </c:ser>
        <c:ser>
          <c:idx val="6"/>
          <c:order val="6"/>
          <c:tx>
            <c:strRef>
              <c:f>Aggregated!$B$13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Aggregated!$C$6:$N$6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Aggregated!$C$13:$N$13</c:f>
              <c:numCache>
                <c:formatCode>#,##0</c:formatCode>
                <c:ptCount val="12"/>
                <c:pt idx="0">
                  <c:v>8453082.9510999992</c:v>
                </c:pt>
                <c:pt idx="1">
                  <c:v>8856397.1608333327</c:v>
                </c:pt>
                <c:pt idx="2">
                  <c:v>9752196.2788516656</c:v>
                </c:pt>
                <c:pt idx="3">
                  <c:v>9270005.2579216659</c:v>
                </c:pt>
                <c:pt idx="4">
                  <c:v>9348363.8540916666</c:v>
                </c:pt>
                <c:pt idx="5">
                  <c:v>10306913.36603</c:v>
                </c:pt>
                <c:pt idx="6">
                  <c:v>9176402.6832616664</c:v>
                </c:pt>
                <c:pt idx="7">
                  <c:v>8016814.123368334</c:v>
                </c:pt>
                <c:pt idx="8">
                  <c:v>8798996.884610001</c:v>
                </c:pt>
                <c:pt idx="9">
                  <c:v>8542223.3836883344</c:v>
                </c:pt>
                <c:pt idx="10">
                  <c:v>8072599.475575001</c:v>
                </c:pt>
                <c:pt idx="11">
                  <c:v>8075279.7284033336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75-4D56-B69A-A27A2B295C63}"/>
            </c:ext>
          </c:extLst>
        </c:ser>
        <c:ser>
          <c:idx val="7"/>
          <c:order val="7"/>
          <c:tx>
            <c:strRef>
              <c:f>Aggregated!$B$14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Aggregated!$C$6:$N$6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Aggregated!$C$14:$N$14</c:f>
              <c:numCache>
                <c:formatCode>#,##0</c:formatCode>
                <c:ptCount val="12"/>
                <c:pt idx="0">
                  <c:v>8118274.1420050003</c:v>
                </c:pt>
                <c:pt idx="1">
                  <c:v>8170179.8319033328</c:v>
                </c:pt>
                <c:pt idx="2">
                  <c:v>10029930.982786667</c:v>
                </c:pt>
                <c:pt idx="3">
                  <c:v>10434924.200631667</c:v>
                </c:pt>
                <c:pt idx="4">
                  <c:v>8851085.2033466659</c:v>
                </c:pt>
                <c:pt idx="5">
                  <c:v>10788065.706058335</c:v>
                </c:pt>
                <c:pt idx="6">
                  <c:v>8566342.746821668</c:v>
                </c:pt>
                <c:pt idx="7">
                  <c:v>8456691.8982366659</c:v>
                </c:pt>
                <c:pt idx="8">
                  <c:v>8688960.1369550005</c:v>
                </c:pt>
                <c:pt idx="9">
                  <c:v>7737422.7524500005</c:v>
                </c:pt>
                <c:pt idx="10">
                  <c:v>7851319.8305600006</c:v>
                </c:pt>
                <c:pt idx="11">
                  <c:v>7831576.58488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75-4D56-B69A-A27A2B295C63}"/>
            </c:ext>
          </c:extLst>
        </c:ser>
        <c:ser>
          <c:idx val="8"/>
          <c:order val="8"/>
          <c:tx>
            <c:strRef>
              <c:f>Aggregated!$B$15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Aggregated!$C$6:$N$6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Aggregated!$C$15:$N$15</c:f>
              <c:numCache>
                <c:formatCode>#,##0</c:formatCode>
                <c:ptCount val="12"/>
                <c:pt idx="0">
                  <c:v>7561106.6728833336</c:v>
                </c:pt>
                <c:pt idx="1">
                  <c:v>8502755.3513683341</c:v>
                </c:pt>
                <c:pt idx="2">
                  <c:v>8925436.7576199993</c:v>
                </c:pt>
                <c:pt idx="3">
                  <c:v>8094056.4425105974</c:v>
                </c:pt>
                <c:pt idx="4">
                  <c:v>8053002.4846611535</c:v>
                </c:pt>
                <c:pt idx="5">
                  <c:v>9588221.4442127794</c:v>
                </c:pt>
                <c:pt idx="6">
                  <c:v>8172030.9476461112</c:v>
                </c:pt>
                <c:pt idx="7">
                  <c:v>8173643.3860511947</c:v>
                </c:pt>
                <c:pt idx="8">
                  <c:v>8117456.0727294441</c:v>
                </c:pt>
                <c:pt idx="9">
                  <c:v>8075515.1703317463</c:v>
                </c:pt>
                <c:pt idx="10">
                  <c:v>8179577.1481411112</c:v>
                </c:pt>
                <c:pt idx="11">
                  <c:v>6682272.4152294453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75-4D56-B69A-A27A2B295C63}"/>
            </c:ext>
          </c:extLst>
        </c:ser>
        <c:ser>
          <c:idx val="9"/>
          <c:order val="9"/>
          <c:tx>
            <c:strRef>
              <c:f>Aggregated!$B$16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Aggregated!$C$6:$N$6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Aggregated!$C$16:$N$16</c:f>
              <c:numCache>
                <c:formatCode>#,##0</c:formatCode>
                <c:ptCount val="12"/>
                <c:pt idx="0">
                  <c:v>7436082.1541283336</c:v>
                </c:pt>
                <c:pt idx="1">
                  <c:v>8816020.2684016917</c:v>
                </c:pt>
                <c:pt idx="2">
                  <c:v>9760201.6111366674</c:v>
                </c:pt>
                <c:pt idx="3">
                  <c:v>10206682.52228</c:v>
                </c:pt>
                <c:pt idx="4">
                  <c:v>9280221.4114227518</c:v>
                </c:pt>
                <c:pt idx="5">
                  <c:v>10613252.920188334</c:v>
                </c:pt>
                <c:pt idx="6">
                  <c:v>9490552.4017016664</c:v>
                </c:pt>
                <c:pt idx="7">
                  <c:v>9285578.6182666663</c:v>
                </c:pt>
                <c:pt idx="8">
                  <c:v>8382235.9426283343</c:v>
                </c:pt>
                <c:pt idx="9">
                  <c:v>8827525.0727416668</c:v>
                </c:pt>
                <c:pt idx="10">
                  <c:v>8543496.0691633336</c:v>
                </c:pt>
                <c:pt idx="11">
                  <c:v>8435922.608101666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75-4D56-B69A-A27A2B295C63}"/>
            </c:ext>
          </c:extLst>
        </c:ser>
        <c:ser>
          <c:idx val="10"/>
          <c:order val="10"/>
          <c:tx>
            <c:strRef>
              <c:f>Aggregated!$B$17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Aggregated!$C$6:$N$6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Aggregated!$C$17:$N$17</c:f>
              <c:numCache>
                <c:formatCode>#,##0</c:formatCode>
                <c:ptCount val="12"/>
                <c:pt idx="0">
                  <c:v>8837729.3120849989</c:v>
                </c:pt>
                <c:pt idx="1">
                  <c:v>8266814.1435533334</c:v>
                </c:pt>
                <c:pt idx="2">
                  <c:v>9853980.5902533345</c:v>
                </c:pt>
                <c:pt idx="3">
                  <c:v>9137737.3942083344</c:v>
                </c:pt>
                <c:pt idx="4">
                  <c:v>9800870.4073216654</c:v>
                </c:pt>
                <c:pt idx="5">
                  <c:v>10626759.171869999</c:v>
                </c:pt>
                <c:pt idx="6">
                  <c:v>9384016.1674383339</c:v>
                </c:pt>
                <c:pt idx="7">
                  <c:v>9626982.2670099996</c:v>
                </c:pt>
                <c:pt idx="8">
                  <c:v>9019572.2281750012</c:v>
                </c:pt>
                <c:pt idx="9">
                  <c:v>8801469.9126933329</c:v>
                </c:pt>
                <c:pt idx="10">
                  <c:v>8538188.1055538896</c:v>
                </c:pt>
                <c:pt idx="11">
                  <c:v>8768594.3472370598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75-4D56-B69A-A27A2B295C63}"/>
            </c:ext>
          </c:extLst>
        </c:ser>
        <c:ser>
          <c:idx val="11"/>
          <c:order val="11"/>
          <c:tx>
            <c:strRef>
              <c:f>Aggregated!$B$18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Aggregated!$C$6:$N$6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Aggregated!$C$18:$N$18</c:f>
              <c:numCache>
                <c:formatCode>#,##0</c:formatCode>
                <c:ptCount val="12"/>
                <c:pt idx="0">
                  <c:v>8608395.8574516661</c:v>
                </c:pt>
                <c:pt idx="1">
                  <c:v>8341499.9191483334</c:v>
                </c:pt>
                <c:pt idx="2">
                  <c:v>9201239.5027983338</c:v>
                </c:pt>
                <c:pt idx="3">
                  <c:v>9401730.666666666</c:v>
                </c:pt>
                <c:pt idx="4">
                  <c:v>8318875.666666667</c:v>
                </c:pt>
                <c:pt idx="5">
                  <c:v>9517766</c:v>
                </c:pt>
                <c:pt idx="6">
                  <c:v>9552886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7-4D0B-BB18-10F3CED1B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Aggregated!$B$7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Aggregated!$C$6:$N$6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Aggregated!$C$7:$N$7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C475-4D56-B69A-A27A2B295C6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475-4D56-B69A-A27A2B295C6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475-4D56-B69A-A27A2B295C6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6833010.1849766672</c:v>
                      </c:pt>
                      <c:pt idx="1">
                        <c:v>7405175.2273936048</c:v>
                      </c:pt>
                      <c:pt idx="2">
                        <c:v>8494818.4449333344</c:v>
                      </c:pt>
                      <c:pt idx="3">
                        <c:v>9291365.9637666661</c:v>
                      </c:pt>
                      <c:pt idx="4">
                        <c:v>7983993.2266833335</c:v>
                      </c:pt>
                      <c:pt idx="5">
                        <c:v>9033040.8784499988</c:v>
                      </c:pt>
                      <c:pt idx="6">
                        <c:v>8026632.7617416671</c:v>
                      </c:pt>
                      <c:pt idx="7">
                        <c:v>7401658.9947500005</c:v>
                      </c:pt>
                      <c:pt idx="8">
                        <c:v>8031457.2746916674</c:v>
                      </c:pt>
                      <c:pt idx="9">
                        <c:v>7459760.7924649995</c:v>
                      </c:pt>
                      <c:pt idx="10">
                        <c:v>8270828.4056966668</c:v>
                      </c:pt>
                      <c:pt idx="11">
                        <c:v>7623555.6203683335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475-4D56-B69A-A27A2B295C6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8467730.8975333348</c:v>
                      </c:pt>
                      <c:pt idx="1">
                        <c:v>8939840.3486250006</c:v>
                      </c:pt>
                      <c:pt idx="2">
                        <c:v>9197958.3799433336</c:v>
                      </c:pt>
                      <c:pt idx="3">
                        <c:v>9930162.8854533322</c:v>
                      </c:pt>
                      <c:pt idx="4">
                        <c:v>8710529.6830366664</c:v>
                      </c:pt>
                      <c:pt idx="5">
                        <c:v>9221964.5537883341</c:v>
                      </c:pt>
                      <c:pt idx="6">
                        <c:v>8577485.8043916672</c:v>
                      </c:pt>
                      <c:pt idx="7">
                        <c:v>9360810.2379883341</c:v>
                      </c:pt>
                      <c:pt idx="8">
                        <c:v>8603102.1486566663</c:v>
                      </c:pt>
                      <c:pt idx="9">
                        <c:v>8787174.456956666</c:v>
                      </c:pt>
                      <c:pt idx="10">
                        <c:v>8372723.8241266664</c:v>
                      </c:pt>
                      <c:pt idx="11">
                        <c:v>7813668.6379633341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475-4D56-B69A-A27A2B295C63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  <c:min val="60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8972795006720049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Aggregated!$A$66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Aggregated!$B$65:$M$65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Aggregated!$B$66:$M$66</c:f>
              <c:numCache>
                <c:formatCode>#,##0</c:formatCode>
                <c:ptCount val="12"/>
                <c:pt idx="0">
                  <c:v>8608395.8574516661</c:v>
                </c:pt>
                <c:pt idx="1">
                  <c:v>8341499.9191483334</c:v>
                </c:pt>
                <c:pt idx="2">
                  <c:v>9201239.5027983338</c:v>
                </c:pt>
                <c:pt idx="3">
                  <c:v>9401730.666666666</c:v>
                </c:pt>
                <c:pt idx="4">
                  <c:v>8318875.666666667</c:v>
                </c:pt>
                <c:pt idx="5">
                  <c:v>9517766</c:v>
                </c:pt>
                <c:pt idx="6">
                  <c:v>9552886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2-4178-BE44-E409F5A6BAB6}"/>
            </c:ext>
          </c:extLst>
        </c:ser>
        <c:ser>
          <c:idx val="1"/>
          <c:order val="1"/>
          <c:tx>
            <c:strRef>
              <c:f>Aggregated!$A$67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Aggregated!$B$65:$M$65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Aggregated!$B$67:$M$67</c:f>
              <c:numCache>
                <c:formatCode>#,##0</c:formatCode>
                <c:ptCount val="12"/>
                <c:pt idx="0">
                  <c:v>6833010.1849766672</c:v>
                </c:pt>
                <c:pt idx="1">
                  <c:v>7405175.2273936048</c:v>
                </c:pt>
                <c:pt idx="2">
                  <c:v>8494818.4449333344</c:v>
                </c:pt>
                <c:pt idx="3">
                  <c:v>8094056.4425105974</c:v>
                </c:pt>
                <c:pt idx="4">
                  <c:v>7983993.2266833335</c:v>
                </c:pt>
                <c:pt idx="5">
                  <c:v>9033040.8784499988</c:v>
                </c:pt>
                <c:pt idx="6">
                  <c:v>8026632.7617416671</c:v>
                </c:pt>
                <c:pt idx="7">
                  <c:v>7401658.9947500005</c:v>
                </c:pt>
                <c:pt idx="8">
                  <c:v>8031457.2746916674</c:v>
                </c:pt>
                <c:pt idx="9">
                  <c:v>7459760.7924649995</c:v>
                </c:pt>
                <c:pt idx="10">
                  <c:v>7851319.8305600006</c:v>
                </c:pt>
                <c:pt idx="11">
                  <c:v>6682272.4152294453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62-4178-BE44-E409F5A6BAB6}"/>
            </c:ext>
          </c:extLst>
        </c:ser>
        <c:ser>
          <c:idx val="2"/>
          <c:order val="2"/>
          <c:tx>
            <c:strRef>
              <c:f>Aggregated!$A$68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Aggregated!$B$65:$M$65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Aggregated!$B$68:$M$68</c:f>
              <c:numCache>
                <c:formatCode>#,##0</c:formatCode>
                <c:ptCount val="12"/>
                <c:pt idx="0">
                  <c:v>8837729.3120849989</c:v>
                </c:pt>
                <c:pt idx="1">
                  <c:v>8939840.3486250006</c:v>
                </c:pt>
                <c:pt idx="2">
                  <c:v>10029930.982786667</c:v>
                </c:pt>
                <c:pt idx="3">
                  <c:v>10434924.200631667</c:v>
                </c:pt>
                <c:pt idx="4">
                  <c:v>9800870.4073216654</c:v>
                </c:pt>
                <c:pt idx="5">
                  <c:v>10788065.706058335</c:v>
                </c:pt>
                <c:pt idx="6">
                  <c:v>9490552.4017016664</c:v>
                </c:pt>
                <c:pt idx="7">
                  <c:v>9626982.2670099996</c:v>
                </c:pt>
                <c:pt idx="8">
                  <c:v>9019572.2281750012</c:v>
                </c:pt>
                <c:pt idx="9">
                  <c:v>8827525.0727416668</c:v>
                </c:pt>
                <c:pt idx="10">
                  <c:v>8543496.0691633336</c:v>
                </c:pt>
                <c:pt idx="11">
                  <c:v>8768594.3472370598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62-4178-BE44-E409F5A6BAB6}"/>
            </c:ext>
          </c:extLst>
        </c:ser>
        <c:ser>
          <c:idx val="3"/>
          <c:order val="3"/>
          <c:tx>
            <c:strRef>
              <c:f>Aggregated!$A$69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Aggregated!$B$65:$M$65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Aggregated!$B$69:$M$69</c:f>
              <c:numCache>
                <c:formatCode>#,##0</c:formatCode>
                <c:ptCount val="12"/>
                <c:pt idx="0">
                  <c:v>8083219.0258069439</c:v>
                </c:pt>
                <c:pt idx="1">
                  <c:v>8440899.0569713917</c:v>
                </c:pt>
                <c:pt idx="2">
                  <c:v>9562849.5928580556</c:v>
                </c:pt>
                <c:pt idx="3">
                  <c:v>9351002.6360703781</c:v>
                </c:pt>
                <c:pt idx="4">
                  <c:v>9103057.1905084271</c:v>
                </c:pt>
                <c:pt idx="5">
                  <c:v>10302239.037383521</c:v>
                </c:pt>
                <c:pt idx="6">
                  <c:v>8928184.9972004648</c:v>
                </c:pt>
                <c:pt idx="7">
                  <c:v>8614046.2621554751</c:v>
                </c:pt>
                <c:pt idx="8">
                  <c:v>8509423.7681771293</c:v>
                </c:pt>
                <c:pt idx="9">
                  <c:v>8317557.7783591794</c:v>
                </c:pt>
                <c:pt idx="10">
                  <c:v>8182889.5942977779</c:v>
                </c:pt>
                <c:pt idx="11">
                  <c:v>8016857.7282252507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62-4178-BE44-E409F5A6B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Aggregated!$I$84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Aggregated!$H$121:$H$208</c:f>
              <c:strCache>
                <c:ptCount val="88"/>
                <c:pt idx="0">
                  <c:v>Sep'17/18</c:v>
                </c:pt>
                <c:pt idx="1">
                  <c:v>Oct'18/19</c:v>
                </c:pt>
                <c:pt idx="2">
                  <c:v>Nov'18/19</c:v>
                </c:pt>
                <c:pt idx="3">
                  <c:v>Dec'18/19</c:v>
                </c:pt>
                <c:pt idx="4">
                  <c:v>Jan'18/19</c:v>
                </c:pt>
                <c:pt idx="5">
                  <c:v>Feb'18/19</c:v>
                </c:pt>
                <c:pt idx="6">
                  <c:v>Mar'18/19</c:v>
                </c:pt>
                <c:pt idx="7">
                  <c:v>Apr'18/19</c:v>
                </c:pt>
                <c:pt idx="8">
                  <c:v>May'18/19</c:v>
                </c:pt>
                <c:pt idx="9">
                  <c:v>Jun'18/19</c:v>
                </c:pt>
                <c:pt idx="10">
                  <c:v>Jul'18/19</c:v>
                </c:pt>
                <c:pt idx="11">
                  <c:v>Aug'18/19</c:v>
                </c:pt>
                <c:pt idx="12">
                  <c:v>Sep'18/19</c:v>
                </c:pt>
                <c:pt idx="13">
                  <c:v>Oct'19/20</c:v>
                </c:pt>
                <c:pt idx="14">
                  <c:v>Nov'19/20</c:v>
                </c:pt>
                <c:pt idx="15">
                  <c:v>Dec'19/20</c:v>
                </c:pt>
                <c:pt idx="16">
                  <c:v>Jan'19/20</c:v>
                </c:pt>
                <c:pt idx="17">
                  <c:v>Feb'19/20</c:v>
                </c:pt>
                <c:pt idx="18">
                  <c:v>Mar'19/20</c:v>
                </c:pt>
                <c:pt idx="19">
                  <c:v>Apr'19/20</c:v>
                </c:pt>
                <c:pt idx="20">
                  <c:v>May'19/20</c:v>
                </c:pt>
                <c:pt idx="21">
                  <c:v>Jun'19/20</c:v>
                </c:pt>
                <c:pt idx="22">
                  <c:v>Jul'19/20</c:v>
                </c:pt>
                <c:pt idx="23">
                  <c:v>Aug'19/20</c:v>
                </c:pt>
                <c:pt idx="24">
                  <c:v>Sep'19/20</c:v>
                </c:pt>
                <c:pt idx="25">
                  <c:v>Oct'20/21</c:v>
                </c:pt>
                <c:pt idx="26">
                  <c:v>Nov'20/21</c:v>
                </c:pt>
                <c:pt idx="27">
                  <c:v>Dec'20/21</c:v>
                </c:pt>
                <c:pt idx="28">
                  <c:v>Jan'20/21</c:v>
                </c:pt>
                <c:pt idx="29">
                  <c:v>Feb'20/21</c:v>
                </c:pt>
                <c:pt idx="30">
                  <c:v>Mar'20/21</c:v>
                </c:pt>
                <c:pt idx="31">
                  <c:v>Apr'20/21</c:v>
                </c:pt>
                <c:pt idx="32">
                  <c:v>May'20/21</c:v>
                </c:pt>
                <c:pt idx="33">
                  <c:v>Jun'20/21</c:v>
                </c:pt>
                <c:pt idx="34">
                  <c:v>Jul'20/21</c:v>
                </c:pt>
                <c:pt idx="35">
                  <c:v>Aug'20/21</c:v>
                </c:pt>
                <c:pt idx="36">
                  <c:v>Sep'20/21</c:v>
                </c:pt>
                <c:pt idx="37">
                  <c:v>Oct'21/22</c:v>
                </c:pt>
                <c:pt idx="38">
                  <c:v>Nov'21/22</c:v>
                </c:pt>
                <c:pt idx="39">
                  <c:v>Dec'21/22</c:v>
                </c:pt>
                <c:pt idx="40">
                  <c:v>Jan'21/22</c:v>
                </c:pt>
                <c:pt idx="41">
                  <c:v>Feb'21/22</c:v>
                </c:pt>
                <c:pt idx="42">
                  <c:v>Mar'21/22</c:v>
                </c:pt>
                <c:pt idx="43">
                  <c:v>Apr'21/22</c:v>
                </c:pt>
                <c:pt idx="44">
                  <c:v>May'21/22</c:v>
                </c:pt>
                <c:pt idx="45">
                  <c:v>Jun'21/22</c:v>
                </c:pt>
                <c:pt idx="46">
                  <c:v>Jul'21/22</c:v>
                </c:pt>
                <c:pt idx="47">
                  <c:v>Aug'21/22</c:v>
                </c:pt>
                <c:pt idx="48">
                  <c:v>Sep'21/22</c:v>
                </c:pt>
                <c:pt idx="49">
                  <c:v>Oct'22/23</c:v>
                </c:pt>
                <c:pt idx="50">
                  <c:v>Nov'22/23</c:v>
                </c:pt>
                <c:pt idx="51">
                  <c:v>Dec'22/23</c:v>
                </c:pt>
                <c:pt idx="52">
                  <c:v>Jan'22/23</c:v>
                </c:pt>
                <c:pt idx="53">
                  <c:v>Feb'22/23</c:v>
                </c:pt>
                <c:pt idx="54">
                  <c:v>Mar'22/23</c:v>
                </c:pt>
                <c:pt idx="55">
                  <c:v>Apr'22/23</c:v>
                </c:pt>
                <c:pt idx="56">
                  <c:v>May'22/23</c:v>
                </c:pt>
                <c:pt idx="57">
                  <c:v>Jun'22/23</c:v>
                </c:pt>
                <c:pt idx="58">
                  <c:v>Jul'22/23</c:v>
                </c:pt>
                <c:pt idx="59">
                  <c:v>Aug'22/23</c:v>
                </c:pt>
                <c:pt idx="60">
                  <c:v>Sep'22/23</c:v>
                </c:pt>
                <c:pt idx="61">
                  <c:v>Oct'23/24</c:v>
                </c:pt>
                <c:pt idx="62">
                  <c:v>Nov'23/24</c:v>
                </c:pt>
                <c:pt idx="63">
                  <c:v>Dec'23/24</c:v>
                </c:pt>
                <c:pt idx="64">
                  <c:v>Jan'23/24</c:v>
                </c:pt>
                <c:pt idx="65">
                  <c:v>Feb'23/24</c:v>
                </c:pt>
                <c:pt idx="66">
                  <c:v>Mar'23/24</c:v>
                </c:pt>
                <c:pt idx="67">
                  <c:v>Apr'23/24</c:v>
                </c:pt>
                <c:pt idx="68">
                  <c:v>May'23/24</c:v>
                </c:pt>
                <c:pt idx="69">
                  <c:v>Jun'23/24</c:v>
                </c:pt>
                <c:pt idx="70">
                  <c:v>Jul'23/24</c:v>
                </c:pt>
                <c:pt idx="71">
                  <c:v>Aug'23/24</c:v>
                </c:pt>
                <c:pt idx="72">
                  <c:v>Sep'23/24</c:v>
                </c:pt>
                <c:pt idx="73">
                  <c:v>Oct'24/25</c:v>
                </c:pt>
                <c:pt idx="74">
                  <c:v>Nov'24/25</c:v>
                </c:pt>
                <c:pt idx="75">
                  <c:v>Dec'24/25</c:v>
                </c:pt>
                <c:pt idx="76">
                  <c:v>Jan'24/25</c:v>
                </c:pt>
                <c:pt idx="77">
                  <c:v>Feb'24/25</c:v>
                </c:pt>
                <c:pt idx="78">
                  <c:v>Mar'24/25</c:v>
                </c:pt>
                <c:pt idx="79">
                  <c:v>Apr'24/25</c:v>
                </c:pt>
                <c:pt idx="80">
                  <c:v>May'24/25</c:v>
                </c:pt>
                <c:pt idx="81">
                  <c:v>Jun'24/25</c:v>
                </c:pt>
                <c:pt idx="82">
                  <c:v>Jul'24/25</c:v>
                </c:pt>
                <c:pt idx="83">
                  <c:v>Aug'24/25</c:v>
                </c:pt>
                <c:pt idx="84">
                  <c:v>Sep'24/25</c:v>
                </c:pt>
                <c:pt idx="85">
                  <c:v>Oct'25/26</c:v>
                </c:pt>
                <c:pt idx="86">
                  <c:v>Nov'25/26</c:v>
                </c:pt>
                <c:pt idx="87">
                  <c:v>Dec'25/26</c:v>
                </c:pt>
              </c:strCache>
            </c:strRef>
          </c:cat>
          <c:val>
            <c:numRef>
              <c:f>Aggregated!$I$121:$I$208</c:f>
              <c:numCache>
                <c:formatCode>General</c:formatCode>
                <c:ptCount val="88"/>
                <c:pt idx="0">
                  <c:v>95.855297775916938</c:v>
                </c:pt>
                <c:pt idx="1">
                  <c:v>97.490018488473595</c:v>
                </c:pt>
                <c:pt idx="2">
                  <c:v>99.024683609705008</c:v>
                </c:pt>
                <c:pt idx="3">
                  <c:v>99.727823544715022</c:v>
                </c:pt>
                <c:pt idx="4">
                  <c:v>100.36662046640168</c:v>
                </c:pt>
                <c:pt idx="5">
                  <c:v>101.093156922755</c:v>
                </c:pt>
                <c:pt idx="6">
                  <c:v>101.28208059809333</c:v>
                </c:pt>
                <c:pt idx="7">
                  <c:v>101.83293364074335</c:v>
                </c:pt>
                <c:pt idx="8">
                  <c:v>103.79208488398167</c:v>
                </c:pt>
                <c:pt idx="9">
                  <c:v>104.36372975794669</c:v>
                </c:pt>
                <c:pt idx="10">
                  <c:v>105.69114342243834</c:v>
                </c:pt>
                <c:pt idx="11">
                  <c:v>105.79303884086833</c:v>
                </c:pt>
                <c:pt idx="12">
                  <c:v>105.98315185846334</c:v>
                </c:pt>
                <c:pt idx="13">
                  <c:v>105.60845988357001</c:v>
                </c:pt>
                <c:pt idx="14">
                  <c:v>104.70184712071332</c:v>
                </c:pt>
                <c:pt idx="15">
                  <c:v>104.55924007727002</c:v>
                </c:pt>
                <c:pt idx="16">
                  <c:v>103.59168719068667</c:v>
                </c:pt>
                <c:pt idx="17">
                  <c:v>104.16595728985669</c:v>
                </c:pt>
                <c:pt idx="18">
                  <c:v>104.83421435201001</c:v>
                </c:pt>
                <c:pt idx="19">
                  <c:v>105.03649358395167</c:v>
                </c:pt>
                <c:pt idx="20">
                  <c:v>103.80025062596334</c:v>
                </c:pt>
                <c:pt idx="21">
                  <c:v>103.24646982127167</c:v>
                </c:pt>
                <c:pt idx="22">
                  <c:v>102.380485742565</c:v>
                </c:pt>
                <c:pt idx="23">
                  <c:v>101.91991885523166</c:v>
                </c:pt>
                <c:pt idx="24">
                  <c:v>102.41375090276833</c:v>
                </c:pt>
                <c:pt idx="25">
                  <c:v>102.77379493122831</c:v>
                </c:pt>
                <c:pt idx="26">
                  <c:v>103.59696450629333</c:v>
                </c:pt>
                <c:pt idx="27">
                  <c:v>104.29380944864499</c:v>
                </c:pt>
                <c:pt idx="28">
                  <c:v>104.60120470769665</c:v>
                </c:pt>
                <c:pt idx="29">
                  <c:v>104.66476877958166</c:v>
                </c:pt>
                <c:pt idx="30">
                  <c:v>105.08146052967003</c:v>
                </c:pt>
                <c:pt idx="31">
                  <c:v>105.47809817659834</c:v>
                </c:pt>
                <c:pt idx="32">
                  <c:v>105.37034501996668</c:v>
                </c:pt>
                <c:pt idx="33">
                  <c:v>106.12002056061165</c:v>
                </c:pt>
                <c:pt idx="34">
                  <c:v>106.74105356605</c:v>
                </c:pt>
                <c:pt idx="35">
                  <c:v>106.90149610483166</c:v>
                </c:pt>
                <c:pt idx="36">
                  <c:v>106.66927514773498</c:v>
                </c:pt>
                <c:pt idx="37">
                  <c:v>106.33446633863998</c:v>
                </c:pt>
                <c:pt idx="38">
                  <c:v>105.64824900971</c:v>
                </c:pt>
                <c:pt idx="39">
                  <c:v>105.925983713645</c:v>
                </c:pt>
                <c:pt idx="40">
                  <c:v>107.090902656355</c:v>
                </c:pt>
                <c:pt idx="41">
                  <c:v>106.59362400561001</c:v>
                </c:pt>
                <c:pt idx="42">
                  <c:v>107.07477634563834</c:v>
                </c:pt>
                <c:pt idx="43">
                  <c:v>106.46471640919835</c:v>
                </c:pt>
                <c:pt idx="44">
                  <c:v>106.90459418406667</c:v>
                </c:pt>
                <c:pt idx="45">
                  <c:v>106.79455743641168</c:v>
                </c:pt>
                <c:pt idx="46">
                  <c:v>105.98975680517336</c:v>
                </c:pt>
                <c:pt idx="47">
                  <c:v>105.76847716015835</c:v>
                </c:pt>
                <c:pt idx="48">
                  <c:v>105.52477401663502</c:v>
                </c:pt>
                <c:pt idx="49">
                  <c:v>104.96760654751333</c:v>
                </c:pt>
                <c:pt idx="50">
                  <c:v>105.30018206697832</c:v>
                </c:pt>
                <c:pt idx="51">
                  <c:v>104.19568784181166</c:v>
                </c:pt>
                <c:pt idx="52">
                  <c:v>101.85482008369061</c:v>
                </c:pt>
                <c:pt idx="53">
                  <c:v>101.05673736500509</c:v>
                </c:pt>
                <c:pt idx="54">
                  <c:v>99.85689310315955</c:v>
                </c:pt>
                <c:pt idx="55">
                  <c:v>99.462581303983967</c:v>
                </c:pt>
                <c:pt idx="56">
                  <c:v>99.179532791798508</c:v>
                </c:pt>
                <c:pt idx="57">
                  <c:v>98.608028727572929</c:v>
                </c:pt>
                <c:pt idx="58">
                  <c:v>98.946121145454697</c:v>
                </c:pt>
                <c:pt idx="59">
                  <c:v>99.274378463035802</c:v>
                </c:pt>
                <c:pt idx="60">
                  <c:v>98.125074293385254</c:v>
                </c:pt>
                <c:pt idx="61">
                  <c:v>98.000049774630227</c:v>
                </c:pt>
                <c:pt idx="62">
                  <c:v>98.313314691663606</c:v>
                </c:pt>
                <c:pt idx="63">
                  <c:v>99.148079545180266</c:v>
                </c:pt>
                <c:pt idx="64">
                  <c:v>101.26070562494969</c:v>
                </c:pt>
                <c:pt idx="65">
                  <c:v>102.48792455171129</c:v>
                </c:pt>
                <c:pt idx="66">
                  <c:v>103.51295602768684</c:v>
                </c:pt>
                <c:pt idx="67">
                  <c:v>104.83147748174238</c:v>
                </c:pt>
                <c:pt idx="68">
                  <c:v>105.94341271395787</c:v>
                </c:pt>
                <c:pt idx="69">
                  <c:v>106.20819258385674</c:v>
                </c:pt>
                <c:pt idx="70">
                  <c:v>106.96020248626667</c:v>
                </c:pt>
                <c:pt idx="71">
                  <c:v>107.32412140728893</c:v>
                </c:pt>
                <c:pt idx="72">
                  <c:v>109.07777160016111</c:v>
                </c:pt>
                <c:pt idx="73">
                  <c:v>110.47941875811779</c:v>
                </c:pt>
                <c:pt idx="74">
                  <c:v>109.93021263326942</c:v>
                </c:pt>
                <c:pt idx="75">
                  <c:v>110.02399161238608</c:v>
                </c:pt>
                <c:pt idx="76">
                  <c:v>108.95504648431441</c:v>
                </c:pt>
                <c:pt idx="77">
                  <c:v>109.47569548021335</c:v>
                </c:pt>
                <c:pt idx="78">
                  <c:v>109.48920173189499</c:v>
                </c:pt>
                <c:pt idx="79">
                  <c:v>109.38266549763166</c:v>
                </c:pt>
                <c:pt idx="80">
                  <c:v>109.724069146375</c:v>
                </c:pt>
                <c:pt idx="81">
                  <c:v>110.36140543192167</c:v>
                </c:pt>
                <c:pt idx="82">
                  <c:v>110.33535027187332</c:v>
                </c:pt>
                <c:pt idx="83">
                  <c:v>110.33004230826391</c:v>
                </c:pt>
                <c:pt idx="84">
                  <c:v>110.66271404739929</c:v>
                </c:pt>
                <c:pt idx="85">
                  <c:v>110.43338059276597</c:v>
                </c:pt>
                <c:pt idx="86">
                  <c:v>110.50806636836097</c:v>
                </c:pt>
                <c:pt idx="87">
                  <c:v>109.85532528090594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1-4DFA-A113-40011831F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Aggregated!$K$27</c:f>
          <c:strCache>
            <c:ptCount val="1"/>
            <c:pt idx="0">
              <c:v>Robusta + Arabica Exports | YTD : Oct-Apr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Aggregated!$S$10:$S$17</c:f>
              <c:strCache>
                <c:ptCount val="8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</c:strCache>
            </c:strRef>
          </c:cat>
          <c:val>
            <c:numRef>
              <c:f>Aggregated!$T$10:$T$17</c:f>
              <c:numCache>
                <c:formatCode>#,##0</c:formatCode>
                <c:ptCount val="8"/>
                <c:pt idx="0">
                  <c:v>57068036.687945269</c:v>
                </c:pt>
                <c:pt idx="1">
                  <c:v>63045672.552771673</c:v>
                </c:pt>
                <c:pt idx="2">
                  <c:v>62099014.278260008</c:v>
                </c:pt>
                <c:pt idx="3">
                  <c:v>65163361.552089989</c:v>
                </c:pt>
                <c:pt idx="4">
                  <c:v>64958802.813553348</c:v>
                </c:pt>
                <c:pt idx="5">
                  <c:v>58896610.100902312</c:v>
                </c:pt>
                <c:pt idx="6">
                  <c:v>65603013.289259441</c:v>
                </c:pt>
                <c:pt idx="7">
                  <c:v>65907907.186729997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9-4AF2-BA5B-2BEF8CE4E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Aggregated!$Q$27</c:f>
          <c:strCache>
            <c:ptCount val="1"/>
            <c:pt idx="0">
              <c:v>Robusta + Arabica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Aggregated!$M$84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Aggregated!$N$75:$Y$75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Aggregated!$N$84:$Y$84</c:f>
              <c:numCache>
                <c:formatCode>#,##0</c:formatCode>
                <c:ptCount val="12"/>
                <c:pt idx="0">
                  <c:v>7561106.6728833336</c:v>
                </c:pt>
                <c:pt idx="1">
                  <c:v>16063862.024251668</c:v>
                </c:pt>
                <c:pt idx="2">
                  <c:v>24989298.781871669</c:v>
                </c:pt>
                <c:pt idx="3">
                  <c:v>33083355.224382266</c:v>
                </c:pt>
                <c:pt idx="4">
                  <c:v>41136357.709043421</c:v>
                </c:pt>
                <c:pt idx="5">
                  <c:v>50724579.1532562</c:v>
                </c:pt>
                <c:pt idx="6">
                  <c:v>58896610.100902312</c:v>
                </c:pt>
                <c:pt idx="7">
                  <c:v>67070253.486953504</c:v>
                </c:pt>
                <c:pt idx="8">
                  <c:v>75187709.55968295</c:v>
                </c:pt>
                <c:pt idx="9">
                  <c:v>83263224.730014697</c:v>
                </c:pt>
                <c:pt idx="10">
                  <c:v>91442801.878155813</c:v>
                </c:pt>
                <c:pt idx="11">
                  <c:v>98125074.293385252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19-4EE5-BD2B-33A9187E1F7C}"/>
            </c:ext>
          </c:extLst>
        </c:ser>
        <c:ser>
          <c:idx val="4"/>
          <c:order val="4"/>
          <c:tx>
            <c:strRef>
              <c:f>Aggregated!$M$85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Aggregated!$N$75:$Y$75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Aggregated!$N$85:$Y$85</c:f>
              <c:numCache>
                <c:formatCode>#,##0</c:formatCode>
                <c:ptCount val="12"/>
                <c:pt idx="0">
                  <c:v>7436082.1541283336</c:v>
                </c:pt>
                <c:pt idx="1">
                  <c:v>16252102.422530025</c:v>
                </c:pt>
                <c:pt idx="2">
                  <c:v>26012304.033666693</c:v>
                </c:pt>
                <c:pt idx="3">
                  <c:v>36218986.555946693</c:v>
                </c:pt>
                <c:pt idx="4">
                  <c:v>45499207.967369445</c:v>
                </c:pt>
                <c:pt idx="5">
                  <c:v>56112460.887557775</c:v>
                </c:pt>
                <c:pt idx="6">
                  <c:v>65603013.289259441</c:v>
                </c:pt>
                <c:pt idx="7">
                  <c:v>74888591.907526106</c:v>
                </c:pt>
                <c:pt idx="8">
                  <c:v>83270827.850154445</c:v>
                </c:pt>
                <c:pt idx="9">
                  <c:v>92098352.922896117</c:v>
                </c:pt>
                <c:pt idx="10">
                  <c:v>100641848.99205945</c:v>
                </c:pt>
                <c:pt idx="11">
                  <c:v>109077771.60016112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19-4EE5-BD2B-33A9187E1F7C}"/>
            </c:ext>
          </c:extLst>
        </c:ser>
        <c:ser>
          <c:idx val="5"/>
          <c:order val="5"/>
          <c:tx>
            <c:strRef>
              <c:f>Aggregated!$M$86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Aggregated!$N$75:$Y$75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Aggregated!$N$86:$Y$86</c:f>
              <c:numCache>
                <c:formatCode>#,##0</c:formatCode>
                <c:ptCount val="12"/>
                <c:pt idx="0">
                  <c:v>8837729.3120849989</c:v>
                </c:pt>
                <c:pt idx="1">
                  <c:v>17104543.455638334</c:v>
                </c:pt>
                <c:pt idx="2">
                  <c:v>26958524.045891669</c:v>
                </c:pt>
                <c:pt idx="3">
                  <c:v>36096261.440099999</c:v>
                </c:pt>
                <c:pt idx="4">
                  <c:v>45897131.847421661</c:v>
                </c:pt>
                <c:pt idx="5">
                  <c:v>56523891.019291662</c:v>
                </c:pt>
                <c:pt idx="6">
                  <c:v>65907907.186729997</c:v>
                </c:pt>
                <c:pt idx="7">
                  <c:v>75534889.453740001</c:v>
                </c:pt>
                <c:pt idx="8">
                  <c:v>84554461.681915</c:v>
                </c:pt>
                <c:pt idx="9">
                  <c:v>93355931.594608337</c:v>
                </c:pt>
                <c:pt idx="10">
                  <c:v>101894119.70016223</c:v>
                </c:pt>
                <c:pt idx="11">
                  <c:v>110662714.0473993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19-4EE5-BD2B-33A9187E1F7C}"/>
            </c:ext>
          </c:extLst>
        </c:ser>
        <c:ser>
          <c:idx val="6"/>
          <c:order val="6"/>
          <c:tx>
            <c:strRef>
              <c:f>Aggregated!$M$87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Aggregated!$N$75:$Y$75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Aggregated!$N$87:$Y$87</c:f>
              <c:numCache>
                <c:formatCode>#,##0</c:formatCode>
                <c:ptCount val="12"/>
                <c:pt idx="0">
                  <c:v>8608395.8574516661</c:v>
                </c:pt>
                <c:pt idx="1">
                  <c:v>16949895.7766</c:v>
                </c:pt>
                <c:pt idx="2">
                  <c:v>26151135.279398333</c:v>
                </c:pt>
                <c:pt idx="3">
                  <c:v>35552865.946065001</c:v>
                </c:pt>
                <c:pt idx="4">
                  <c:v>43871741.612731665</c:v>
                </c:pt>
                <c:pt idx="5">
                  <c:v>53389507.612731665</c:v>
                </c:pt>
                <c:pt idx="6">
                  <c:v>62942393.612731665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2-4D31-B037-631CB6719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Aggregated!$M$81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Aggregated!$N$75:$Y$75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Aggregated!$N$81:$Y$81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8093038.9226400005</c:v>
                      </c:pt>
                      <c:pt idx="1">
                        <c:v>16126266.508408334</c:v>
                      </c:pt>
                      <c:pt idx="2">
                        <c:v>25181617.844908334</c:v>
                      </c:pt>
                      <c:pt idx="3">
                        <c:v>34144227.843778335</c:v>
                      </c:pt>
                      <c:pt idx="4">
                        <c:v>43429027.625985004</c:v>
                      </c:pt>
                      <c:pt idx="5">
                        <c:v>53319249.24192667</c:v>
                      </c:pt>
                      <c:pt idx="6">
                        <c:v>62099014.278260008</c:v>
                      </c:pt>
                      <c:pt idx="7">
                        <c:v>70223581.558260009</c:v>
                      </c:pt>
                      <c:pt idx="8">
                        <c:v>78272902.902225003</c:v>
                      </c:pt>
                      <c:pt idx="9">
                        <c:v>86194093.280475006</c:v>
                      </c:pt>
                      <c:pt idx="10">
                        <c:v>94106250.217268333</c:v>
                      </c:pt>
                      <c:pt idx="11">
                        <c:v>102413750.90276833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919-4EE5-BD2B-33A9187E1F7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Aggregated!$M$82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Aggregated!$N$82:$Y$82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8453082.9510999992</c:v>
                      </c:pt>
                      <c:pt idx="1">
                        <c:v>17309480.111933332</c:v>
                      </c:pt>
                      <c:pt idx="2">
                        <c:v>27061676.390784997</c:v>
                      </c:pt>
                      <c:pt idx="3">
                        <c:v>36331681.64870666</c:v>
                      </c:pt>
                      <c:pt idx="4">
                        <c:v>45680045.502798326</c:v>
                      </c:pt>
                      <c:pt idx="5">
                        <c:v>55986958.868828326</c:v>
                      </c:pt>
                      <c:pt idx="6">
                        <c:v>65163361.552089989</c:v>
                      </c:pt>
                      <c:pt idx="7">
                        <c:v>73180175.675458327</c:v>
                      </c:pt>
                      <c:pt idx="8">
                        <c:v>81979172.560068324</c:v>
                      </c:pt>
                      <c:pt idx="9">
                        <c:v>90521395.943756655</c:v>
                      </c:pt>
                      <c:pt idx="10">
                        <c:v>98593995.419331655</c:v>
                      </c:pt>
                      <c:pt idx="11">
                        <c:v>106669275.14773498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919-4EE5-BD2B-33A9187E1F7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Aggregated!$M$83</c15:sqref>
                        </c15:formulaRef>
                      </c:ext>
                    </c:extLst>
                    <c:strCache>
                      <c:ptCount val="1"/>
                      <c:pt idx="0">
                        <c:v>21/22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Aggregated!$N$83:$Y$83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8118274.1420050003</c:v>
                      </c:pt>
                      <c:pt idx="1">
                        <c:v>16288453.973908333</c:v>
                      </c:pt>
                      <c:pt idx="2">
                        <c:v>26318384.956694998</c:v>
                      </c:pt>
                      <c:pt idx="3">
                        <c:v>36753309.157326669</c:v>
                      </c:pt>
                      <c:pt idx="4">
                        <c:v>45604394.360673338</c:v>
                      </c:pt>
                      <c:pt idx="5">
                        <c:v>56392460.066731676</c:v>
                      </c:pt>
                      <c:pt idx="6">
                        <c:v>64958802.813553348</c:v>
                      </c:pt>
                      <c:pt idx="7">
                        <c:v>73415494.71179001</c:v>
                      </c:pt>
                      <c:pt idx="8">
                        <c:v>82104454.848745018</c:v>
                      </c:pt>
                      <c:pt idx="9">
                        <c:v>89841877.601195022</c:v>
                      </c:pt>
                      <c:pt idx="10">
                        <c:v>97693197.431755021</c:v>
                      </c:pt>
                      <c:pt idx="11">
                        <c:v>105524774.01663502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919-4EE5-BD2B-33A9187E1F7C}"/>
                  </c:ext>
                </c:extLst>
              </c15:ser>
            </c15:filteredLineSeries>
          </c:ext>
        </c:extLst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4">
                    <a:lumMod val="20000"/>
                    <a:lumOff val="80000"/>
                  </a:schemeClr>
                </a:solidFill>
              </a:rPr>
              <a:t>Arabica &amp; Robusta Rolling 12m</a:t>
            </a:r>
          </a:p>
        </c:rich>
      </c:tx>
      <c:overlay val="0"/>
      <c:spPr>
        <a:solidFill>
          <a:schemeClr val="tx1">
            <a:lumMod val="85000"/>
            <a:lumOff val="1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Aggregated!$K$109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Aggregated!$J$122:$J$210</c:f>
              <c:strCache>
                <c:ptCount val="89"/>
                <c:pt idx="0">
                  <c:v>Oct'18/19</c:v>
                </c:pt>
                <c:pt idx="1">
                  <c:v>Nov'18/19</c:v>
                </c:pt>
                <c:pt idx="2">
                  <c:v>Dec'18/19</c:v>
                </c:pt>
                <c:pt idx="3">
                  <c:v>Jan'18/19</c:v>
                </c:pt>
                <c:pt idx="4">
                  <c:v>Feb'18/19</c:v>
                </c:pt>
                <c:pt idx="5">
                  <c:v>Mar'18/19</c:v>
                </c:pt>
                <c:pt idx="6">
                  <c:v>Apr'18/19</c:v>
                </c:pt>
                <c:pt idx="7">
                  <c:v>May'18/19</c:v>
                </c:pt>
                <c:pt idx="8">
                  <c:v>Jun'18/19</c:v>
                </c:pt>
                <c:pt idx="9">
                  <c:v>Jul'18/19</c:v>
                </c:pt>
                <c:pt idx="10">
                  <c:v>Aug'18/19</c:v>
                </c:pt>
                <c:pt idx="11">
                  <c:v>Sep'18/19</c:v>
                </c:pt>
                <c:pt idx="12">
                  <c:v>Oct'19/20</c:v>
                </c:pt>
                <c:pt idx="13">
                  <c:v>Nov'19/20</c:v>
                </c:pt>
                <c:pt idx="14">
                  <c:v>Dec'19/20</c:v>
                </c:pt>
                <c:pt idx="15">
                  <c:v>Jan'19/20</c:v>
                </c:pt>
                <c:pt idx="16">
                  <c:v>Feb'19/20</c:v>
                </c:pt>
                <c:pt idx="17">
                  <c:v>Mar'19/20</c:v>
                </c:pt>
                <c:pt idx="18">
                  <c:v>Apr'19/20</c:v>
                </c:pt>
                <c:pt idx="19">
                  <c:v>May'19/20</c:v>
                </c:pt>
                <c:pt idx="20">
                  <c:v>Jun'19/20</c:v>
                </c:pt>
                <c:pt idx="21">
                  <c:v>Jul'19/20</c:v>
                </c:pt>
                <c:pt idx="22">
                  <c:v>Aug'19/20</c:v>
                </c:pt>
                <c:pt idx="23">
                  <c:v>Sep'19/20</c:v>
                </c:pt>
                <c:pt idx="24">
                  <c:v>Oct'20/21</c:v>
                </c:pt>
                <c:pt idx="25">
                  <c:v>Nov'20/21</c:v>
                </c:pt>
                <c:pt idx="26">
                  <c:v>Dec'20/21</c:v>
                </c:pt>
                <c:pt idx="27">
                  <c:v>Jan'20/21</c:v>
                </c:pt>
                <c:pt idx="28">
                  <c:v>Feb'20/21</c:v>
                </c:pt>
                <c:pt idx="29">
                  <c:v>Mar'20/21</c:v>
                </c:pt>
                <c:pt idx="30">
                  <c:v>Apr'20/21</c:v>
                </c:pt>
                <c:pt idx="31">
                  <c:v>May'20/21</c:v>
                </c:pt>
                <c:pt idx="32">
                  <c:v>Jun'20/21</c:v>
                </c:pt>
                <c:pt idx="33">
                  <c:v>Jul'20/21</c:v>
                </c:pt>
                <c:pt idx="34">
                  <c:v>Aug'20/21</c:v>
                </c:pt>
                <c:pt idx="35">
                  <c:v>Sep'20/21</c:v>
                </c:pt>
                <c:pt idx="36">
                  <c:v>Oct'21/22</c:v>
                </c:pt>
                <c:pt idx="37">
                  <c:v>Nov'21/22</c:v>
                </c:pt>
                <c:pt idx="38">
                  <c:v>Dec'21/22</c:v>
                </c:pt>
                <c:pt idx="39">
                  <c:v>Jan'21/22</c:v>
                </c:pt>
                <c:pt idx="40">
                  <c:v>Feb'21/22</c:v>
                </c:pt>
                <c:pt idx="41">
                  <c:v>Mar'21/22</c:v>
                </c:pt>
                <c:pt idx="42">
                  <c:v>Apr'21/22</c:v>
                </c:pt>
                <c:pt idx="43">
                  <c:v>May'21/22</c:v>
                </c:pt>
                <c:pt idx="44">
                  <c:v>Jun'21/22</c:v>
                </c:pt>
                <c:pt idx="45">
                  <c:v>Jul'21/22</c:v>
                </c:pt>
                <c:pt idx="46">
                  <c:v>Aug'21/22</c:v>
                </c:pt>
                <c:pt idx="47">
                  <c:v>Sep'21/22</c:v>
                </c:pt>
                <c:pt idx="48">
                  <c:v>Oct'22/23</c:v>
                </c:pt>
                <c:pt idx="49">
                  <c:v>Nov'22/23</c:v>
                </c:pt>
                <c:pt idx="50">
                  <c:v>Dec'22/23</c:v>
                </c:pt>
                <c:pt idx="51">
                  <c:v>Jan'22/23</c:v>
                </c:pt>
                <c:pt idx="52">
                  <c:v>Feb'22/23</c:v>
                </c:pt>
                <c:pt idx="53">
                  <c:v>Mar'22/23</c:v>
                </c:pt>
                <c:pt idx="54">
                  <c:v>Apr'22/23</c:v>
                </c:pt>
                <c:pt idx="55">
                  <c:v>May'22/23</c:v>
                </c:pt>
                <c:pt idx="56">
                  <c:v>Jun'22/23</c:v>
                </c:pt>
                <c:pt idx="57">
                  <c:v>Jul'22/23</c:v>
                </c:pt>
                <c:pt idx="58">
                  <c:v>Aug'22/23</c:v>
                </c:pt>
                <c:pt idx="59">
                  <c:v>Sep'22/23</c:v>
                </c:pt>
                <c:pt idx="60">
                  <c:v>Oct'23/24</c:v>
                </c:pt>
                <c:pt idx="61">
                  <c:v>Nov'23/24</c:v>
                </c:pt>
                <c:pt idx="62">
                  <c:v>Dec'23/24</c:v>
                </c:pt>
                <c:pt idx="63">
                  <c:v>Jan'23/24</c:v>
                </c:pt>
                <c:pt idx="64">
                  <c:v>Feb'23/24</c:v>
                </c:pt>
                <c:pt idx="65">
                  <c:v>Mar'23/24</c:v>
                </c:pt>
                <c:pt idx="66">
                  <c:v>Apr'23/24</c:v>
                </c:pt>
                <c:pt idx="67">
                  <c:v>May'23/24</c:v>
                </c:pt>
                <c:pt idx="68">
                  <c:v>Jun'23/24</c:v>
                </c:pt>
                <c:pt idx="69">
                  <c:v>Jul'23/24</c:v>
                </c:pt>
                <c:pt idx="70">
                  <c:v>Aug'23/24</c:v>
                </c:pt>
                <c:pt idx="71">
                  <c:v>Sep'23/24</c:v>
                </c:pt>
                <c:pt idx="72">
                  <c:v>Oct'24/25</c:v>
                </c:pt>
                <c:pt idx="73">
                  <c:v>Nov'24/25</c:v>
                </c:pt>
                <c:pt idx="74">
                  <c:v>Dec'24/25</c:v>
                </c:pt>
                <c:pt idx="75">
                  <c:v>Jan'24/25</c:v>
                </c:pt>
                <c:pt idx="76">
                  <c:v>Feb'24/25</c:v>
                </c:pt>
                <c:pt idx="77">
                  <c:v>Mar'24/25</c:v>
                </c:pt>
                <c:pt idx="78">
                  <c:v>Apr'24/25</c:v>
                </c:pt>
                <c:pt idx="79">
                  <c:v>May'24/25</c:v>
                </c:pt>
                <c:pt idx="80">
                  <c:v>Jun'24/25</c:v>
                </c:pt>
                <c:pt idx="81">
                  <c:v>Jul'24/25</c:v>
                </c:pt>
                <c:pt idx="82">
                  <c:v>Aug'24/25</c:v>
                </c:pt>
                <c:pt idx="83">
                  <c:v>Sep'24/25</c:v>
                </c:pt>
                <c:pt idx="84">
                  <c:v>Oct'25/26</c:v>
                </c:pt>
                <c:pt idx="85">
                  <c:v>Nov'25/26</c:v>
                </c:pt>
                <c:pt idx="86">
                  <c:v>Dec'25/26</c:v>
                </c:pt>
                <c:pt idx="87">
                  <c:v>Jan'25/26</c:v>
                </c:pt>
                <c:pt idx="88">
                  <c:v>Feb'25/26</c:v>
                </c:pt>
              </c:strCache>
            </c:strRef>
          </c:cat>
          <c:val>
            <c:numRef>
              <c:f>Aggregated!$K$122:$K$210</c:f>
              <c:numCache>
                <c:formatCode>0.0</c:formatCode>
                <c:ptCount val="89"/>
                <c:pt idx="0">
                  <c:v>51.681212442299994</c:v>
                </c:pt>
                <c:pt idx="1">
                  <c:v>52.344511679378328</c:v>
                </c:pt>
                <c:pt idx="2">
                  <c:v>53.11191224796999</c:v>
                </c:pt>
                <c:pt idx="3">
                  <c:v>53.503215233406671</c:v>
                </c:pt>
                <c:pt idx="4">
                  <c:v>54.296068580248331</c:v>
                </c:pt>
                <c:pt idx="5">
                  <c:v>54.957041555665</c:v>
                </c:pt>
                <c:pt idx="6">
                  <c:v>55.634908946765009</c:v>
                </c:pt>
                <c:pt idx="7">
                  <c:v>57.547573530556669</c:v>
                </c:pt>
                <c:pt idx="8">
                  <c:v>58.192511218506674</c:v>
                </c:pt>
                <c:pt idx="9">
                  <c:v>59.071066137658335</c:v>
                </c:pt>
                <c:pt idx="10">
                  <c:v>59.111375673695001</c:v>
                </c:pt>
                <c:pt idx="11">
                  <c:v>59.326847967778335</c:v>
                </c:pt>
                <c:pt idx="12">
                  <c:v>59.245112220020005</c:v>
                </c:pt>
                <c:pt idx="13">
                  <c:v>58.616468650228327</c:v>
                </c:pt>
                <c:pt idx="14">
                  <c:v>57.699715757895</c:v>
                </c:pt>
                <c:pt idx="15">
                  <c:v>57.617926944051668</c:v>
                </c:pt>
                <c:pt idx="16">
                  <c:v>56.882962994835005</c:v>
                </c:pt>
                <c:pt idx="17">
                  <c:v>57.08669637691834</c:v>
                </c:pt>
                <c:pt idx="18">
                  <c:v>56.893204532918332</c:v>
                </c:pt>
                <c:pt idx="19">
                  <c:v>55.964779307085003</c:v>
                </c:pt>
                <c:pt idx="20">
                  <c:v>55.451835944959996</c:v>
                </c:pt>
                <c:pt idx="21">
                  <c:v>54.92607227347667</c:v>
                </c:pt>
                <c:pt idx="22">
                  <c:v>54.754618362201668</c:v>
                </c:pt>
                <c:pt idx="23">
                  <c:v>54.829064970701673</c:v>
                </c:pt>
                <c:pt idx="24">
                  <c:v>55.224750269168332</c:v>
                </c:pt>
                <c:pt idx="25">
                  <c:v>56.510141261168336</c:v>
                </c:pt>
                <c:pt idx="26">
                  <c:v>57.475564989876673</c:v>
                </c:pt>
                <c:pt idx="27">
                  <c:v>57.365120081941669</c:v>
                </c:pt>
                <c:pt idx="28">
                  <c:v>58.258575744391671</c:v>
                </c:pt>
                <c:pt idx="29">
                  <c:v>58.669867331100001</c:v>
                </c:pt>
                <c:pt idx="30">
                  <c:v>59.3366088796</c:v>
                </c:pt>
                <c:pt idx="31">
                  <c:v>59.143641327933324</c:v>
                </c:pt>
                <c:pt idx="32">
                  <c:v>59.571603464008334</c:v>
                </c:pt>
                <c:pt idx="33">
                  <c:v>59.927282850874995</c:v>
                </c:pt>
                <c:pt idx="34">
                  <c:v>59.732135501133342</c:v>
                </c:pt>
                <c:pt idx="35">
                  <c:v>59.471118417799993</c:v>
                </c:pt>
                <c:pt idx="36">
                  <c:v>58.849852949991664</c:v>
                </c:pt>
                <c:pt idx="37">
                  <c:v>57.469741777716663</c:v>
                </c:pt>
                <c:pt idx="38">
                  <c:v>57.200836251424995</c:v>
                </c:pt>
                <c:pt idx="39">
                  <c:v>57.105346018516677</c:v>
                </c:pt>
                <c:pt idx="40">
                  <c:v>56.503479199746671</c:v>
                </c:pt>
                <c:pt idx="41">
                  <c:v>56.674208183148338</c:v>
                </c:pt>
                <c:pt idx="42">
                  <c:v>55.827922066998333</c:v>
                </c:pt>
                <c:pt idx="43">
                  <c:v>55.940727319548337</c:v>
                </c:pt>
                <c:pt idx="44">
                  <c:v>55.959276306806672</c:v>
                </c:pt>
                <c:pt idx="45">
                  <c:v>55.433399876748339</c:v>
                </c:pt>
                <c:pt idx="46">
                  <c:v>55.208119453081665</c:v>
                </c:pt>
                <c:pt idx="47">
                  <c:v>55.280244815748325</c:v>
                </c:pt>
                <c:pt idx="48">
                  <c:v>55.374984808389996</c:v>
                </c:pt>
                <c:pt idx="49">
                  <c:v>55.670752053831649</c:v>
                </c:pt>
                <c:pt idx="50">
                  <c:v>54.819738385373334</c:v>
                </c:pt>
                <c:pt idx="51">
                  <c:v>53.978098934569999</c:v>
                </c:pt>
                <c:pt idx="52">
                  <c:v>52.863807223781663</c:v>
                </c:pt>
                <c:pt idx="53">
                  <c:v>51.801873184613328</c:v>
                </c:pt>
                <c:pt idx="54">
                  <c:v>51.393962997929989</c:v>
                </c:pt>
                <c:pt idx="55">
                  <c:v>50.991130110879993</c:v>
                </c:pt>
                <c:pt idx="56">
                  <c:v>50.182851500421663</c:v>
                </c:pt>
                <c:pt idx="57">
                  <c:v>50.152588670638337</c:v>
                </c:pt>
                <c:pt idx="58">
                  <c:v>50.494233280388336</c:v>
                </c:pt>
                <c:pt idx="59">
                  <c:v>49.944699453605004</c:v>
                </c:pt>
                <c:pt idx="60">
                  <c:v>50.177653420738338</c:v>
                </c:pt>
                <c:pt idx="61">
                  <c:v>50.354855897738339</c:v>
                </c:pt>
                <c:pt idx="62">
                  <c:v>50.903885783896669</c:v>
                </c:pt>
                <c:pt idx="63">
                  <c:v>51.749637083283332</c:v>
                </c:pt>
                <c:pt idx="64">
                  <c:v>52.710171281925</c:v>
                </c:pt>
                <c:pt idx="65">
                  <c:v>53.400611977441677</c:v>
                </c:pt>
                <c:pt idx="66">
                  <c:v>54.477491312066675</c:v>
                </c:pt>
                <c:pt idx="67">
                  <c:v>55.989365947825007</c:v>
                </c:pt>
                <c:pt idx="68">
                  <c:v>56.851960044450003</c:v>
                </c:pt>
                <c:pt idx="69">
                  <c:v>57.535542142916675</c:v>
                </c:pt>
                <c:pt idx="70">
                  <c:v>57.69002305345834</c:v>
                </c:pt>
                <c:pt idx="71">
                  <c:v>59.035438932325</c:v>
                </c:pt>
                <c:pt idx="72">
                  <c:v>59.862349712083336</c:v>
                </c:pt>
                <c:pt idx="73">
                  <c:v>60.422224348316668</c:v>
                </c:pt>
                <c:pt idx="74">
                  <c:v>61.388432605616671</c:v>
                </c:pt>
                <c:pt idx="75">
                  <c:v>61.782378701108335</c:v>
                </c:pt>
                <c:pt idx="76">
                  <c:v>62.177497825858332</c:v>
                </c:pt>
                <c:pt idx="77">
                  <c:v>62.517133923691674</c:v>
                </c:pt>
                <c:pt idx="78">
                  <c:v>62.185829464066664</c:v>
                </c:pt>
                <c:pt idx="79">
                  <c:v>61.641774260974991</c:v>
                </c:pt>
                <c:pt idx="80">
                  <c:v>61.201468362975</c:v>
                </c:pt>
                <c:pt idx="81">
                  <c:v>60.909971327925</c:v>
                </c:pt>
                <c:pt idx="82">
                  <c:v>60.730285191855558</c:v>
                </c:pt>
                <c:pt idx="83">
                  <c:v>60.272994320419279</c:v>
                </c:pt>
                <c:pt idx="84">
                  <c:v>59.790279091927609</c:v>
                </c:pt>
                <c:pt idx="85">
                  <c:v>59.337805700860947</c:v>
                </c:pt>
                <c:pt idx="86">
                  <c:v>58.00491345219428</c:v>
                </c:pt>
                <c:pt idx="87">
                  <c:v>57.033007531535937</c:v>
                </c:pt>
                <c:pt idx="88">
                  <c:v>56.01180499520261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B-47B0-8AB4-671098ECB1DE}"/>
            </c:ext>
          </c:extLst>
        </c:ser>
        <c:ser>
          <c:idx val="1"/>
          <c:order val="1"/>
          <c:tx>
            <c:strRef>
              <c:f>Aggregated!$L$109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Aggregated!$J$122:$J$210</c:f>
              <c:strCache>
                <c:ptCount val="89"/>
                <c:pt idx="0">
                  <c:v>Oct'18/19</c:v>
                </c:pt>
                <c:pt idx="1">
                  <c:v>Nov'18/19</c:v>
                </c:pt>
                <c:pt idx="2">
                  <c:v>Dec'18/19</c:v>
                </c:pt>
                <c:pt idx="3">
                  <c:v>Jan'18/19</c:v>
                </c:pt>
                <c:pt idx="4">
                  <c:v>Feb'18/19</c:v>
                </c:pt>
                <c:pt idx="5">
                  <c:v>Mar'18/19</c:v>
                </c:pt>
                <c:pt idx="6">
                  <c:v>Apr'18/19</c:v>
                </c:pt>
                <c:pt idx="7">
                  <c:v>May'18/19</c:v>
                </c:pt>
                <c:pt idx="8">
                  <c:v>Jun'18/19</c:v>
                </c:pt>
                <c:pt idx="9">
                  <c:v>Jul'18/19</c:v>
                </c:pt>
                <c:pt idx="10">
                  <c:v>Aug'18/19</c:v>
                </c:pt>
                <c:pt idx="11">
                  <c:v>Sep'18/19</c:v>
                </c:pt>
                <c:pt idx="12">
                  <c:v>Oct'19/20</c:v>
                </c:pt>
                <c:pt idx="13">
                  <c:v>Nov'19/20</c:v>
                </c:pt>
                <c:pt idx="14">
                  <c:v>Dec'19/20</c:v>
                </c:pt>
                <c:pt idx="15">
                  <c:v>Jan'19/20</c:v>
                </c:pt>
                <c:pt idx="16">
                  <c:v>Feb'19/20</c:v>
                </c:pt>
                <c:pt idx="17">
                  <c:v>Mar'19/20</c:v>
                </c:pt>
                <c:pt idx="18">
                  <c:v>Apr'19/20</c:v>
                </c:pt>
                <c:pt idx="19">
                  <c:v>May'19/20</c:v>
                </c:pt>
                <c:pt idx="20">
                  <c:v>Jun'19/20</c:v>
                </c:pt>
                <c:pt idx="21">
                  <c:v>Jul'19/20</c:v>
                </c:pt>
                <c:pt idx="22">
                  <c:v>Aug'19/20</c:v>
                </c:pt>
                <c:pt idx="23">
                  <c:v>Sep'19/20</c:v>
                </c:pt>
                <c:pt idx="24">
                  <c:v>Oct'20/21</c:v>
                </c:pt>
                <c:pt idx="25">
                  <c:v>Nov'20/21</c:v>
                </c:pt>
                <c:pt idx="26">
                  <c:v>Dec'20/21</c:v>
                </c:pt>
                <c:pt idx="27">
                  <c:v>Jan'20/21</c:v>
                </c:pt>
                <c:pt idx="28">
                  <c:v>Feb'20/21</c:v>
                </c:pt>
                <c:pt idx="29">
                  <c:v>Mar'20/21</c:v>
                </c:pt>
                <c:pt idx="30">
                  <c:v>Apr'20/21</c:v>
                </c:pt>
                <c:pt idx="31">
                  <c:v>May'20/21</c:v>
                </c:pt>
                <c:pt idx="32">
                  <c:v>Jun'20/21</c:v>
                </c:pt>
                <c:pt idx="33">
                  <c:v>Jul'20/21</c:v>
                </c:pt>
                <c:pt idx="34">
                  <c:v>Aug'20/21</c:v>
                </c:pt>
                <c:pt idx="35">
                  <c:v>Sep'20/21</c:v>
                </c:pt>
                <c:pt idx="36">
                  <c:v>Oct'21/22</c:v>
                </c:pt>
                <c:pt idx="37">
                  <c:v>Nov'21/22</c:v>
                </c:pt>
                <c:pt idx="38">
                  <c:v>Dec'21/22</c:v>
                </c:pt>
                <c:pt idx="39">
                  <c:v>Jan'21/22</c:v>
                </c:pt>
                <c:pt idx="40">
                  <c:v>Feb'21/22</c:v>
                </c:pt>
                <c:pt idx="41">
                  <c:v>Mar'21/22</c:v>
                </c:pt>
                <c:pt idx="42">
                  <c:v>Apr'21/22</c:v>
                </c:pt>
                <c:pt idx="43">
                  <c:v>May'21/22</c:v>
                </c:pt>
                <c:pt idx="44">
                  <c:v>Jun'21/22</c:v>
                </c:pt>
                <c:pt idx="45">
                  <c:v>Jul'21/22</c:v>
                </c:pt>
                <c:pt idx="46">
                  <c:v>Aug'21/22</c:v>
                </c:pt>
                <c:pt idx="47">
                  <c:v>Sep'21/22</c:v>
                </c:pt>
                <c:pt idx="48">
                  <c:v>Oct'22/23</c:v>
                </c:pt>
                <c:pt idx="49">
                  <c:v>Nov'22/23</c:v>
                </c:pt>
                <c:pt idx="50">
                  <c:v>Dec'22/23</c:v>
                </c:pt>
                <c:pt idx="51">
                  <c:v>Jan'22/23</c:v>
                </c:pt>
                <c:pt idx="52">
                  <c:v>Feb'22/23</c:v>
                </c:pt>
                <c:pt idx="53">
                  <c:v>Mar'22/23</c:v>
                </c:pt>
                <c:pt idx="54">
                  <c:v>Apr'22/23</c:v>
                </c:pt>
                <c:pt idx="55">
                  <c:v>May'22/23</c:v>
                </c:pt>
                <c:pt idx="56">
                  <c:v>Jun'22/23</c:v>
                </c:pt>
                <c:pt idx="57">
                  <c:v>Jul'22/23</c:v>
                </c:pt>
                <c:pt idx="58">
                  <c:v>Aug'22/23</c:v>
                </c:pt>
                <c:pt idx="59">
                  <c:v>Sep'22/23</c:v>
                </c:pt>
                <c:pt idx="60">
                  <c:v>Oct'23/24</c:v>
                </c:pt>
                <c:pt idx="61">
                  <c:v>Nov'23/24</c:v>
                </c:pt>
                <c:pt idx="62">
                  <c:v>Dec'23/24</c:v>
                </c:pt>
                <c:pt idx="63">
                  <c:v>Jan'23/24</c:v>
                </c:pt>
                <c:pt idx="64">
                  <c:v>Feb'23/24</c:v>
                </c:pt>
                <c:pt idx="65">
                  <c:v>Mar'23/24</c:v>
                </c:pt>
                <c:pt idx="66">
                  <c:v>Apr'23/24</c:v>
                </c:pt>
                <c:pt idx="67">
                  <c:v>May'23/24</c:v>
                </c:pt>
                <c:pt idx="68">
                  <c:v>Jun'23/24</c:v>
                </c:pt>
                <c:pt idx="69">
                  <c:v>Jul'23/24</c:v>
                </c:pt>
                <c:pt idx="70">
                  <c:v>Aug'23/24</c:v>
                </c:pt>
                <c:pt idx="71">
                  <c:v>Sep'23/24</c:v>
                </c:pt>
                <c:pt idx="72">
                  <c:v>Oct'24/25</c:v>
                </c:pt>
                <c:pt idx="73">
                  <c:v>Nov'24/25</c:v>
                </c:pt>
                <c:pt idx="74">
                  <c:v>Dec'24/25</c:v>
                </c:pt>
                <c:pt idx="75">
                  <c:v>Jan'24/25</c:v>
                </c:pt>
                <c:pt idx="76">
                  <c:v>Feb'24/25</c:v>
                </c:pt>
                <c:pt idx="77">
                  <c:v>Mar'24/25</c:v>
                </c:pt>
                <c:pt idx="78">
                  <c:v>Apr'24/25</c:v>
                </c:pt>
                <c:pt idx="79">
                  <c:v>May'24/25</c:v>
                </c:pt>
                <c:pt idx="80">
                  <c:v>Jun'24/25</c:v>
                </c:pt>
                <c:pt idx="81">
                  <c:v>Jul'24/25</c:v>
                </c:pt>
                <c:pt idx="82">
                  <c:v>Aug'24/25</c:v>
                </c:pt>
                <c:pt idx="83">
                  <c:v>Sep'24/25</c:v>
                </c:pt>
                <c:pt idx="84">
                  <c:v>Oct'25/26</c:v>
                </c:pt>
                <c:pt idx="85">
                  <c:v>Nov'25/26</c:v>
                </c:pt>
                <c:pt idx="86">
                  <c:v>Dec'25/26</c:v>
                </c:pt>
                <c:pt idx="87">
                  <c:v>Jan'25/26</c:v>
                </c:pt>
                <c:pt idx="88">
                  <c:v>Feb'25/26</c:v>
                </c:pt>
              </c:strCache>
            </c:strRef>
          </c:cat>
          <c:val>
            <c:numRef>
              <c:f>Aggregated!$L$122:$L$210</c:f>
              <c:numCache>
                <c:formatCode>0.0</c:formatCode>
                <c:ptCount val="89"/>
                <c:pt idx="0">
                  <c:v>45.808806046173608</c:v>
                </c:pt>
                <c:pt idx="1">
                  <c:v>46.680171930326679</c:v>
                </c:pt>
                <c:pt idx="2">
                  <c:v>46.615911296745011</c:v>
                </c:pt>
                <c:pt idx="3">
                  <c:v>46.863405232995014</c:v>
                </c:pt>
                <c:pt idx="4">
                  <c:v>46.797088342506669</c:v>
                </c:pt>
                <c:pt idx="5">
                  <c:v>46.325039042428337</c:v>
                </c:pt>
                <c:pt idx="6">
                  <c:v>46.198024693978333</c:v>
                </c:pt>
                <c:pt idx="7">
                  <c:v>46.244511353424997</c:v>
                </c:pt>
                <c:pt idx="8">
                  <c:v>46.171218539439998</c:v>
                </c:pt>
                <c:pt idx="9">
                  <c:v>46.620077284780002</c:v>
                </c:pt>
                <c:pt idx="10">
                  <c:v>46.68166316717334</c:v>
                </c:pt>
                <c:pt idx="11">
                  <c:v>46.65630389068501</c:v>
                </c:pt>
                <c:pt idx="12">
                  <c:v>46.363347663550002</c:v>
                </c:pt>
                <c:pt idx="13">
                  <c:v>46.085378470485004</c:v>
                </c:pt>
                <c:pt idx="14">
                  <c:v>46.859524319374998</c:v>
                </c:pt>
                <c:pt idx="15">
                  <c:v>45.973760246634995</c:v>
                </c:pt>
                <c:pt idx="16">
                  <c:v>47.282994295021666</c:v>
                </c:pt>
                <c:pt idx="17">
                  <c:v>47.747517975091668</c:v>
                </c:pt>
                <c:pt idx="18">
                  <c:v>48.143289051033335</c:v>
                </c:pt>
                <c:pt idx="19">
                  <c:v>47.835471318878341</c:v>
                </c:pt>
                <c:pt idx="20">
                  <c:v>47.794633876311664</c:v>
                </c:pt>
                <c:pt idx="21">
                  <c:v>47.454413469088337</c:v>
                </c:pt>
                <c:pt idx="22">
                  <c:v>47.165300493030003</c:v>
                </c:pt>
                <c:pt idx="23">
                  <c:v>47.58468593206667</c:v>
                </c:pt>
                <c:pt idx="24">
                  <c:v>47.549044662059998</c:v>
                </c:pt>
                <c:pt idx="25">
                  <c:v>47.086823245125011</c:v>
                </c:pt>
                <c:pt idx="26">
                  <c:v>46.818244458768341</c:v>
                </c:pt>
                <c:pt idx="27">
                  <c:v>47.236084625755005</c:v>
                </c:pt>
                <c:pt idx="28">
                  <c:v>46.40619303519</c:v>
                </c:pt>
                <c:pt idx="29">
                  <c:v>46.411593198570003</c:v>
                </c:pt>
                <c:pt idx="30">
                  <c:v>46.141489296998337</c:v>
                </c:pt>
                <c:pt idx="31">
                  <c:v>46.22670369203334</c:v>
                </c:pt>
                <c:pt idx="32">
                  <c:v>46.548417096603345</c:v>
                </c:pt>
                <c:pt idx="33">
                  <c:v>46.813770715175004</c:v>
                </c:pt>
                <c:pt idx="34">
                  <c:v>47.16936060369833</c:v>
                </c:pt>
                <c:pt idx="35">
                  <c:v>47.198156729934993</c:v>
                </c:pt>
                <c:pt idx="36">
                  <c:v>47.484613388648334</c:v>
                </c:pt>
                <c:pt idx="37">
                  <c:v>48.178507231993329</c:v>
                </c:pt>
                <c:pt idx="38">
                  <c:v>48.725147462220001</c:v>
                </c:pt>
                <c:pt idx="39">
                  <c:v>49.985556637838336</c:v>
                </c:pt>
                <c:pt idx="40">
                  <c:v>50.090144805863339</c:v>
                </c:pt>
                <c:pt idx="41">
                  <c:v>50.400568162490003</c:v>
                </c:pt>
                <c:pt idx="42">
                  <c:v>50.636794342200012</c:v>
                </c:pt>
                <c:pt idx="43">
                  <c:v>50.963866864518337</c:v>
                </c:pt>
                <c:pt idx="44">
                  <c:v>50.835281129605008</c:v>
                </c:pt>
                <c:pt idx="45">
                  <c:v>50.556356928425004</c:v>
                </c:pt>
                <c:pt idx="46">
                  <c:v>50.560357707076669</c:v>
                </c:pt>
                <c:pt idx="47">
                  <c:v>50.244529200886667</c:v>
                </c:pt>
                <c:pt idx="48">
                  <c:v>49.592621739123338</c:v>
                </c:pt>
                <c:pt idx="49">
                  <c:v>49.629430013146674</c:v>
                </c:pt>
                <c:pt idx="50">
                  <c:v>49.375949456438342</c:v>
                </c:pt>
                <c:pt idx="51">
                  <c:v>47.876721149120606</c:v>
                </c:pt>
                <c:pt idx="52">
                  <c:v>48.192930141223414</c:v>
                </c:pt>
                <c:pt idx="53">
                  <c:v>48.055019918546193</c:v>
                </c:pt>
                <c:pt idx="54">
                  <c:v>48.068618306053985</c:v>
                </c:pt>
                <c:pt idx="55">
                  <c:v>48.1884026809185</c:v>
                </c:pt>
                <c:pt idx="56">
                  <c:v>48.425177227151273</c:v>
                </c:pt>
                <c:pt idx="57">
                  <c:v>48.793532474816352</c:v>
                </c:pt>
                <c:pt idx="58">
                  <c:v>48.780145182647459</c:v>
                </c:pt>
                <c:pt idx="59">
                  <c:v>48.180374839780242</c:v>
                </c:pt>
                <c:pt idx="60">
                  <c:v>47.822396353891911</c:v>
                </c:pt>
                <c:pt idx="61">
                  <c:v>47.958458793925267</c:v>
                </c:pt>
                <c:pt idx="62">
                  <c:v>48.244193761283604</c:v>
                </c:pt>
                <c:pt idx="63">
                  <c:v>49.511068541666347</c:v>
                </c:pt>
                <c:pt idx="64">
                  <c:v>49.777753269786267</c:v>
                </c:pt>
                <c:pt idx="65">
                  <c:v>50.112344050245149</c:v>
                </c:pt>
                <c:pt idx="66">
                  <c:v>50.353986169675714</c:v>
                </c:pt>
                <c:pt idx="67">
                  <c:v>49.954046766132855</c:v>
                </c:pt>
                <c:pt idx="68">
                  <c:v>49.356232539406747</c:v>
                </c:pt>
                <c:pt idx="69">
                  <c:v>49.424660343349998</c:v>
                </c:pt>
                <c:pt idx="70">
                  <c:v>49.634098353830552</c:v>
                </c:pt>
                <c:pt idx="71">
                  <c:v>50.042332667836106</c:v>
                </c:pt>
                <c:pt idx="72">
                  <c:v>50.617069046034437</c:v>
                </c:pt>
                <c:pt idx="73">
                  <c:v>49.507988284952759</c:v>
                </c:pt>
                <c:pt idx="74">
                  <c:v>48.635559006769419</c:v>
                </c:pt>
                <c:pt idx="75">
                  <c:v>47.172667783206087</c:v>
                </c:pt>
                <c:pt idx="76">
                  <c:v>47.298197654355008</c:v>
                </c:pt>
                <c:pt idx="77">
                  <c:v>46.972067808203334</c:v>
                </c:pt>
                <c:pt idx="78">
                  <c:v>47.196836033565006</c:v>
                </c:pt>
                <c:pt idx="79">
                  <c:v>48.082294885399996</c:v>
                </c:pt>
                <c:pt idx="80">
                  <c:v>49.159937068946661</c:v>
                </c:pt>
                <c:pt idx="81">
                  <c:v>49.425378943948331</c:v>
                </c:pt>
                <c:pt idx="82">
                  <c:v>49.599757116408341</c:v>
                </c:pt>
                <c:pt idx="83">
                  <c:v>50.389719726979997</c:v>
                </c:pt>
                <c:pt idx="84">
                  <c:v>50.643101500838334</c:v>
                </c:pt>
                <c:pt idx="85">
                  <c:v>51.170260667500003</c:v>
                </c:pt>
                <c:pt idx="86">
                  <c:v>51.850411828711664</c:v>
                </c:pt>
                <c:pt idx="87">
                  <c:v>53.086311021828337</c:v>
                </c:pt>
                <c:pt idx="88">
                  <c:v>52.625518817506673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B-47B0-8AB4-671098ECB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818928"/>
        <c:axId val="1161828528"/>
      </c:lineChart>
      <c:catAx>
        <c:axId val="116181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28528"/>
        <c:crosses val="autoZero"/>
        <c:auto val="1"/>
        <c:lblAlgn val="ctr"/>
        <c:lblOffset val="100"/>
        <c:noMultiLvlLbl val="0"/>
      </c:catAx>
      <c:valAx>
        <c:axId val="116182852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1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'Agg (Peru Included)'!$C$5</c:f>
          <c:strCache>
            <c:ptCount val="1"/>
            <c:pt idx="0">
              <c:v>Robusta + Arabica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'Agg (Peru Included)'!$B$12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5">
                    <a:lumMod val="20000"/>
                    <a:lumOff val="80000"/>
                  </a:schemeClr>
                </a:solidFill>
                <a:round/>
              </a:ln>
              <a:effectLst/>
            </c:spPr>
          </c:marker>
          <c:cat>
            <c:strRef>
              <c:f>'Agg (Peru Included)'!$C$6:$N$6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Included)'!$C$12:$N$12</c:f>
              <c:numCache>
                <c:formatCode>#,##0</c:formatCode>
                <c:ptCount val="12"/>
                <c:pt idx="0">
                  <c:v>8683914.7794200014</c:v>
                </c:pt>
                <c:pt idx="1">
                  <c:v>8582434.7490716688</c:v>
                </c:pt>
                <c:pt idx="2">
                  <c:v>9584164.3454566672</c:v>
                </c:pt>
                <c:pt idx="3">
                  <c:v>9132495.4449866675</c:v>
                </c:pt>
                <c:pt idx="4">
                  <c:v>9365572.9198666681</c:v>
                </c:pt>
                <c:pt idx="5">
                  <c:v>9927214.739308333</c:v>
                </c:pt>
                <c:pt idx="6">
                  <c:v>8837208.8606500011</c:v>
                </c:pt>
                <c:pt idx="7">
                  <c:v>8232623.6060000006</c:v>
                </c:pt>
                <c:pt idx="8">
                  <c:v>8200382.9766400009</c:v>
                </c:pt>
                <c:pt idx="9">
                  <c:v>8285684.6537250001</c:v>
                </c:pt>
                <c:pt idx="10">
                  <c:v>8438658.1590916663</c:v>
                </c:pt>
                <c:pt idx="11">
                  <c:v>8894662.7276816666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65-4FE4-AECA-810CC836D1AF}"/>
            </c:ext>
          </c:extLst>
        </c:ser>
        <c:ser>
          <c:idx val="6"/>
          <c:order val="6"/>
          <c:tx>
            <c:strRef>
              <c:f>'Agg (Peru Included)'!$B$13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'Agg (Peru Included)'!$C$6:$N$6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Included)'!$C$13:$N$13</c:f>
              <c:numCache>
                <c:formatCode>#,##0</c:formatCode>
                <c:ptCount val="12"/>
                <c:pt idx="0">
                  <c:v>8868913.0515083335</c:v>
                </c:pt>
                <c:pt idx="1">
                  <c:v>9379553.7363699991</c:v>
                </c:pt>
                <c:pt idx="2">
                  <c:v>10183492.560501665</c:v>
                </c:pt>
                <c:pt idx="3">
                  <c:v>9453931.9417499993</c:v>
                </c:pt>
                <c:pt idx="4">
                  <c:v>9435594.9918466657</c:v>
                </c:pt>
                <c:pt idx="5">
                  <c:v>10369730.646308333</c:v>
                </c:pt>
                <c:pt idx="6">
                  <c:v>9226661.4845583327</c:v>
                </c:pt>
                <c:pt idx="7">
                  <c:v>8081572.8680766672</c:v>
                </c:pt>
                <c:pt idx="8">
                  <c:v>8948562.804303335</c:v>
                </c:pt>
                <c:pt idx="9">
                  <c:v>8804921.729065001</c:v>
                </c:pt>
                <c:pt idx="10">
                  <c:v>8391953.8500716686</c:v>
                </c:pt>
                <c:pt idx="11">
                  <c:v>8629896.7056850009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65-4FE4-AECA-810CC836D1AF}"/>
            </c:ext>
          </c:extLst>
        </c:ser>
        <c:ser>
          <c:idx val="7"/>
          <c:order val="7"/>
          <c:tx>
            <c:strRef>
              <c:f>'Agg (Peru Included)'!$B$14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'Agg (Peru Included)'!$C$6:$N$6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Included)'!$C$14:$N$14</c:f>
              <c:numCache>
                <c:formatCode>#,##0</c:formatCode>
                <c:ptCount val="12"/>
                <c:pt idx="0">
                  <c:v>8682954.3866033331</c:v>
                </c:pt>
                <c:pt idx="1">
                  <c:v>8725620.277123332</c:v>
                </c:pt>
                <c:pt idx="2">
                  <c:v>10596655.251703333</c:v>
                </c:pt>
                <c:pt idx="3">
                  <c:v>10945405.364991667</c:v>
                </c:pt>
                <c:pt idx="4">
                  <c:v>9289449.4602016658</c:v>
                </c:pt>
                <c:pt idx="5">
                  <c:v>11034727.429591669</c:v>
                </c:pt>
                <c:pt idx="6">
                  <c:v>8673602.0846550018</c:v>
                </c:pt>
                <c:pt idx="7">
                  <c:v>8568672.42038</c:v>
                </c:pt>
                <c:pt idx="8">
                  <c:v>8903476.6770883333</c:v>
                </c:pt>
                <c:pt idx="9">
                  <c:v>8082680.9091466675</c:v>
                </c:pt>
                <c:pt idx="10">
                  <c:v>8370520.3567933338</c:v>
                </c:pt>
                <c:pt idx="11">
                  <c:v>8420163.7761016656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65-4FE4-AECA-810CC836D1AF}"/>
            </c:ext>
          </c:extLst>
        </c:ser>
        <c:ser>
          <c:idx val="8"/>
          <c:order val="8"/>
          <c:tx>
            <c:strRef>
              <c:f>'Agg (Peru Included)'!$B$15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'Agg (Peru Included)'!$C$6:$N$6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Included)'!$C$15:$N$15</c:f>
              <c:numCache>
                <c:formatCode>#,##0</c:formatCode>
                <c:ptCount val="12"/>
                <c:pt idx="0">
                  <c:v>8102670.2379316669</c:v>
                </c:pt>
                <c:pt idx="1">
                  <c:v>8908202.6699983347</c:v>
                </c:pt>
                <c:pt idx="2">
                  <c:v>9247922.4839816652</c:v>
                </c:pt>
                <c:pt idx="3">
                  <c:v>8309169.3171172645</c:v>
                </c:pt>
                <c:pt idx="4">
                  <c:v>8131431.9662061539</c:v>
                </c:pt>
                <c:pt idx="5">
                  <c:v>9636946.1915544458</c:v>
                </c:pt>
                <c:pt idx="6">
                  <c:v>8214652.1850111112</c:v>
                </c:pt>
                <c:pt idx="7">
                  <c:v>8268948.8918811949</c:v>
                </c:pt>
                <c:pt idx="8">
                  <c:v>8251092.2658844441</c:v>
                </c:pt>
                <c:pt idx="9">
                  <c:v>8333607.1805334128</c:v>
                </c:pt>
                <c:pt idx="10">
                  <c:v>8602311.3248744439</c:v>
                </c:pt>
                <c:pt idx="11">
                  <c:v>7224401.9092211118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65-4FE4-AECA-810CC836D1AF}"/>
            </c:ext>
          </c:extLst>
        </c:ser>
        <c:ser>
          <c:idx val="9"/>
          <c:order val="9"/>
          <c:tx>
            <c:strRef>
              <c:f>'Agg (Peru Included)'!$B$16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'Agg (Peru Included)'!$C$6:$N$6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Included)'!$C$16:$N$16</c:f>
              <c:numCache>
                <c:formatCode>#,##0</c:formatCode>
                <c:ptCount val="12"/>
                <c:pt idx="0">
                  <c:v>8056758.5103050005</c:v>
                </c:pt>
                <c:pt idx="1">
                  <c:v>9412676.9860616922</c:v>
                </c:pt>
                <c:pt idx="2">
                  <c:v>10344775.480848335</c:v>
                </c:pt>
                <c:pt idx="3">
                  <c:v>10618364.869695</c:v>
                </c:pt>
                <c:pt idx="4">
                  <c:v>9558678.4362444188</c:v>
                </c:pt>
                <c:pt idx="5">
                  <c:v>10763622.779993333</c:v>
                </c:pt>
                <c:pt idx="6">
                  <c:v>9569736.2447983325</c:v>
                </c:pt>
                <c:pt idx="7">
                  <c:v>9420793.4973883331</c:v>
                </c:pt>
                <c:pt idx="8">
                  <c:v>8643934.9872500002</c:v>
                </c:pt>
                <c:pt idx="9">
                  <c:v>9356854.6151016671</c:v>
                </c:pt>
                <c:pt idx="10">
                  <c:v>9136559.094696667</c:v>
                </c:pt>
                <c:pt idx="11">
                  <c:v>9098538.2620916665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65-4FE4-AECA-810CC836D1AF}"/>
            </c:ext>
          </c:extLst>
        </c:ser>
        <c:ser>
          <c:idx val="10"/>
          <c:order val="10"/>
          <c:tx>
            <c:strRef>
              <c:f>'Agg (Peru Included)'!$B$17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'Agg (Peru Included)'!$C$6:$N$6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Included)'!$C$17:$N$17</c:f>
              <c:numCache>
                <c:formatCode>#,##0</c:formatCode>
                <c:ptCount val="12"/>
                <c:pt idx="0">
                  <c:v>9371220.0583149996</c:v>
                </c:pt>
                <c:pt idx="1">
                  <c:v>8597891.4460866675</c:v>
                </c:pt>
                <c:pt idx="2">
                  <c:v>10108385.550711667</c:v>
                </c:pt>
                <c:pt idx="3">
                  <c:v>9244913.2908616681</c:v>
                </c:pt>
                <c:pt idx="4">
                  <c:v>9870648.5750183314</c:v>
                </c:pt>
                <c:pt idx="5">
                  <c:v>10688058.119809998</c:v>
                </c:pt>
                <c:pt idx="6">
                  <c:v>9452387.3408683334</c:v>
                </c:pt>
                <c:pt idx="7">
                  <c:v>9775990.7815333325</c:v>
                </c:pt>
                <c:pt idx="8">
                  <c:v>9361828.0642416682</c:v>
                </c:pt>
                <c:pt idx="9">
                  <c:v>9263188.3832099997</c:v>
                </c:pt>
                <c:pt idx="10">
                  <c:v>9135478.4728855565</c:v>
                </c:pt>
                <c:pt idx="11">
                  <c:v>9558429.3620770592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65-4FE4-AECA-810CC836D1AF}"/>
            </c:ext>
          </c:extLst>
        </c:ser>
        <c:ser>
          <c:idx val="11"/>
          <c:order val="11"/>
          <c:tx>
            <c:strRef>
              <c:f>'Agg (Peru Included)'!$B$18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'Agg (Peru Included)'!$C$6:$N$6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Included)'!$C$18:$N$18</c:f>
              <c:numCache>
                <c:formatCode>#,##0</c:formatCode>
                <c:ptCount val="12"/>
                <c:pt idx="0">
                  <c:v>9267879.1907850001</c:v>
                </c:pt>
                <c:pt idx="1">
                  <c:v>8871933.2524816673</c:v>
                </c:pt>
                <c:pt idx="2">
                  <c:v>9594239.5027983338</c:v>
                </c:pt>
                <c:pt idx="3">
                  <c:v>9591414</c:v>
                </c:pt>
                <c:pt idx="4">
                  <c:v>8393792.333333334</c:v>
                </c:pt>
                <c:pt idx="5">
                  <c:v>9569299.333333334</c:v>
                </c:pt>
                <c:pt idx="6">
                  <c:v>9619436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C4-4B0B-A65E-C0E1FAB4A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'Agg (Peru Included)'!$B$7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'Agg (Peru Included)'!$C$6:$N$6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'Agg (Peru Included)'!$C$7:$N$7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C65-4FE4-AECA-810CC836D1A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'Agg (Peru Included)'!$B$8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'Agg (Peru Included)'!$C$6:$N$6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'Agg (Peru Included)'!$C$8:$N$8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C65-4FE4-AECA-810CC836D1A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'Agg (Peru Included)'!$B$9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'Agg (Peru Included)'!$C$6:$N$6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'Agg (Peru Included)'!$C$9:$N$9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C65-4FE4-AECA-810CC836D1A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'Agg (Peru Included)'!$B$10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'Agg (Peru Included)'!$C$6:$N$6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'Agg (Peru Included)'!$C$10:$N$10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7532256.5093916673</c:v>
                      </c:pt>
                      <c:pt idx="1">
                        <c:v>8059784.448640272</c:v>
                      </c:pt>
                      <c:pt idx="2">
                        <c:v>8991527.9701816682</c:v>
                      </c:pt>
                      <c:pt idx="3">
                        <c:v>9563631.6676083319</c:v>
                      </c:pt>
                      <c:pt idx="4">
                        <c:v>8149370.3974333331</c:v>
                      </c:pt>
                      <c:pt idx="5">
                        <c:v>9112084.6904783323</c:v>
                      </c:pt>
                      <c:pt idx="6">
                        <c:v>8082163.6946383333</c:v>
                      </c:pt>
                      <c:pt idx="7">
                        <c:v>7517139.8898583334</c:v>
                      </c:pt>
                      <c:pt idx="8">
                        <c:v>8269842.4309366671</c:v>
                      </c:pt>
                      <c:pt idx="9">
                        <c:v>7836038.2810966661</c:v>
                      </c:pt>
                      <c:pt idx="10">
                        <c:v>8888052.4826166667</c:v>
                      </c:pt>
                      <c:pt idx="11">
                        <c:v>8309802.1889200006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C65-4FE4-AECA-810CC836D1A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'Agg (Peru Included)'!$B$11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'Agg (Peru Included)'!$C$6:$N$6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'Agg (Peru Included)'!$C$11:$N$11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9312780.5264833346</c:v>
                      </c:pt>
                      <c:pt idx="1">
                        <c:v>9561900.3207583334</c:v>
                      </c:pt>
                      <c:pt idx="2">
                        <c:v>9699868.7762883343</c:v>
                      </c:pt>
                      <c:pt idx="3">
                        <c:v>10204785.078678332</c:v>
                      </c:pt>
                      <c:pt idx="4">
                        <c:v>8829576.4648400005</c:v>
                      </c:pt>
                      <c:pt idx="5">
                        <c:v>9280829.6873550005</c:v>
                      </c:pt>
                      <c:pt idx="6">
                        <c:v>8639189.4988299999</c:v>
                      </c:pt>
                      <c:pt idx="7">
                        <c:v>9447737.6715066675</c:v>
                      </c:pt>
                      <c:pt idx="8">
                        <c:v>8785759.9154233336</c:v>
                      </c:pt>
                      <c:pt idx="9">
                        <c:v>9205122.7873883322</c:v>
                      </c:pt>
                      <c:pt idx="10">
                        <c:v>8903015.708126666</c:v>
                      </c:pt>
                      <c:pt idx="11">
                        <c:v>8490472.5624050014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C65-4FE4-AECA-810CC836D1AF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  <c:min val="60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8972795006720049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'Agg (Peru Included)'!$A$66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'Agg (Peru Included)'!$B$65:$M$65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Included)'!$B$66:$M$66</c:f>
              <c:numCache>
                <c:formatCode>#,##0</c:formatCode>
                <c:ptCount val="12"/>
                <c:pt idx="0">
                  <c:v>9371220.0583149996</c:v>
                </c:pt>
                <c:pt idx="1">
                  <c:v>8597891.4460866675</c:v>
                </c:pt>
                <c:pt idx="2">
                  <c:v>10108385.550711667</c:v>
                </c:pt>
                <c:pt idx="3">
                  <c:v>9244913.2908616681</c:v>
                </c:pt>
                <c:pt idx="4">
                  <c:v>9870648.5750183314</c:v>
                </c:pt>
                <c:pt idx="5">
                  <c:v>10688058.119809998</c:v>
                </c:pt>
                <c:pt idx="6">
                  <c:v>9452387.3408683334</c:v>
                </c:pt>
                <c:pt idx="7">
                  <c:v>9775990.7815333325</c:v>
                </c:pt>
                <c:pt idx="8">
                  <c:v>9361828.0642416682</c:v>
                </c:pt>
                <c:pt idx="9">
                  <c:v>9263188.3832099997</c:v>
                </c:pt>
                <c:pt idx="10">
                  <c:v>9135478.4728855565</c:v>
                </c:pt>
                <c:pt idx="11">
                  <c:v>9558429.3620770592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9-44AE-881E-726E8ECEB646}"/>
            </c:ext>
          </c:extLst>
        </c:ser>
        <c:ser>
          <c:idx val="1"/>
          <c:order val="1"/>
          <c:tx>
            <c:strRef>
              <c:f>'Agg (Peru Included)'!$A$67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'Agg (Peru Included)'!$B$65:$M$65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Included)'!$B$67:$M$67</c:f>
              <c:numCache>
                <c:formatCode>#,##0</c:formatCode>
                <c:ptCount val="12"/>
                <c:pt idx="0">
                  <c:v>7532256.5093916673</c:v>
                </c:pt>
                <c:pt idx="1">
                  <c:v>8059784.448640272</c:v>
                </c:pt>
                <c:pt idx="2">
                  <c:v>8991527.9701816682</c:v>
                </c:pt>
                <c:pt idx="3">
                  <c:v>8309169.3171172645</c:v>
                </c:pt>
                <c:pt idx="4">
                  <c:v>8131431.9662061539</c:v>
                </c:pt>
                <c:pt idx="5">
                  <c:v>9112084.6904783323</c:v>
                </c:pt>
                <c:pt idx="6">
                  <c:v>8082163.6946383333</c:v>
                </c:pt>
                <c:pt idx="7">
                  <c:v>7517139.8898583334</c:v>
                </c:pt>
                <c:pt idx="8">
                  <c:v>8200382.9766400009</c:v>
                </c:pt>
                <c:pt idx="9">
                  <c:v>7836038.2810966661</c:v>
                </c:pt>
                <c:pt idx="10">
                  <c:v>8370520.3567933338</c:v>
                </c:pt>
                <c:pt idx="11">
                  <c:v>7224401.9092211118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9-44AE-881E-726E8ECEB646}"/>
            </c:ext>
          </c:extLst>
        </c:ser>
        <c:ser>
          <c:idx val="2"/>
          <c:order val="2"/>
          <c:tx>
            <c:strRef>
              <c:f>'Agg (Peru Included)'!$A$68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'Agg (Peru Included)'!$B$65:$M$65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Included)'!$B$68:$M$68</c:f>
              <c:numCache>
                <c:formatCode>#,##0</c:formatCode>
                <c:ptCount val="12"/>
                <c:pt idx="0">
                  <c:v>9312780.5264833346</c:v>
                </c:pt>
                <c:pt idx="1">
                  <c:v>9561900.3207583334</c:v>
                </c:pt>
                <c:pt idx="2">
                  <c:v>10596655.251703333</c:v>
                </c:pt>
                <c:pt idx="3">
                  <c:v>10945405.364991667</c:v>
                </c:pt>
                <c:pt idx="4">
                  <c:v>9558678.4362444188</c:v>
                </c:pt>
                <c:pt idx="5">
                  <c:v>11034727.429591669</c:v>
                </c:pt>
                <c:pt idx="6">
                  <c:v>9569736.2447983325</c:v>
                </c:pt>
                <c:pt idx="7">
                  <c:v>9447737.6715066675</c:v>
                </c:pt>
                <c:pt idx="8">
                  <c:v>8948562.804303335</c:v>
                </c:pt>
                <c:pt idx="9">
                  <c:v>9356854.6151016671</c:v>
                </c:pt>
                <c:pt idx="10">
                  <c:v>9136559.094696667</c:v>
                </c:pt>
                <c:pt idx="11">
                  <c:v>9098538.2620916665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19-44AE-881E-726E8ECEB646}"/>
            </c:ext>
          </c:extLst>
        </c:ser>
        <c:ser>
          <c:idx val="3"/>
          <c:order val="3"/>
          <c:tx>
            <c:strRef>
              <c:f>'Agg (Peru Included)'!$A$69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'Agg (Peru Included)'!$B$65:$M$65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Included)'!$B$69:$M$69</c:f>
              <c:numCache>
                <c:formatCode>#,##0</c:formatCode>
                <c:ptCount val="12"/>
                <c:pt idx="0">
                  <c:v>8616503.2489326671</c:v>
                </c:pt>
                <c:pt idx="1">
                  <c:v>9004789.0231280047</c:v>
                </c:pt>
                <c:pt idx="2">
                  <c:v>10096246.265549334</c:v>
                </c:pt>
                <c:pt idx="3">
                  <c:v>9714356.9568831194</c:v>
                </c:pt>
                <c:pt idx="4">
                  <c:v>9257160.6859034486</c:v>
                </c:pt>
                <c:pt idx="5">
                  <c:v>10498617.033451557</c:v>
                </c:pt>
                <c:pt idx="6">
                  <c:v>9027407.8679782227</c:v>
                </c:pt>
                <c:pt idx="7">
                  <c:v>8823195.6918519046</c:v>
                </c:pt>
                <c:pt idx="8">
                  <c:v>8821778.9597535562</c:v>
                </c:pt>
                <c:pt idx="9">
                  <c:v>8768250.5634113494</c:v>
                </c:pt>
                <c:pt idx="10">
                  <c:v>8727364.6198643334</c:v>
                </c:pt>
                <c:pt idx="11">
                  <c:v>8586286.0030353013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19-44AE-881E-726E8ECEB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'Agg (Peru Included)'!$I$84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'Agg (Peru Included)'!$H$121:$H$208</c:f>
              <c:strCache>
                <c:ptCount val="88"/>
                <c:pt idx="0">
                  <c:v>Sep'17/18</c:v>
                </c:pt>
                <c:pt idx="1">
                  <c:v>Oct'18/19</c:v>
                </c:pt>
                <c:pt idx="2">
                  <c:v>Nov'18/19</c:v>
                </c:pt>
                <c:pt idx="3">
                  <c:v>Dec'18/19</c:v>
                </c:pt>
                <c:pt idx="4">
                  <c:v>Jan'18/19</c:v>
                </c:pt>
                <c:pt idx="5">
                  <c:v>Feb'18/19</c:v>
                </c:pt>
                <c:pt idx="6">
                  <c:v>Mar'18/19</c:v>
                </c:pt>
                <c:pt idx="7">
                  <c:v>Apr'18/19</c:v>
                </c:pt>
                <c:pt idx="8">
                  <c:v>May'18/19</c:v>
                </c:pt>
                <c:pt idx="9">
                  <c:v>Jun'18/19</c:v>
                </c:pt>
                <c:pt idx="10">
                  <c:v>Jul'18/19</c:v>
                </c:pt>
                <c:pt idx="11">
                  <c:v>Aug'18/19</c:v>
                </c:pt>
                <c:pt idx="12">
                  <c:v>Sep'18/19</c:v>
                </c:pt>
                <c:pt idx="13">
                  <c:v>Oct'19/20</c:v>
                </c:pt>
                <c:pt idx="14">
                  <c:v>Nov'19/20</c:v>
                </c:pt>
                <c:pt idx="15">
                  <c:v>Dec'19/20</c:v>
                </c:pt>
                <c:pt idx="16">
                  <c:v>Jan'19/20</c:v>
                </c:pt>
                <c:pt idx="17">
                  <c:v>Feb'19/20</c:v>
                </c:pt>
                <c:pt idx="18">
                  <c:v>Mar'19/20</c:v>
                </c:pt>
                <c:pt idx="19">
                  <c:v>Apr'19/20</c:v>
                </c:pt>
                <c:pt idx="20">
                  <c:v>May'19/20</c:v>
                </c:pt>
                <c:pt idx="21">
                  <c:v>Jun'19/20</c:v>
                </c:pt>
                <c:pt idx="22">
                  <c:v>Jul'19/20</c:v>
                </c:pt>
                <c:pt idx="23">
                  <c:v>Aug'19/20</c:v>
                </c:pt>
                <c:pt idx="24">
                  <c:v>Sep'19/20</c:v>
                </c:pt>
                <c:pt idx="25">
                  <c:v>Oct'20/21</c:v>
                </c:pt>
                <c:pt idx="26">
                  <c:v>Nov'20/21</c:v>
                </c:pt>
                <c:pt idx="27">
                  <c:v>Dec'20/21</c:v>
                </c:pt>
                <c:pt idx="28">
                  <c:v>Jan'20/21</c:v>
                </c:pt>
                <c:pt idx="29">
                  <c:v>Feb'20/21</c:v>
                </c:pt>
                <c:pt idx="30">
                  <c:v>Mar'20/21</c:v>
                </c:pt>
                <c:pt idx="31">
                  <c:v>Apr'20/21</c:v>
                </c:pt>
                <c:pt idx="32">
                  <c:v>May'20/21</c:v>
                </c:pt>
                <c:pt idx="33">
                  <c:v>Jun'20/21</c:v>
                </c:pt>
                <c:pt idx="34">
                  <c:v>Jul'20/21</c:v>
                </c:pt>
                <c:pt idx="35">
                  <c:v>Aug'20/21</c:v>
                </c:pt>
                <c:pt idx="36">
                  <c:v>Sep'20/21</c:v>
                </c:pt>
                <c:pt idx="37">
                  <c:v>Oct'21/22</c:v>
                </c:pt>
                <c:pt idx="38">
                  <c:v>Nov'21/22</c:v>
                </c:pt>
                <c:pt idx="39">
                  <c:v>Dec'21/22</c:v>
                </c:pt>
                <c:pt idx="40">
                  <c:v>Jan'21/22</c:v>
                </c:pt>
                <c:pt idx="41">
                  <c:v>Feb'21/22</c:v>
                </c:pt>
                <c:pt idx="42">
                  <c:v>Mar'21/22</c:v>
                </c:pt>
                <c:pt idx="43">
                  <c:v>Apr'21/22</c:v>
                </c:pt>
                <c:pt idx="44">
                  <c:v>May'21/22</c:v>
                </c:pt>
                <c:pt idx="45">
                  <c:v>Jun'21/22</c:v>
                </c:pt>
                <c:pt idx="46">
                  <c:v>Jul'21/22</c:v>
                </c:pt>
                <c:pt idx="47">
                  <c:v>Aug'21/22</c:v>
                </c:pt>
                <c:pt idx="48">
                  <c:v>Sep'21/22</c:v>
                </c:pt>
                <c:pt idx="49">
                  <c:v>Oct'22/23</c:v>
                </c:pt>
                <c:pt idx="50">
                  <c:v>Nov'22/23</c:v>
                </c:pt>
                <c:pt idx="51">
                  <c:v>Dec'22/23</c:v>
                </c:pt>
                <c:pt idx="52">
                  <c:v>Jan'22/23</c:v>
                </c:pt>
                <c:pt idx="53">
                  <c:v>Feb'22/23</c:v>
                </c:pt>
                <c:pt idx="54">
                  <c:v>Mar'22/23</c:v>
                </c:pt>
                <c:pt idx="55">
                  <c:v>Apr'22/23</c:v>
                </c:pt>
                <c:pt idx="56">
                  <c:v>May'22/23</c:v>
                </c:pt>
                <c:pt idx="57">
                  <c:v>Jun'22/23</c:v>
                </c:pt>
                <c:pt idx="58">
                  <c:v>Jul'22/23</c:v>
                </c:pt>
                <c:pt idx="59">
                  <c:v>Aug'22/23</c:v>
                </c:pt>
                <c:pt idx="60">
                  <c:v>Sep'22/23</c:v>
                </c:pt>
                <c:pt idx="61">
                  <c:v>Oct'23/24</c:v>
                </c:pt>
                <c:pt idx="62">
                  <c:v>Nov'23/24</c:v>
                </c:pt>
                <c:pt idx="63">
                  <c:v>Dec'23/24</c:v>
                </c:pt>
                <c:pt idx="64">
                  <c:v>Jan'23/24</c:v>
                </c:pt>
                <c:pt idx="65">
                  <c:v>Feb'23/24</c:v>
                </c:pt>
                <c:pt idx="66">
                  <c:v>Mar'23/24</c:v>
                </c:pt>
                <c:pt idx="67">
                  <c:v>Apr'23/24</c:v>
                </c:pt>
                <c:pt idx="68">
                  <c:v>May'23/24</c:v>
                </c:pt>
                <c:pt idx="69">
                  <c:v>Jun'23/24</c:v>
                </c:pt>
                <c:pt idx="70">
                  <c:v>Jul'23/24</c:v>
                </c:pt>
                <c:pt idx="71">
                  <c:v>Aug'23/24</c:v>
                </c:pt>
                <c:pt idx="72">
                  <c:v>Sep'23/24</c:v>
                </c:pt>
                <c:pt idx="73">
                  <c:v>Oct'24/25</c:v>
                </c:pt>
                <c:pt idx="74">
                  <c:v>Nov'24/25</c:v>
                </c:pt>
                <c:pt idx="75">
                  <c:v>Dec'24/25</c:v>
                </c:pt>
                <c:pt idx="76">
                  <c:v>Jan'24/25</c:v>
                </c:pt>
                <c:pt idx="77">
                  <c:v>Feb'24/25</c:v>
                </c:pt>
                <c:pt idx="78">
                  <c:v>Mar'24/25</c:v>
                </c:pt>
                <c:pt idx="79">
                  <c:v>Apr'24/25</c:v>
                </c:pt>
                <c:pt idx="80">
                  <c:v>May'24/25</c:v>
                </c:pt>
                <c:pt idx="81">
                  <c:v>Jun'24/25</c:v>
                </c:pt>
                <c:pt idx="82">
                  <c:v>Jul'24/25</c:v>
                </c:pt>
                <c:pt idx="83">
                  <c:v>Aug'24/25</c:v>
                </c:pt>
                <c:pt idx="84">
                  <c:v>Sep'24/25</c:v>
                </c:pt>
                <c:pt idx="85">
                  <c:v>Oct'25/26</c:v>
                </c:pt>
                <c:pt idx="86">
                  <c:v>Nov'25/26</c:v>
                </c:pt>
                <c:pt idx="87">
                  <c:v>Dec'25/26</c:v>
                </c:pt>
              </c:strCache>
            </c:strRef>
          </c:cat>
          <c:val>
            <c:numRef>
              <c:f>'Agg (Peru Included)'!$I$121:$I$208</c:f>
              <c:numCache>
                <c:formatCode>General</c:formatCode>
                <c:ptCount val="88"/>
                <c:pt idx="0">
                  <c:v>100.31169465180028</c:v>
                </c:pt>
                <c:pt idx="1">
                  <c:v>102.09221866889193</c:v>
                </c:pt>
                <c:pt idx="2">
                  <c:v>103.59433454101001</c:v>
                </c:pt>
                <c:pt idx="3">
                  <c:v>104.30267534711666</c:v>
                </c:pt>
                <c:pt idx="4">
                  <c:v>104.94382875818667</c:v>
                </c:pt>
                <c:pt idx="5">
                  <c:v>105.62403482559333</c:v>
                </c:pt>
                <c:pt idx="6">
                  <c:v>105.79277982247</c:v>
                </c:pt>
                <c:pt idx="7">
                  <c:v>106.34980562666166</c:v>
                </c:pt>
                <c:pt idx="8">
                  <c:v>108.28040340830999</c:v>
                </c:pt>
                <c:pt idx="9">
                  <c:v>108.79632089279669</c:v>
                </c:pt>
                <c:pt idx="10">
                  <c:v>110.16540539908836</c:v>
                </c:pt>
                <c:pt idx="11">
                  <c:v>110.18036862459836</c:v>
                </c:pt>
                <c:pt idx="12">
                  <c:v>110.36103899808334</c:v>
                </c:pt>
                <c:pt idx="13">
                  <c:v>109.73217325102001</c:v>
                </c:pt>
                <c:pt idx="14">
                  <c:v>108.75270767933334</c:v>
                </c:pt>
                <c:pt idx="15">
                  <c:v>108.63700324850168</c:v>
                </c:pt>
                <c:pt idx="16">
                  <c:v>107.56471361481002</c:v>
                </c:pt>
                <c:pt idx="17">
                  <c:v>108.10071006983669</c:v>
                </c:pt>
                <c:pt idx="18">
                  <c:v>108.74709512179001</c:v>
                </c:pt>
                <c:pt idx="19">
                  <c:v>108.94511448361001</c:v>
                </c:pt>
                <c:pt idx="20">
                  <c:v>107.73000041810334</c:v>
                </c:pt>
                <c:pt idx="21">
                  <c:v>107.14462347932</c:v>
                </c:pt>
                <c:pt idx="22">
                  <c:v>106.22518534565668</c:v>
                </c:pt>
                <c:pt idx="23">
                  <c:v>105.76082779662168</c:v>
                </c:pt>
                <c:pt idx="24">
                  <c:v>106.16501796189834</c:v>
                </c:pt>
                <c:pt idx="25">
                  <c:v>106.35001623398668</c:v>
                </c:pt>
                <c:pt idx="26">
                  <c:v>107.14713522128501</c:v>
                </c:pt>
                <c:pt idx="27">
                  <c:v>107.74646343633</c:v>
                </c:pt>
                <c:pt idx="28">
                  <c:v>108.06789993309334</c:v>
                </c:pt>
                <c:pt idx="29">
                  <c:v>108.13792200507334</c:v>
                </c:pt>
                <c:pt idx="30">
                  <c:v>108.58043791207334</c:v>
                </c:pt>
                <c:pt idx="31">
                  <c:v>108.96989053598168</c:v>
                </c:pt>
                <c:pt idx="32">
                  <c:v>108.81883979805833</c:v>
                </c:pt>
                <c:pt idx="33">
                  <c:v>109.56701962572164</c:v>
                </c:pt>
                <c:pt idx="34">
                  <c:v>110.08625670106166</c:v>
                </c:pt>
                <c:pt idx="35">
                  <c:v>110.03955239204167</c:v>
                </c:pt>
                <c:pt idx="36">
                  <c:v>109.77478637004501</c:v>
                </c:pt>
                <c:pt idx="37">
                  <c:v>109.58882770513999</c:v>
                </c:pt>
                <c:pt idx="38">
                  <c:v>108.93489424589333</c:v>
                </c:pt>
                <c:pt idx="39">
                  <c:v>109.348056937095</c:v>
                </c:pt>
                <c:pt idx="40">
                  <c:v>110.83953036033668</c:v>
                </c:pt>
                <c:pt idx="41">
                  <c:v>110.69338482869166</c:v>
                </c:pt>
                <c:pt idx="42">
                  <c:v>111.35838161197501</c:v>
                </c:pt>
                <c:pt idx="43">
                  <c:v>110.80532221207167</c:v>
                </c:pt>
                <c:pt idx="44">
                  <c:v>111.29242176437501</c:v>
                </c:pt>
                <c:pt idx="45">
                  <c:v>111.24733563716001</c:v>
                </c:pt>
                <c:pt idx="46">
                  <c:v>110.52509481724167</c:v>
                </c:pt>
                <c:pt idx="47">
                  <c:v>110.50366132396333</c:v>
                </c:pt>
                <c:pt idx="48">
                  <c:v>110.29392839437999</c:v>
                </c:pt>
                <c:pt idx="49">
                  <c:v>109.71364424570834</c:v>
                </c:pt>
                <c:pt idx="50">
                  <c:v>109.89622663858333</c:v>
                </c:pt>
                <c:pt idx="51">
                  <c:v>108.54749387086166</c:v>
                </c:pt>
                <c:pt idx="52">
                  <c:v>105.91125782298727</c:v>
                </c:pt>
                <c:pt idx="53">
                  <c:v>104.75324032899174</c:v>
                </c:pt>
                <c:pt idx="54">
                  <c:v>103.35545909095453</c:v>
                </c:pt>
                <c:pt idx="55">
                  <c:v>102.89650919131061</c:v>
                </c:pt>
                <c:pt idx="56">
                  <c:v>102.59678566281181</c:v>
                </c:pt>
                <c:pt idx="57">
                  <c:v>101.94440125160794</c:v>
                </c:pt>
                <c:pt idx="58">
                  <c:v>102.19532752299469</c:v>
                </c:pt>
                <c:pt idx="59">
                  <c:v>102.42711849107582</c:v>
                </c:pt>
                <c:pt idx="60">
                  <c:v>101.23135662419524</c:v>
                </c:pt>
                <c:pt idx="61">
                  <c:v>101.1854448965686</c:v>
                </c:pt>
                <c:pt idx="62">
                  <c:v>101.68991921263195</c:v>
                </c:pt>
                <c:pt idx="63">
                  <c:v>102.78677220949861</c:v>
                </c:pt>
                <c:pt idx="64">
                  <c:v>105.09596776207634</c:v>
                </c:pt>
                <c:pt idx="65">
                  <c:v>106.52321423211463</c:v>
                </c:pt>
                <c:pt idx="66">
                  <c:v>107.64989082055351</c:v>
                </c:pt>
                <c:pt idx="67">
                  <c:v>109.00497488034073</c:v>
                </c:pt>
                <c:pt idx="68">
                  <c:v>110.15681948584786</c:v>
                </c:pt>
                <c:pt idx="69">
                  <c:v>110.5496622072134</c:v>
                </c:pt>
                <c:pt idx="70">
                  <c:v>111.57290964178166</c:v>
                </c:pt>
                <c:pt idx="71">
                  <c:v>112.10715741160389</c:v>
                </c:pt>
                <c:pt idx="72">
                  <c:v>113.98129376447446</c:v>
                </c:pt>
                <c:pt idx="73">
                  <c:v>115.29575531248445</c:v>
                </c:pt>
                <c:pt idx="74">
                  <c:v>114.48096977250943</c:v>
                </c:pt>
                <c:pt idx="75">
                  <c:v>114.24457984237274</c:v>
                </c:pt>
                <c:pt idx="76">
                  <c:v>112.8711282635394</c:v>
                </c:pt>
                <c:pt idx="77">
                  <c:v>113.18309840231331</c:v>
                </c:pt>
                <c:pt idx="78">
                  <c:v>113.10753374213</c:v>
                </c:pt>
                <c:pt idx="79">
                  <c:v>112.99018483820001</c:v>
                </c:pt>
                <c:pt idx="80">
                  <c:v>113.34538212234501</c:v>
                </c:pt>
                <c:pt idx="81">
                  <c:v>114.06327519933666</c:v>
                </c:pt>
                <c:pt idx="82">
                  <c:v>113.969608967445</c:v>
                </c:pt>
                <c:pt idx="83">
                  <c:v>113.9685283456339</c:v>
                </c:pt>
                <c:pt idx="84">
                  <c:v>114.42841944561928</c:v>
                </c:pt>
                <c:pt idx="85">
                  <c:v>114.32507857808928</c:v>
                </c:pt>
                <c:pt idx="86">
                  <c:v>114.59912038448428</c:v>
                </c:pt>
                <c:pt idx="87">
                  <c:v>114.08497433657095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6B-437F-9DB7-A0AA43ED0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'Agg (Peru Included)'!$K$27</c:f>
          <c:strCache>
            <c:ptCount val="1"/>
            <c:pt idx="0">
              <c:v>Robusta + Arabica Exports | YTD : Oct-Sep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'Agg (Peru Included)'!$S$10:$S$17</c:f>
              <c:strCache>
                <c:ptCount val="8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</c:strCache>
            </c:strRef>
          </c:cat>
          <c:val>
            <c:numRef>
              <c:f>'Agg (Peru Included)'!$T$10:$T$17</c:f>
              <c:numCache>
                <c:formatCode>#,##0</c:formatCode>
                <c:ptCount val="8"/>
                <c:pt idx="0">
                  <c:v>100311694.65180027</c:v>
                </c:pt>
                <c:pt idx="1">
                  <c:v>110361038.99808334</c:v>
                </c:pt>
                <c:pt idx="2">
                  <c:v>106165017.96189834</c:v>
                </c:pt>
                <c:pt idx="3">
                  <c:v>109774786.37004501</c:v>
                </c:pt>
                <c:pt idx="4">
                  <c:v>110293928.39437999</c:v>
                </c:pt>
                <c:pt idx="5">
                  <c:v>101231356.62419525</c:v>
                </c:pt>
                <c:pt idx="6">
                  <c:v>113981293.76447445</c:v>
                </c:pt>
                <c:pt idx="7">
                  <c:v>114428419.44561929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2C-480B-8AB3-6DD64B051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'Agg (Peru Included)'!$Q$27</c:f>
          <c:strCache>
            <c:ptCount val="1"/>
            <c:pt idx="0">
              <c:v>Robusta + Arabica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'Agg (Peru Included)'!$M$81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'Agg (Peru Included)'!$N$75:$Y$75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Included)'!$N$81:$Y$81</c:f>
              <c:numCache>
                <c:formatCode>#,##0</c:formatCode>
                <c:ptCount val="12"/>
                <c:pt idx="0">
                  <c:v>8683914.7794200014</c:v>
                </c:pt>
                <c:pt idx="1">
                  <c:v>17266349.528491668</c:v>
                </c:pt>
                <c:pt idx="2">
                  <c:v>26850513.873948336</c:v>
                </c:pt>
                <c:pt idx="3">
                  <c:v>35983009.318935007</c:v>
                </c:pt>
                <c:pt idx="4">
                  <c:v>45348582.238801673</c:v>
                </c:pt>
                <c:pt idx="5">
                  <c:v>55275796.978110008</c:v>
                </c:pt>
                <c:pt idx="6">
                  <c:v>64113005.838760011</c:v>
                </c:pt>
                <c:pt idx="7">
                  <c:v>72345629.44476001</c:v>
                </c:pt>
                <c:pt idx="8">
                  <c:v>80546012.421400011</c:v>
                </c:pt>
                <c:pt idx="9">
                  <c:v>88831697.075125009</c:v>
                </c:pt>
                <c:pt idx="10">
                  <c:v>97270355.234216675</c:v>
                </c:pt>
                <c:pt idx="11">
                  <c:v>106165017.96189834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E-4AD8-9460-2E9729873735}"/>
            </c:ext>
          </c:extLst>
        </c:ser>
        <c:ser>
          <c:idx val="1"/>
          <c:order val="1"/>
          <c:tx>
            <c:strRef>
              <c:f>'Agg (Peru Included)'!$M$82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'Agg (Peru Included)'!$N$75:$Y$75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Included)'!$N$82:$Y$82</c:f>
              <c:numCache>
                <c:formatCode>#,##0</c:formatCode>
                <c:ptCount val="12"/>
                <c:pt idx="0">
                  <c:v>8868913.0515083335</c:v>
                </c:pt>
                <c:pt idx="1">
                  <c:v>18248466.787878335</c:v>
                </c:pt>
                <c:pt idx="2">
                  <c:v>28431959.348379999</c:v>
                </c:pt>
                <c:pt idx="3">
                  <c:v>37885891.290129997</c:v>
                </c:pt>
                <c:pt idx="4">
                  <c:v>47321486.281976663</c:v>
                </c:pt>
                <c:pt idx="5">
                  <c:v>57691216.928284995</c:v>
                </c:pt>
                <c:pt idx="6">
                  <c:v>66917878.412843332</c:v>
                </c:pt>
                <c:pt idx="7">
                  <c:v>74999451.280919999</c:v>
                </c:pt>
                <c:pt idx="8">
                  <c:v>83948014.085223332</c:v>
                </c:pt>
                <c:pt idx="9">
                  <c:v>92752935.814288333</c:v>
                </c:pt>
                <c:pt idx="10">
                  <c:v>101144889.66436</c:v>
                </c:pt>
                <c:pt idx="11">
                  <c:v>109774786.37004501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E-4AD8-9460-2E9729873735}"/>
            </c:ext>
          </c:extLst>
        </c:ser>
        <c:ser>
          <c:idx val="2"/>
          <c:order val="2"/>
          <c:tx>
            <c:strRef>
              <c:f>'Agg (Peru Included)'!$M$83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'Agg (Peru Included)'!$N$75:$Y$75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Included)'!$N$83:$Y$83</c:f>
              <c:numCache>
                <c:formatCode>#,##0</c:formatCode>
                <c:ptCount val="12"/>
                <c:pt idx="0">
                  <c:v>8682954.3866033331</c:v>
                </c:pt>
                <c:pt idx="1">
                  <c:v>17408574.663726665</c:v>
                </c:pt>
                <c:pt idx="2">
                  <c:v>28005229.915429998</c:v>
                </c:pt>
                <c:pt idx="3">
                  <c:v>38950635.280421667</c:v>
                </c:pt>
                <c:pt idx="4">
                  <c:v>48240084.740623333</c:v>
                </c:pt>
                <c:pt idx="5">
                  <c:v>59274812.170215003</c:v>
                </c:pt>
                <c:pt idx="6">
                  <c:v>67948414.254869998</c:v>
                </c:pt>
                <c:pt idx="7">
                  <c:v>76517086.675249994</c:v>
                </c:pt>
                <c:pt idx="8">
                  <c:v>85420563.352338329</c:v>
                </c:pt>
                <c:pt idx="9">
                  <c:v>93503244.261484995</c:v>
                </c:pt>
                <c:pt idx="10">
                  <c:v>101873764.61827832</c:v>
                </c:pt>
                <c:pt idx="11">
                  <c:v>110293928.39437999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E-4AD8-9460-2E9729873735}"/>
            </c:ext>
          </c:extLst>
        </c:ser>
        <c:ser>
          <c:idx val="3"/>
          <c:order val="3"/>
          <c:tx>
            <c:strRef>
              <c:f>'Agg (Peru Included)'!$M$84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'Agg (Peru Included)'!$N$75:$Y$75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Included)'!$N$84:$Y$84</c:f>
              <c:numCache>
                <c:formatCode>#,##0</c:formatCode>
                <c:ptCount val="12"/>
                <c:pt idx="0">
                  <c:v>8102670.2379316669</c:v>
                </c:pt>
                <c:pt idx="1">
                  <c:v>17010872.907930002</c:v>
                </c:pt>
                <c:pt idx="2">
                  <c:v>26258795.391911667</c:v>
                </c:pt>
                <c:pt idx="3">
                  <c:v>34567964.709028929</c:v>
                </c:pt>
                <c:pt idx="4">
                  <c:v>42699396.675235085</c:v>
                </c:pt>
                <c:pt idx="5">
                  <c:v>52336342.866789535</c:v>
                </c:pt>
                <c:pt idx="6">
                  <c:v>60550995.051800646</c:v>
                </c:pt>
                <c:pt idx="7">
                  <c:v>68819943.943681836</c:v>
                </c:pt>
                <c:pt idx="8">
                  <c:v>77071036.20956628</c:v>
                </c:pt>
                <c:pt idx="9">
                  <c:v>85404643.390099689</c:v>
                </c:pt>
                <c:pt idx="10">
                  <c:v>94006954.714974135</c:v>
                </c:pt>
                <c:pt idx="11">
                  <c:v>101231356.62419525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E-4AD8-9460-2E9729873735}"/>
            </c:ext>
          </c:extLst>
        </c:ser>
        <c:ser>
          <c:idx val="4"/>
          <c:order val="4"/>
          <c:tx>
            <c:strRef>
              <c:f>'Agg (Peru Included)'!$M$85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'Agg (Peru Included)'!$N$75:$Y$75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Included)'!$N$85:$Y$85</c:f>
              <c:numCache>
                <c:formatCode>#,##0</c:formatCode>
                <c:ptCount val="12"/>
                <c:pt idx="0">
                  <c:v>8056758.5103050005</c:v>
                </c:pt>
                <c:pt idx="1">
                  <c:v>17469435.496366695</c:v>
                </c:pt>
                <c:pt idx="2">
                  <c:v>27814210.977215029</c:v>
                </c:pt>
                <c:pt idx="3">
                  <c:v>38432575.84691003</c:v>
                </c:pt>
                <c:pt idx="4">
                  <c:v>47991254.28315445</c:v>
                </c:pt>
                <c:pt idx="5">
                  <c:v>58754877.063147783</c:v>
                </c:pt>
                <c:pt idx="6">
                  <c:v>68324613.307946116</c:v>
                </c:pt>
                <c:pt idx="7">
                  <c:v>77745406.805334449</c:v>
                </c:pt>
                <c:pt idx="8">
                  <c:v>86389341.792584449</c:v>
                </c:pt>
                <c:pt idx="9">
                  <c:v>95746196.407686114</c:v>
                </c:pt>
                <c:pt idx="10">
                  <c:v>104882755.50238279</c:v>
                </c:pt>
                <c:pt idx="11">
                  <c:v>113981293.76447445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E-4AD8-9460-2E9729873735}"/>
            </c:ext>
          </c:extLst>
        </c:ser>
        <c:ser>
          <c:idx val="5"/>
          <c:order val="5"/>
          <c:tx>
            <c:strRef>
              <c:f>'Agg (Peru Included)'!$M$86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'Agg (Peru Included)'!$N$75:$Y$75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Included)'!$N$86:$Y$86</c:f>
              <c:numCache>
                <c:formatCode>#,##0</c:formatCode>
                <c:ptCount val="12"/>
                <c:pt idx="0">
                  <c:v>9371220.0583149996</c:v>
                </c:pt>
                <c:pt idx="1">
                  <c:v>17969111.504401669</c:v>
                </c:pt>
                <c:pt idx="2">
                  <c:v>28077497.055113338</c:v>
                </c:pt>
                <c:pt idx="3">
                  <c:v>37322410.345975004</c:v>
                </c:pt>
                <c:pt idx="4">
                  <c:v>47193058.920993336</c:v>
                </c:pt>
                <c:pt idx="5">
                  <c:v>57881117.040803336</c:v>
                </c:pt>
                <c:pt idx="6">
                  <c:v>67333504.381671667</c:v>
                </c:pt>
                <c:pt idx="7">
                  <c:v>77109495.163204998</c:v>
                </c:pt>
                <c:pt idx="8">
                  <c:v>86471323.22744666</c:v>
                </c:pt>
                <c:pt idx="9">
                  <c:v>95734511.610656664</c:v>
                </c:pt>
                <c:pt idx="10">
                  <c:v>104869990.08354223</c:v>
                </c:pt>
                <c:pt idx="11">
                  <c:v>114428419.44561929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E-4AD8-9460-2E9729873735}"/>
            </c:ext>
          </c:extLst>
        </c:ser>
        <c:ser>
          <c:idx val="6"/>
          <c:order val="6"/>
          <c:tx>
            <c:strRef>
              <c:f>'Agg (Peru Included)'!$M$87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'Agg (Peru Included)'!$N$75:$Y$75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'Agg (Peru Included)'!$N$87:$Y$87</c:f>
              <c:numCache>
                <c:formatCode>#,##0</c:formatCode>
                <c:ptCount val="12"/>
                <c:pt idx="0">
                  <c:v>9267879.1907850001</c:v>
                </c:pt>
                <c:pt idx="1">
                  <c:v>18139812.443266667</c:v>
                </c:pt>
                <c:pt idx="2">
                  <c:v>27734051.946065001</c:v>
                </c:pt>
                <c:pt idx="3">
                  <c:v>37325465.946065001</c:v>
                </c:pt>
                <c:pt idx="4">
                  <c:v>45719258.279398337</c:v>
                </c:pt>
                <c:pt idx="5">
                  <c:v>55288557.612731673</c:v>
                </c:pt>
                <c:pt idx="6">
                  <c:v>64907993.612731673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B-4294-9230-07EE700AD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4">
                    <a:lumMod val="20000"/>
                    <a:lumOff val="80000"/>
                  </a:schemeClr>
                </a:solidFill>
              </a:rPr>
              <a:t>Arabica &amp; Robusta Rolling 12m</a:t>
            </a:r>
          </a:p>
        </c:rich>
      </c:tx>
      <c:overlay val="0"/>
      <c:spPr>
        <a:solidFill>
          <a:schemeClr val="tx1">
            <a:lumMod val="85000"/>
            <a:lumOff val="1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'Agg (Peru Included)'!$K$109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'Agg (Peru Included)'!$J$122:$J$210</c:f>
              <c:strCache>
                <c:ptCount val="89"/>
                <c:pt idx="0">
                  <c:v>Oct'18/19</c:v>
                </c:pt>
                <c:pt idx="1">
                  <c:v>Nov'18/19</c:v>
                </c:pt>
                <c:pt idx="2">
                  <c:v>Dec'18/19</c:v>
                </c:pt>
                <c:pt idx="3">
                  <c:v>Jan'18/19</c:v>
                </c:pt>
                <c:pt idx="4">
                  <c:v>Feb'18/19</c:v>
                </c:pt>
                <c:pt idx="5">
                  <c:v>Mar'18/19</c:v>
                </c:pt>
                <c:pt idx="6">
                  <c:v>Apr'18/19</c:v>
                </c:pt>
                <c:pt idx="7">
                  <c:v>May'18/19</c:v>
                </c:pt>
                <c:pt idx="8">
                  <c:v>Jun'18/19</c:v>
                </c:pt>
                <c:pt idx="9">
                  <c:v>Jul'18/19</c:v>
                </c:pt>
                <c:pt idx="10">
                  <c:v>Aug'18/19</c:v>
                </c:pt>
                <c:pt idx="11">
                  <c:v>Sep'18/19</c:v>
                </c:pt>
                <c:pt idx="12">
                  <c:v>Oct'19/20</c:v>
                </c:pt>
                <c:pt idx="13">
                  <c:v>Nov'19/20</c:v>
                </c:pt>
                <c:pt idx="14">
                  <c:v>Dec'19/20</c:v>
                </c:pt>
                <c:pt idx="15">
                  <c:v>Jan'19/20</c:v>
                </c:pt>
                <c:pt idx="16">
                  <c:v>Feb'19/20</c:v>
                </c:pt>
                <c:pt idx="17">
                  <c:v>Mar'19/20</c:v>
                </c:pt>
                <c:pt idx="18">
                  <c:v>Apr'19/20</c:v>
                </c:pt>
                <c:pt idx="19">
                  <c:v>May'19/20</c:v>
                </c:pt>
                <c:pt idx="20">
                  <c:v>Jun'19/20</c:v>
                </c:pt>
                <c:pt idx="21">
                  <c:v>Jul'19/20</c:v>
                </c:pt>
                <c:pt idx="22">
                  <c:v>Aug'19/20</c:v>
                </c:pt>
                <c:pt idx="23">
                  <c:v>Sep'19/20</c:v>
                </c:pt>
                <c:pt idx="24">
                  <c:v>Oct'20/21</c:v>
                </c:pt>
                <c:pt idx="25">
                  <c:v>Nov'20/21</c:v>
                </c:pt>
                <c:pt idx="26">
                  <c:v>Dec'20/21</c:v>
                </c:pt>
                <c:pt idx="27">
                  <c:v>Jan'20/21</c:v>
                </c:pt>
                <c:pt idx="28">
                  <c:v>Feb'20/21</c:v>
                </c:pt>
                <c:pt idx="29">
                  <c:v>Mar'20/21</c:v>
                </c:pt>
                <c:pt idx="30">
                  <c:v>Apr'20/21</c:v>
                </c:pt>
                <c:pt idx="31">
                  <c:v>May'20/21</c:v>
                </c:pt>
                <c:pt idx="32">
                  <c:v>Jun'20/21</c:v>
                </c:pt>
                <c:pt idx="33">
                  <c:v>Jul'20/21</c:v>
                </c:pt>
                <c:pt idx="34">
                  <c:v>Aug'20/21</c:v>
                </c:pt>
                <c:pt idx="35">
                  <c:v>Sep'20/21</c:v>
                </c:pt>
                <c:pt idx="36">
                  <c:v>Oct'21/22</c:v>
                </c:pt>
                <c:pt idx="37">
                  <c:v>Nov'21/22</c:v>
                </c:pt>
                <c:pt idx="38">
                  <c:v>Dec'21/22</c:v>
                </c:pt>
                <c:pt idx="39">
                  <c:v>Jan'21/22</c:v>
                </c:pt>
                <c:pt idx="40">
                  <c:v>Feb'21/22</c:v>
                </c:pt>
                <c:pt idx="41">
                  <c:v>Mar'21/22</c:v>
                </c:pt>
                <c:pt idx="42">
                  <c:v>Apr'21/22</c:v>
                </c:pt>
                <c:pt idx="43">
                  <c:v>May'21/22</c:v>
                </c:pt>
                <c:pt idx="44">
                  <c:v>Jun'21/22</c:v>
                </c:pt>
                <c:pt idx="45">
                  <c:v>Jul'21/22</c:v>
                </c:pt>
                <c:pt idx="46">
                  <c:v>Aug'21/22</c:v>
                </c:pt>
                <c:pt idx="47">
                  <c:v>Sep'21/22</c:v>
                </c:pt>
                <c:pt idx="48">
                  <c:v>Oct'22/23</c:v>
                </c:pt>
                <c:pt idx="49">
                  <c:v>Nov'22/23</c:v>
                </c:pt>
                <c:pt idx="50">
                  <c:v>Dec'22/23</c:v>
                </c:pt>
                <c:pt idx="51">
                  <c:v>Jan'22/23</c:v>
                </c:pt>
                <c:pt idx="52">
                  <c:v>Feb'22/23</c:v>
                </c:pt>
                <c:pt idx="53">
                  <c:v>Mar'22/23</c:v>
                </c:pt>
                <c:pt idx="54">
                  <c:v>Apr'22/23</c:v>
                </c:pt>
                <c:pt idx="55">
                  <c:v>May'22/23</c:v>
                </c:pt>
                <c:pt idx="56">
                  <c:v>Jun'22/23</c:v>
                </c:pt>
                <c:pt idx="57">
                  <c:v>Jul'22/23</c:v>
                </c:pt>
                <c:pt idx="58">
                  <c:v>Aug'22/23</c:v>
                </c:pt>
                <c:pt idx="59">
                  <c:v>Sep'22/23</c:v>
                </c:pt>
                <c:pt idx="60">
                  <c:v>Oct'23/24</c:v>
                </c:pt>
                <c:pt idx="61">
                  <c:v>Nov'23/24</c:v>
                </c:pt>
                <c:pt idx="62">
                  <c:v>Dec'23/24</c:v>
                </c:pt>
                <c:pt idx="63">
                  <c:v>Jan'23/24</c:v>
                </c:pt>
                <c:pt idx="64">
                  <c:v>Feb'23/24</c:v>
                </c:pt>
                <c:pt idx="65">
                  <c:v>Mar'23/24</c:v>
                </c:pt>
                <c:pt idx="66">
                  <c:v>Apr'23/24</c:v>
                </c:pt>
                <c:pt idx="67">
                  <c:v>May'23/24</c:v>
                </c:pt>
                <c:pt idx="68">
                  <c:v>Jun'23/24</c:v>
                </c:pt>
                <c:pt idx="69">
                  <c:v>Jul'23/24</c:v>
                </c:pt>
                <c:pt idx="70">
                  <c:v>Aug'23/24</c:v>
                </c:pt>
                <c:pt idx="71">
                  <c:v>Sep'23/24</c:v>
                </c:pt>
                <c:pt idx="72">
                  <c:v>Oct'24/25</c:v>
                </c:pt>
                <c:pt idx="73">
                  <c:v>Nov'24/25</c:v>
                </c:pt>
                <c:pt idx="74">
                  <c:v>Dec'24/25</c:v>
                </c:pt>
                <c:pt idx="75">
                  <c:v>Jan'24/25</c:v>
                </c:pt>
                <c:pt idx="76">
                  <c:v>Feb'24/25</c:v>
                </c:pt>
                <c:pt idx="77">
                  <c:v>Mar'24/25</c:v>
                </c:pt>
                <c:pt idx="78">
                  <c:v>Apr'24/25</c:v>
                </c:pt>
                <c:pt idx="79">
                  <c:v>May'24/25</c:v>
                </c:pt>
                <c:pt idx="80">
                  <c:v>Jun'24/25</c:v>
                </c:pt>
                <c:pt idx="81">
                  <c:v>Jul'24/25</c:v>
                </c:pt>
                <c:pt idx="82">
                  <c:v>Aug'24/25</c:v>
                </c:pt>
                <c:pt idx="83">
                  <c:v>Sep'24/25</c:v>
                </c:pt>
                <c:pt idx="84">
                  <c:v>Oct'25/26</c:v>
                </c:pt>
                <c:pt idx="85">
                  <c:v>Nov'25/26</c:v>
                </c:pt>
                <c:pt idx="86">
                  <c:v>Dec'25/26</c:v>
                </c:pt>
                <c:pt idx="87">
                  <c:v>Jan'25/26</c:v>
                </c:pt>
                <c:pt idx="88">
                  <c:v>Feb'25/26</c:v>
                </c:pt>
              </c:strCache>
            </c:strRef>
          </c:cat>
          <c:val>
            <c:numRef>
              <c:f>'Agg (Peru Included)'!$K$122:$K$210</c:f>
              <c:numCache>
                <c:formatCode>0.0</c:formatCode>
                <c:ptCount val="89"/>
                <c:pt idx="0">
                  <c:v>51.681212442299994</c:v>
                </c:pt>
                <c:pt idx="1">
                  <c:v>52.344511679378328</c:v>
                </c:pt>
                <c:pt idx="2">
                  <c:v>53.11191224796999</c:v>
                </c:pt>
                <c:pt idx="3">
                  <c:v>53.503215233406671</c:v>
                </c:pt>
                <c:pt idx="4">
                  <c:v>54.296068580248331</c:v>
                </c:pt>
                <c:pt idx="5">
                  <c:v>54.957041555665</c:v>
                </c:pt>
                <c:pt idx="6">
                  <c:v>55.634908946765009</c:v>
                </c:pt>
                <c:pt idx="7">
                  <c:v>57.547573530556669</c:v>
                </c:pt>
                <c:pt idx="8">
                  <c:v>58.192511218506674</c:v>
                </c:pt>
                <c:pt idx="9">
                  <c:v>59.071066137658335</c:v>
                </c:pt>
                <c:pt idx="10">
                  <c:v>59.111375673695001</c:v>
                </c:pt>
                <c:pt idx="11">
                  <c:v>59.326847967778335</c:v>
                </c:pt>
                <c:pt idx="12">
                  <c:v>59.245112220020005</c:v>
                </c:pt>
                <c:pt idx="13">
                  <c:v>58.616468650228327</c:v>
                </c:pt>
                <c:pt idx="14">
                  <c:v>57.699715757895</c:v>
                </c:pt>
                <c:pt idx="15">
                  <c:v>57.617926944051668</c:v>
                </c:pt>
                <c:pt idx="16">
                  <c:v>56.882962994835005</c:v>
                </c:pt>
                <c:pt idx="17">
                  <c:v>57.08669637691834</c:v>
                </c:pt>
                <c:pt idx="18">
                  <c:v>56.893204532918332</c:v>
                </c:pt>
                <c:pt idx="19">
                  <c:v>55.964779307085003</c:v>
                </c:pt>
                <c:pt idx="20">
                  <c:v>55.451835944959996</c:v>
                </c:pt>
                <c:pt idx="21">
                  <c:v>54.92607227347667</c:v>
                </c:pt>
                <c:pt idx="22">
                  <c:v>54.754618362201668</c:v>
                </c:pt>
                <c:pt idx="23">
                  <c:v>54.829064970701673</c:v>
                </c:pt>
                <c:pt idx="24">
                  <c:v>55.224750269168332</c:v>
                </c:pt>
                <c:pt idx="25">
                  <c:v>56.510141261168336</c:v>
                </c:pt>
                <c:pt idx="26">
                  <c:v>57.475564989876673</c:v>
                </c:pt>
                <c:pt idx="27">
                  <c:v>57.365120081941669</c:v>
                </c:pt>
                <c:pt idx="28">
                  <c:v>58.258575744391671</c:v>
                </c:pt>
                <c:pt idx="29">
                  <c:v>58.669867331100001</c:v>
                </c:pt>
                <c:pt idx="30">
                  <c:v>59.3366088796</c:v>
                </c:pt>
                <c:pt idx="31">
                  <c:v>59.143641327933324</c:v>
                </c:pt>
                <c:pt idx="32">
                  <c:v>59.571603464008334</c:v>
                </c:pt>
                <c:pt idx="33">
                  <c:v>59.927282850874995</c:v>
                </c:pt>
                <c:pt idx="34">
                  <c:v>59.732135501133342</c:v>
                </c:pt>
                <c:pt idx="35">
                  <c:v>59.471118417799993</c:v>
                </c:pt>
                <c:pt idx="36">
                  <c:v>58.849852949991664</c:v>
                </c:pt>
                <c:pt idx="37">
                  <c:v>57.469741777716663</c:v>
                </c:pt>
                <c:pt idx="38">
                  <c:v>57.200836251424995</c:v>
                </c:pt>
                <c:pt idx="39">
                  <c:v>57.105346018516677</c:v>
                </c:pt>
                <c:pt idx="40">
                  <c:v>56.503479199746671</c:v>
                </c:pt>
                <c:pt idx="41">
                  <c:v>56.674208183148338</c:v>
                </c:pt>
                <c:pt idx="42">
                  <c:v>55.827922066998333</c:v>
                </c:pt>
                <c:pt idx="43">
                  <c:v>55.940727319548337</c:v>
                </c:pt>
                <c:pt idx="44">
                  <c:v>55.959276306806672</c:v>
                </c:pt>
                <c:pt idx="45">
                  <c:v>55.433399876748339</c:v>
                </c:pt>
                <c:pt idx="46">
                  <c:v>55.208119453081665</c:v>
                </c:pt>
                <c:pt idx="47">
                  <c:v>55.280244815748325</c:v>
                </c:pt>
                <c:pt idx="48">
                  <c:v>55.374984808389996</c:v>
                </c:pt>
                <c:pt idx="49">
                  <c:v>55.670752053831649</c:v>
                </c:pt>
                <c:pt idx="50">
                  <c:v>54.819738385373334</c:v>
                </c:pt>
                <c:pt idx="51">
                  <c:v>53.978098934569999</c:v>
                </c:pt>
                <c:pt idx="52">
                  <c:v>52.863807223781663</c:v>
                </c:pt>
                <c:pt idx="53">
                  <c:v>51.801873184613328</c:v>
                </c:pt>
                <c:pt idx="54">
                  <c:v>51.393962997929989</c:v>
                </c:pt>
                <c:pt idx="55">
                  <c:v>50.991130110879993</c:v>
                </c:pt>
                <c:pt idx="56">
                  <c:v>50.182851500421663</c:v>
                </c:pt>
                <c:pt idx="57">
                  <c:v>50.152588670638337</c:v>
                </c:pt>
                <c:pt idx="58">
                  <c:v>50.494233280388336</c:v>
                </c:pt>
                <c:pt idx="59">
                  <c:v>49.944699453605004</c:v>
                </c:pt>
                <c:pt idx="60">
                  <c:v>50.177653420738338</c:v>
                </c:pt>
                <c:pt idx="61">
                  <c:v>50.354855897738339</c:v>
                </c:pt>
                <c:pt idx="62">
                  <c:v>50.903885783896669</c:v>
                </c:pt>
                <c:pt idx="63">
                  <c:v>51.749637083283332</c:v>
                </c:pt>
                <c:pt idx="64">
                  <c:v>52.710171281925</c:v>
                </c:pt>
                <c:pt idx="65">
                  <c:v>53.400611977441677</c:v>
                </c:pt>
                <c:pt idx="66">
                  <c:v>54.477491312066675</c:v>
                </c:pt>
                <c:pt idx="67">
                  <c:v>55.989365947825007</c:v>
                </c:pt>
                <c:pt idx="68">
                  <c:v>56.851960044450003</c:v>
                </c:pt>
                <c:pt idx="69">
                  <c:v>57.535542142916675</c:v>
                </c:pt>
                <c:pt idx="70">
                  <c:v>57.69002305345834</c:v>
                </c:pt>
                <c:pt idx="71">
                  <c:v>59.035438932325</c:v>
                </c:pt>
                <c:pt idx="72">
                  <c:v>59.862349712083336</c:v>
                </c:pt>
                <c:pt idx="73">
                  <c:v>60.422224348316668</c:v>
                </c:pt>
                <c:pt idx="74">
                  <c:v>61.388432605616671</c:v>
                </c:pt>
                <c:pt idx="75">
                  <c:v>61.782378701108335</c:v>
                </c:pt>
                <c:pt idx="76">
                  <c:v>62.177497825858332</c:v>
                </c:pt>
                <c:pt idx="77">
                  <c:v>62.517133923691674</c:v>
                </c:pt>
                <c:pt idx="78">
                  <c:v>62.185829464066664</c:v>
                </c:pt>
                <c:pt idx="79">
                  <c:v>61.641774260974991</c:v>
                </c:pt>
                <c:pt idx="80">
                  <c:v>61.201468362975</c:v>
                </c:pt>
                <c:pt idx="81">
                  <c:v>60.909971327925</c:v>
                </c:pt>
                <c:pt idx="82">
                  <c:v>60.730285191855558</c:v>
                </c:pt>
                <c:pt idx="83">
                  <c:v>60.272994320419279</c:v>
                </c:pt>
                <c:pt idx="84">
                  <c:v>59.790279091927609</c:v>
                </c:pt>
                <c:pt idx="85">
                  <c:v>59.337805700860947</c:v>
                </c:pt>
                <c:pt idx="86">
                  <c:v>58.00491345219428</c:v>
                </c:pt>
                <c:pt idx="87">
                  <c:v>57.033007531535937</c:v>
                </c:pt>
                <c:pt idx="88">
                  <c:v>56.01180499520261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0-4CBC-98C2-5A668E725466}"/>
            </c:ext>
          </c:extLst>
        </c:ser>
        <c:ser>
          <c:idx val="1"/>
          <c:order val="1"/>
          <c:tx>
            <c:strRef>
              <c:f>'Agg (Peru Included)'!$L$109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'Agg (Peru Included)'!$J$122:$J$210</c:f>
              <c:strCache>
                <c:ptCount val="89"/>
                <c:pt idx="0">
                  <c:v>Oct'18/19</c:v>
                </c:pt>
                <c:pt idx="1">
                  <c:v>Nov'18/19</c:v>
                </c:pt>
                <c:pt idx="2">
                  <c:v>Dec'18/19</c:v>
                </c:pt>
                <c:pt idx="3">
                  <c:v>Jan'18/19</c:v>
                </c:pt>
                <c:pt idx="4">
                  <c:v>Feb'18/19</c:v>
                </c:pt>
                <c:pt idx="5">
                  <c:v>Mar'18/19</c:v>
                </c:pt>
                <c:pt idx="6">
                  <c:v>Apr'18/19</c:v>
                </c:pt>
                <c:pt idx="7">
                  <c:v>May'18/19</c:v>
                </c:pt>
                <c:pt idx="8">
                  <c:v>Jun'18/19</c:v>
                </c:pt>
                <c:pt idx="9">
                  <c:v>Jul'18/19</c:v>
                </c:pt>
                <c:pt idx="10">
                  <c:v>Aug'18/19</c:v>
                </c:pt>
                <c:pt idx="11">
                  <c:v>Sep'18/19</c:v>
                </c:pt>
                <c:pt idx="12">
                  <c:v>Oct'19/20</c:v>
                </c:pt>
                <c:pt idx="13">
                  <c:v>Nov'19/20</c:v>
                </c:pt>
                <c:pt idx="14">
                  <c:v>Dec'19/20</c:v>
                </c:pt>
                <c:pt idx="15">
                  <c:v>Jan'19/20</c:v>
                </c:pt>
                <c:pt idx="16">
                  <c:v>Feb'19/20</c:v>
                </c:pt>
                <c:pt idx="17">
                  <c:v>Mar'19/20</c:v>
                </c:pt>
                <c:pt idx="18">
                  <c:v>Apr'19/20</c:v>
                </c:pt>
                <c:pt idx="19">
                  <c:v>May'19/20</c:v>
                </c:pt>
                <c:pt idx="20">
                  <c:v>Jun'19/20</c:v>
                </c:pt>
                <c:pt idx="21">
                  <c:v>Jul'19/20</c:v>
                </c:pt>
                <c:pt idx="22">
                  <c:v>Aug'19/20</c:v>
                </c:pt>
                <c:pt idx="23">
                  <c:v>Sep'19/20</c:v>
                </c:pt>
                <c:pt idx="24">
                  <c:v>Oct'20/21</c:v>
                </c:pt>
                <c:pt idx="25">
                  <c:v>Nov'20/21</c:v>
                </c:pt>
                <c:pt idx="26">
                  <c:v>Dec'20/21</c:v>
                </c:pt>
                <c:pt idx="27">
                  <c:v>Jan'20/21</c:v>
                </c:pt>
                <c:pt idx="28">
                  <c:v>Feb'20/21</c:v>
                </c:pt>
                <c:pt idx="29">
                  <c:v>Mar'20/21</c:v>
                </c:pt>
                <c:pt idx="30">
                  <c:v>Apr'20/21</c:v>
                </c:pt>
                <c:pt idx="31">
                  <c:v>May'20/21</c:v>
                </c:pt>
                <c:pt idx="32">
                  <c:v>Jun'20/21</c:v>
                </c:pt>
                <c:pt idx="33">
                  <c:v>Jul'20/21</c:v>
                </c:pt>
                <c:pt idx="34">
                  <c:v>Aug'20/21</c:v>
                </c:pt>
                <c:pt idx="35">
                  <c:v>Sep'20/21</c:v>
                </c:pt>
                <c:pt idx="36">
                  <c:v>Oct'21/22</c:v>
                </c:pt>
                <c:pt idx="37">
                  <c:v>Nov'21/22</c:v>
                </c:pt>
                <c:pt idx="38">
                  <c:v>Dec'21/22</c:v>
                </c:pt>
                <c:pt idx="39">
                  <c:v>Jan'21/22</c:v>
                </c:pt>
                <c:pt idx="40">
                  <c:v>Feb'21/22</c:v>
                </c:pt>
                <c:pt idx="41">
                  <c:v>Mar'21/22</c:v>
                </c:pt>
                <c:pt idx="42">
                  <c:v>Apr'21/22</c:v>
                </c:pt>
                <c:pt idx="43">
                  <c:v>May'21/22</c:v>
                </c:pt>
                <c:pt idx="44">
                  <c:v>Jun'21/22</c:v>
                </c:pt>
                <c:pt idx="45">
                  <c:v>Jul'21/22</c:v>
                </c:pt>
                <c:pt idx="46">
                  <c:v>Aug'21/22</c:v>
                </c:pt>
                <c:pt idx="47">
                  <c:v>Sep'21/22</c:v>
                </c:pt>
                <c:pt idx="48">
                  <c:v>Oct'22/23</c:v>
                </c:pt>
                <c:pt idx="49">
                  <c:v>Nov'22/23</c:v>
                </c:pt>
                <c:pt idx="50">
                  <c:v>Dec'22/23</c:v>
                </c:pt>
                <c:pt idx="51">
                  <c:v>Jan'22/23</c:v>
                </c:pt>
                <c:pt idx="52">
                  <c:v>Feb'22/23</c:v>
                </c:pt>
                <c:pt idx="53">
                  <c:v>Mar'22/23</c:v>
                </c:pt>
                <c:pt idx="54">
                  <c:v>Apr'22/23</c:v>
                </c:pt>
                <c:pt idx="55">
                  <c:v>May'22/23</c:v>
                </c:pt>
                <c:pt idx="56">
                  <c:v>Jun'22/23</c:v>
                </c:pt>
                <c:pt idx="57">
                  <c:v>Jul'22/23</c:v>
                </c:pt>
                <c:pt idx="58">
                  <c:v>Aug'22/23</c:v>
                </c:pt>
                <c:pt idx="59">
                  <c:v>Sep'22/23</c:v>
                </c:pt>
                <c:pt idx="60">
                  <c:v>Oct'23/24</c:v>
                </c:pt>
                <c:pt idx="61">
                  <c:v>Nov'23/24</c:v>
                </c:pt>
                <c:pt idx="62">
                  <c:v>Dec'23/24</c:v>
                </c:pt>
                <c:pt idx="63">
                  <c:v>Jan'23/24</c:v>
                </c:pt>
                <c:pt idx="64">
                  <c:v>Feb'23/24</c:v>
                </c:pt>
                <c:pt idx="65">
                  <c:v>Mar'23/24</c:v>
                </c:pt>
                <c:pt idx="66">
                  <c:v>Apr'23/24</c:v>
                </c:pt>
                <c:pt idx="67">
                  <c:v>May'23/24</c:v>
                </c:pt>
                <c:pt idx="68">
                  <c:v>Jun'23/24</c:v>
                </c:pt>
                <c:pt idx="69">
                  <c:v>Jul'23/24</c:v>
                </c:pt>
                <c:pt idx="70">
                  <c:v>Aug'23/24</c:v>
                </c:pt>
                <c:pt idx="71">
                  <c:v>Sep'23/24</c:v>
                </c:pt>
                <c:pt idx="72">
                  <c:v>Oct'24/25</c:v>
                </c:pt>
                <c:pt idx="73">
                  <c:v>Nov'24/25</c:v>
                </c:pt>
                <c:pt idx="74">
                  <c:v>Dec'24/25</c:v>
                </c:pt>
                <c:pt idx="75">
                  <c:v>Jan'24/25</c:v>
                </c:pt>
                <c:pt idx="76">
                  <c:v>Feb'24/25</c:v>
                </c:pt>
                <c:pt idx="77">
                  <c:v>Mar'24/25</c:v>
                </c:pt>
                <c:pt idx="78">
                  <c:v>Apr'24/25</c:v>
                </c:pt>
                <c:pt idx="79">
                  <c:v>May'24/25</c:v>
                </c:pt>
                <c:pt idx="80">
                  <c:v>Jun'24/25</c:v>
                </c:pt>
                <c:pt idx="81">
                  <c:v>Jul'24/25</c:v>
                </c:pt>
                <c:pt idx="82">
                  <c:v>Aug'24/25</c:v>
                </c:pt>
                <c:pt idx="83">
                  <c:v>Sep'24/25</c:v>
                </c:pt>
                <c:pt idx="84">
                  <c:v>Oct'25/26</c:v>
                </c:pt>
                <c:pt idx="85">
                  <c:v>Nov'25/26</c:v>
                </c:pt>
                <c:pt idx="86">
                  <c:v>Dec'25/26</c:v>
                </c:pt>
                <c:pt idx="87">
                  <c:v>Jan'25/26</c:v>
                </c:pt>
                <c:pt idx="88">
                  <c:v>Feb'25/26</c:v>
                </c:pt>
              </c:strCache>
            </c:strRef>
          </c:cat>
          <c:val>
            <c:numRef>
              <c:f>'Agg (Peru Included)'!$L$122:$L$210</c:f>
              <c:numCache>
                <c:formatCode>0.0</c:formatCode>
                <c:ptCount val="89"/>
                <c:pt idx="0">
                  <c:v>45.808806046173608</c:v>
                </c:pt>
                <c:pt idx="1">
                  <c:v>46.680171930326679</c:v>
                </c:pt>
                <c:pt idx="2">
                  <c:v>46.615911296745011</c:v>
                </c:pt>
                <c:pt idx="3">
                  <c:v>46.863405232995014</c:v>
                </c:pt>
                <c:pt idx="4">
                  <c:v>46.797088342506669</c:v>
                </c:pt>
                <c:pt idx="5">
                  <c:v>46.325039042428337</c:v>
                </c:pt>
                <c:pt idx="6">
                  <c:v>46.198024693978333</c:v>
                </c:pt>
                <c:pt idx="7">
                  <c:v>46.244511353424997</c:v>
                </c:pt>
                <c:pt idx="8">
                  <c:v>46.171218539439998</c:v>
                </c:pt>
                <c:pt idx="9">
                  <c:v>46.620077284780002</c:v>
                </c:pt>
                <c:pt idx="10">
                  <c:v>46.68166316717334</c:v>
                </c:pt>
                <c:pt idx="11">
                  <c:v>46.65630389068501</c:v>
                </c:pt>
                <c:pt idx="12">
                  <c:v>46.363347663550002</c:v>
                </c:pt>
                <c:pt idx="13">
                  <c:v>46.085378470485004</c:v>
                </c:pt>
                <c:pt idx="14">
                  <c:v>46.859524319374998</c:v>
                </c:pt>
                <c:pt idx="15">
                  <c:v>45.973760246634995</c:v>
                </c:pt>
                <c:pt idx="16">
                  <c:v>47.282994295021666</c:v>
                </c:pt>
                <c:pt idx="17">
                  <c:v>47.747517975091668</c:v>
                </c:pt>
                <c:pt idx="18">
                  <c:v>48.143289051033335</c:v>
                </c:pt>
                <c:pt idx="19">
                  <c:v>47.835471318878341</c:v>
                </c:pt>
                <c:pt idx="20">
                  <c:v>47.794633876311664</c:v>
                </c:pt>
                <c:pt idx="21">
                  <c:v>47.454413469088337</c:v>
                </c:pt>
                <c:pt idx="22">
                  <c:v>47.165300493030003</c:v>
                </c:pt>
                <c:pt idx="23">
                  <c:v>47.58468593206667</c:v>
                </c:pt>
                <c:pt idx="24">
                  <c:v>47.549044662059998</c:v>
                </c:pt>
                <c:pt idx="25">
                  <c:v>47.086823245125011</c:v>
                </c:pt>
                <c:pt idx="26">
                  <c:v>46.818244458768341</c:v>
                </c:pt>
                <c:pt idx="27">
                  <c:v>47.236084625755005</c:v>
                </c:pt>
                <c:pt idx="28">
                  <c:v>46.40619303519</c:v>
                </c:pt>
                <c:pt idx="29">
                  <c:v>46.411593198570003</c:v>
                </c:pt>
                <c:pt idx="30">
                  <c:v>46.141489296998337</c:v>
                </c:pt>
                <c:pt idx="31">
                  <c:v>46.22670369203334</c:v>
                </c:pt>
                <c:pt idx="32">
                  <c:v>46.548417096603345</c:v>
                </c:pt>
                <c:pt idx="33">
                  <c:v>46.813770715175004</c:v>
                </c:pt>
                <c:pt idx="34">
                  <c:v>47.16936060369833</c:v>
                </c:pt>
                <c:pt idx="35">
                  <c:v>47.198156729934993</c:v>
                </c:pt>
                <c:pt idx="36">
                  <c:v>47.484613388648334</c:v>
                </c:pt>
                <c:pt idx="37">
                  <c:v>48.178507231993329</c:v>
                </c:pt>
                <c:pt idx="38">
                  <c:v>48.725147462220001</c:v>
                </c:pt>
                <c:pt idx="39">
                  <c:v>49.985556637838336</c:v>
                </c:pt>
                <c:pt idx="40">
                  <c:v>50.090144805863339</c:v>
                </c:pt>
                <c:pt idx="41">
                  <c:v>50.400568162490003</c:v>
                </c:pt>
                <c:pt idx="42">
                  <c:v>50.636794342200012</c:v>
                </c:pt>
                <c:pt idx="43">
                  <c:v>50.963866864518337</c:v>
                </c:pt>
                <c:pt idx="44">
                  <c:v>50.835281129605008</c:v>
                </c:pt>
                <c:pt idx="45">
                  <c:v>50.556356928425004</c:v>
                </c:pt>
                <c:pt idx="46">
                  <c:v>50.560357707076669</c:v>
                </c:pt>
                <c:pt idx="47">
                  <c:v>50.244529200886667</c:v>
                </c:pt>
                <c:pt idx="48">
                  <c:v>49.592621739123338</c:v>
                </c:pt>
                <c:pt idx="49">
                  <c:v>49.629430013146674</c:v>
                </c:pt>
                <c:pt idx="50">
                  <c:v>49.375949456438342</c:v>
                </c:pt>
                <c:pt idx="51">
                  <c:v>47.876721149120606</c:v>
                </c:pt>
                <c:pt idx="52">
                  <c:v>48.192930141223414</c:v>
                </c:pt>
                <c:pt idx="53">
                  <c:v>48.055019918546193</c:v>
                </c:pt>
                <c:pt idx="54">
                  <c:v>48.068618306053985</c:v>
                </c:pt>
                <c:pt idx="55">
                  <c:v>48.1884026809185</c:v>
                </c:pt>
                <c:pt idx="56">
                  <c:v>48.425177227151273</c:v>
                </c:pt>
                <c:pt idx="57">
                  <c:v>48.793532474816352</c:v>
                </c:pt>
                <c:pt idx="58">
                  <c:v>48.780145182647459</c:v>
                </c:pt>
                <c:pt idx="59">
                  <c:v>48.180374839780242</c:v>
                </c:pt>
                <c:pt idx="60">
                  <c:v>47.822396353891911</c:v>
                </c:pt>
                <c:pt idx="61">
                  <c:v>47.958458793925267</c:v>
                </c:pt>
                <c:pt idx="62">
                  <c:v>48.244193761283604</c:v>
                </c:pt>
                <c:pt idx="63">
                  <c:v>49.511068541666347</c:v>
                </c:pt>
                <c:pt idx="64">
                  <c:v>49.777753269786267</c:v>
                </c:pt>
                <c:pt idx="65">
                  <c:v>50.112344050245149</c:v>
                </c:pt>
                <c:pt idx="66">
                  <c:v>50.353986169675714</c:v>
                </c:pt>
                <c:pt idx="67">
                  <c:v>49.954046766132855</c:v>
                </c:pt>
                <c:pt idx="68">
                  <c:v>49.356232539406747</c:v>
                </c:pt>
                <c:pt idx="69">
                  <c:v>49.424660343349998</c:v>
                </c:pt>
                <c:pt idx="70">
                  <c:v>49.634098353830552</c:v>
                </c:pt>
                <c:pt idx="71">
                  <c:v>50.042332667836106</c:v>
                </c:pt>
                <c:pt idx="72">
                  <c:v>50.617069046034437</c:v>
                </c:pt>
                <c:pt idx="73">
                  <c:v>49.507988284952759</c:v>
                </c:pt>
                <c:pt idx="74">
                  <c:v>48.635559006769419</c:v>
                </c:pt>
                <c:pt idx="75">
                  <c:v>47.172667783206087</c:v>
                </c:pt>
                <c:pt idx="76">
                  <c:v>47.298197654355008</c:v>
                </c:pt>
                <c:pt idx="77">
                  <c:v>46.972067808203334</c:v>
                </c:pt>
                <c:pt idx="78">
                  <c:v>47.196836033565006</c:v>
                </c:pt>
                <c:pt idx="79">
                  <c:v>48.082294885399996</c:v>
                </c:pt>
                <c:pt idx="80">
                  <c:v>49.159937068946661</c:v>
                </c:pt>
                <c:pt idx="81">
                  <c:v>49.425378943948331</c:v>
                </c:pt>
                <c:pt idx="82">
                  <c:v>49.599757116408341</c:v>
                </c:pt>
                <c:pt idx="83">
                  <c:v>50.389719726979997</c:v>
                </c:pt>
                <c:pt idx="84">
                  <c:v>50.643101500838334</c:v>
                </c:pt>
                <c:pt idx="85">
                  <c:v>51.170260667500003</c:v>
                </c:pt>
                <c:pt idx="86">
                  <c:v>51.850411828711664</c:v>
                </c:pt>
                <c:pt idx="87">
                  <c:v>53.086311021828337</c:v>
                </c:pt>
                <c:pt idx="88">
                  <c:v>52.625518817506673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0-4CBC-98C2-5A668E725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818928"/>
        <c:axId val="1161828528"/>
      </c:lineChart>
      <c:catAx>
        <c:axId val="116181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28528"/>
        <c:crosses val="autoZero"/>
        <c:auto val="1"/>
        <c:lblAlgn val="ctr"/>
        <c:lblOffset val="100"/>
        <c:noMultiLvlLbl val="0"/>
      </c:catAx>
      <c:valAx>
        <c:axId val="116182852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1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'S4 Arabica'!$C$5</c:f>
          <c:strCache>
            <c:ptCount val="1"/>
            <c:pt idx="0">
              <c:v>Super 4 : Arabica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'S4 Arabica'!$B$12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5">
                    <a:lumMod val="20000"/>
                    <a:lumOff val="80000"/>
                  </a:schemeClr>
                </a:solidFill>
                <a:round/>
              </a:ln>
              <a:effectLst/>
            </c:spPr>
          </c:marker>
          <c:cat>
            <c:strRef>
              <c:f>'S4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Arabica'!$C$12:$N$12</c:f>
              <c:numCache>
                <c:formatCode>#,##0</c:formatCode>
                <c:ptCount val="12"/>
                <c:pt idx="0">
                  <c:v>4635677.8949666666</c:v>
                </c:pt>
                <c:pt idx="1">
                  <c:v>4370017.57</c:v>
                </c:pt>
                <c:pt idx="2">
                  <c:v>4404055.0029166667</c:v>
                </c:pt>
                <c:pt idx="3">
                  <c:v>4971784.7840933334</c:v>
                </c:pt>
                <c:pt idx="4">
                  <c:v>4630856.413383333</c:v>
                </c:pt>
                <c:pt idx="5">
                  <c:v>5064583.3977083331</c:v>
                </c:pt>
                <c:pt idx="6">
                  <c:v>4696361.0373333339</c:v>
                </c:pt>
                <c:pt idx="7">
                  <c:v>4583106.2768333331</c:v>
                </c:pt>
                <c:pt idx="8">
                  <c:v>4326034.4171666671</c:v>
                </c:pt>
                <c:pt idx="9">
                  <c:v>4244566.0042249998</c:v>
                </c:pt>
                <c:pt idx="10">
                  <c:v>4377553.2177416664</c:v>
                </c:pt>
                <c:pt idx="11">
                  <c:v>4524468.9543333333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A4-4460-8050-A59FD372611C}"/>
            </c:ext>
          </c:extLst>
        </c:ser>
        <c:ser>
          <c:idx val="6"/>
          <c:order val="6"/>
          <c:tx>
            <c:strRef>
              <c:f>'S4 Arabica'!$B$13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'S4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Arabica'!$C$13:$N$13</c:f>
              <c:numCache>
                <c:formatCode>#,##0</c:formatCode>
                <c:ptCount val="12"/>
                <c:pt idx="0">
                  <c:v>5031363.1934333332</c:v>
                </c:pt>
                <c:pt idx="1">
                  <c:v>5655408.5619999999</c:v>
                </c:pt>
                <c:pt idx="2">
                  <c:v>5369478.731625</c:v>
                </c:pt>
                <c:pt idx="3">
                  <c:v>4861339.8761583334</c:v>
                </c:pt>
                <c:pt idx="4">
                  <c:v>5524312.0758333337</c:v>
                </c:pt>
                <c:pt idx="5">
                  <c:v>5475874.9844166664</c:v>
                </c:pt>
                <c:pt idx="6">
                  <c:v>5363102.5858333334</c:v>
                </c:pt>
                <c:pt idx="7">
                  <c:v>4390138.7251666673</c:v>
                </c:pt>
                <c:pt idx="8">
                  <c:v>4753996.5532416664</c:v>
                </c:pt>
                <c:pt idx="9">
                  <c:v>4600245.3910916671</c:v>
                </c:pt>
                <c:pt idx="10">
                  <c:v>4182405.8680000002</c:v>
                </c:pt>
                <c:pt idx="11">
                  <c:v>4263451.8710000003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A4-4460-8050-A59FD372611C}"/>
            </c:ext>
          </c:extLst>
        </c:ser>
        <c:ser>
          <c:idx val="7"/>
          <c:order val="7"/>
          <c:tx>
            <c:strRef>
              <c:f>'S4 Arabica'!$B$14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'S4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Arabica'!$C$14:$N$14</c:f>
              <c:numCache>
                <c:formatCode>#,##0</c:formatCode>
                <c:ptCount val="12"/>
                <c:pt idx="0">
                  <c:v>4410097.725625</c:v>
                </c:pt>
                <c:pt idx="1">
                  <c:v>4275297.3897249997</c:v>
                </c:pt>
                <c:pt idx="2">
                  <c:v>5100573.2053333335</c:v>
                </c:pt>
                <c:pt idx="3">
                  <c:v>4765849.6432499997</c:v>
                </c:pt>
                <c:pt idx="4">
                  <c:v>4922445.2570633329</c:v>
                </c:pt>
                <c:pt idx="5">
                  <c:v>5646603.9678183328</c:v>
                </c:pt>
                <c:pt idx="6">
                  <c:v>4516816.4696833333</c:v>
                </c:pt>
                <c:pt idx="7">
                  <c:v>4502943.9777166666</c:v>
                </c:pt>
                <c:pt idx="8">
                  <c:v>4772545.5405000001</c:v>
                </c:pt>
                <c:pt idx="9">
                  <c:v>4074368.9610333331</c:v>
                </c:pt>
                <c:pt idx="10">
                  <c:v>3957125.4443333335</c:v>
                </c:pt>
                <c:pt idx="11">
                  <c:v>4335577.2336666668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A4-4460-8050-A59FD372611C}"/>
            </c:ext>
          </c:extLst>
        </c:ser>
        <c:ser>
          <c:idx val="8"/>
          <c:order val="8"/>
          <c:tx>
            <c:strRef>
              <c:f>'S4 Arabica'!$B$15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'S4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Arabica'!$C$15:$N$15</c:f>
              <c:numCache>
                <c:formatCode>#,##0</c:formatCode>
                <c:ptCount val="12"/>
                <c:pt idx="0">
                  <c:v>4504837.7182666669</c:v>
                </c:pt>
                <c:pt idx="1">
                  <c:v>4571064.6351666674</c:v>
                </c:pt>
                <c:pt idx="2">
                  <c:v>4249559.5368750002</c:v>
                </c:pt>
                <c:pt idx="3">
                  <c:v>3924210.1924466668</c:v>
                </c:pt>
                <c:pt idx="4">
                  <c:v>3808153.5462750001</c:v>
                </c:pt>
                <c:pt idx="5">
                  <c:v>4584669.9286500001</c:v>
                </c:pt>
                <c:pt idx="6">
                  <c:v>4108906.2829999998</c:v>
                </c:pt>
                <c:pt idx="7">
                  <c:v>4100111.0906666666</c:v>
                </c:pt>
                <c:pt idx="8">
                  <c:v>3964266.9300416666</c:v>
                </c:pt>
                <c:pt idx="9">
                  <c:v>4044106.1312499996</c:v>
                </c:pt>
                <c:pt idx="10">
                  <c:v>4298770.0540833334</c:v>
                </c:pt>
                <c:pt idx="11">
                  <c:v>3786043.4068833333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A4-4460-8050-A59FD372611C}"/>
            </c:ext>
          </c:extLst>
        </c:ser>
        <c:ser>
          <c:idx val="9"/>
          <c:order val="9"/>
          <c:tx>
            <c:strRef>
              <c:f>'S4 Arabica'!$B$16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'S4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Arabica'!$C$16:$N$16</c:f>
              <c:numCache>
                <c:formatCode>#,##0</c:formatCode>
                <c:ptCount val="12"/>
                <c:pt idx="0">
                  <c:v>4737791.6853999998</c:v>
                </c:pt>
                <c:pt idx="1">
                  <c:v>4748267.1121666674</c:v>
                </c:pt>
                <c:pt idx="2">
                  <c:v>4798589.4230333334</c:v>
                </c:pt>
                <c:pt idx="3">
                  <c:v>4769961.4918333339</c:v>
                </c:pt>
                <c:pt idx="4">
                  <c:v>4768687.7449166672</c:v>
                </c:pt>
                <c:pt idx="5">
                  <c:v>5275110.6241666665</c:v>
                </c:pt>
                <c:pt idx="6">
                  <c:v>5185785.617625</c:v>
                </c:pt>
                <c:pt idx="7">
                  <c:v>5611985.7264249995</c:v>
                </c:pt>
                <c:pt idx="8">
                  <c:v>4826861.0266666673</c:v>
                </c:pt>
                <c:pt idx="9">
                  <c:v>4727688.229716667</c:v>
                </c:pt>
                <c:pt idx="10">
                  <c:v>4453250.964625</c:v>
                </c:pt>
                <c:pt idx="11">
                  <c:v>5131459.2857499998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A4-4460-8050-A59FD372611C}"/>
            </c:ext>
          </c:extLst>
        </c:ser>
        <c:ser>
          <c:idx val="10"/>
          <c:order val="10"/>
          <c:tx>
            <c:strRef>
              <c:f>'S4 Arabica'!$B$17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'S4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Arabica'!$C$17:$N$17</c:f>
              <c:numCache>
                <c:formatCode>#,##0</c:formatCode>
                <c:ptCount val="12"/>
                <c:pt idx="0">
                  <c:v>5564702.4651583331</c:v>
                </c:pt>
                <c:pt idx="1">
                  <c:v>5308141.7483999999</c:v>
                </c:pt>
                <c:pt idx="2">
                  <c:v>5764797.680333334</c:v>
                </c:pt>
                <c:pt idx="3">
                  <c:v>5163907.5873250002</c:v>
                </c:pt>
                <c:pt idx="4">
                  <c:v>5163806.8696666667</c:v>
                </c:pt>
                <c:pt idx="5">
                  <c:v>5614746.7219999991</c:v>
                </c:pt>
                <c:pt idx="6">
                  <c:v>4854481.1579999998</c:v>
                </c:pt>
                <c:pt idx="7">
                  <c:v>5067930.5233333334</c:v>
                </c:pt>
                <c:pt idx="8">
                  <c:v>4386555.1286666673</c:v>
                </c:pt>
                <c:pt idx="9">
                  <c:v>4436191.1946666669</c:v>
                </c:pt>
                <c:pt idx="10">
                  <c:v>4273564.828555556</c:v>
                </c:pt>
                <c:pt idx="11">
                  <c:v>4674168.4143137261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A4-4460-8050-A59FD372611C}"/>
            </c:ext>
          </c:extLst>
        </c:ser>
        <c:ser>
          <c:idx val="11"/>
          <c:order val="11"/>
          <c:tx>
            <c:strRef>
              <c:f>'S4 Arabica'!$B$18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'S4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Arabica'!$C$18:$N$18</c:f>
              <c:numCache>
                <c:formatCode>#,##0</c:formatCode>
                <c:ptCount val="12"/>
                <c:pt idx="0">
                  <c:v>5081987.2366666663</c:v>
                </c:pt>
                <c:pt idx="1">
                  <c:v>4855668.3573333332</c:v>
                </c:pt>
                <c:pt idx="2">
                  <c:v>4431905.4316666666</c:v>
                </c:pt>
                <c:pt idx="3">
                  <c:v>4192001.6666666665</c:v>
                </c:pt>
                <c:pt idx="4">
                  <c:v>4142604.3333333335</c:v>
                </c:pt>
                <c:pt idx="5">
                  <c:v>4551158</c:v>
                </c:pt>
                <c:pt idx="6">
                  <c:v>4348929.333333333</c:v>
                </c:pt>
                <c:pt idx="7">
                  <c:v>4492479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1-4DDB-8DF0-B1119A173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'S4 Arabica'!$B$7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'S4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'S4 Arabica'!$C$7:$N$7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BA4-4460-8050-A59FD372611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'S4 Arabica'!$B$8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'S4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'S4 Arabica'!$C$8:$N$8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BA4-4460-8050-A59FD372611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'S4 Arabica'!$B$9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'S4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'S4 Arabica'!$C$9:$N$9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BA4-4460-8050-A59FD372611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'S4 Arabica'!$B$10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'S4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'S4 Arabica'!$C$10:$N$10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4050109.6674166666</c:v>
                      </c:pt>
                      <c:pt idx="1">
                        <c:v>4335361.9027133333</c:v>
                      </c:pt>
                      <c:pt idx="2">
                        <c:v>4553407.3266583337</c:v>
                      </c:pt>
                      <c:pt idx="3">
                        <c:v>4662270.6124999998</c:v>
                      </c:pt>
                      <c:pt idx="4">
                        <c:v>4572967.0157583337</c:v>
                      </c:pt>
                      <c:pt idx="5">
                        <c:v>4199877.0402083332</c:v>
                      </c:pt>
                      <c:pt idx="6">
                        <c:v>4211985.4902333338</c:v>
                      </c:pt>
                      <c:pt idx="7">
                        <c:v>3598866.918875</c:v>
                      </c:pt>
                      <c:pt idx="8">
                        <c:v>4194040.0913416669</c:v>
                      </c:pt>
                      <c:pt idx="9">
                        <c:v>3891774.7565566669</c:v>
                      </c:pt>
                      <c:pt idx="10">
                        <c:v>4508697.5929800002</c:v>
                      </c:pt>
                      <c:pt idx="11">
                        <c:v>4234550.0517499996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BA4-4460-8050-A59FD37261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'S4 Arabica'!$B$11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'S4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'S4 Arabica'!$C$11:$N$11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4717413.6427250002</c:v>
                      </c:pt>
                      <c:pt idx="1">
                        <c:v>4998661.1397916665</c:v>
                      </c:pt>
                      <c:pt idx="2">
                        <c:v>5320807.8952500001</c:v>
                      </c:pt>
                      <c:pt idx="3">
                        <c:v>5053573.5979366666</c:v>
                      </c:pt>
                      <c:pt idx="4">
                        <c:v>5365820.3625999996</c:v>
                      </c:pt>
                      <c:pt idx="5">
                        <c:v>4860850.015625</c:v>
                      </c:pt>
                      <c:pt idx="6">
                        <c:v>4889852.8813333334</c:v>
                      </c:pt>
                      <c:pt idx="7">
                        <c:v>5511531.5026666671</c:v>
                      </c:pt>
                      <c:pt idx="8">
                        <c:v>4838977.779291667</c:v>
                      </c:pt>
                      <c:pt idx="9">
                        <c:v>4770329.675708333</c:v>
                      </c:pt>
                      <c:pt idx="10">
                        <c:v>4549007.1290166667</c:v>
                      </c:pt>
                      <c:pt idx="11">
                        <c:v>4450022.3458333332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BA4-4460-8050-A59FD372611C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89727953270323257"/>
          <c:h val="7.0865318269733926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'S4 Arabica'!$A$66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'S4 Arabica'!$B$65:$M$65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Arabica'!$B$66:$M$66</c:f>
              <c:numCache>
                <c:formatCode>#,##0</c:formatCode>
                <c:ptCount val="12"/>
                <c:pt idx="0">
                  <c:v>5081987.2366666663</c:v>
                </c:pt>
                <c:pt idx="1">
                  <c:v>4855668.3573333332</c:v>
                </c:pt>
                <c:pt idx="2">
                  <c:v>4431905.4316666666</c:v>
                </c:pt>
                <c:pt idx="3">
                  <c:v>4192001.6666666665</c:v>
                </c:pt>
                <c:pt idx="4">
                  <c:v>4142604.3333333335</c:v>
                </c:pt>
                <c:pt idx="5">
                  <c:v>4551158</c:v>
                </c:pt>
                <c:pt idx="6">
                  <c:v>4348929.333333333</c:v>
                </c:pt>
                <c:pt idx="7">
                  <c:v>4492479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3-45F1-A4EF-5A981EF6DB74}"/>
            </c:ext>
          </c:extLst>
        </c:ser>
        <c:ser>
          <c:idx val="1"/>
          <c:order val="1"/>
          <c:tx>
            <c:strRef>
              <c:f>'S4 Arabica'!$A$67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'S4 Arabica'!$B$65:$M$65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Arabica'!$B$67:$M$67</c:f>
              <c:numCache>
                <c:formatCode>#,##0</c:formatCode>
                <c:ptCount val="12"/>
                <c:pt idx="0">
                  <c:v>4050109.6674166666</c:v>
                </c:pt>
                <c:pt idx="1">
                  <c:v>4275297.3897249997</c:v>
                </c:pt>
                <c:pt idx="2">
                  <c:v>4249559.5368750002</c:v>
                </c:pt>
                <c:pt idx="3">
                  <c:v>3924210.1924466668</c:v>
                </c:pt>
                <c:pt idx="4">
                  <c:v>3808153.5462750001</c:v>
                </c:pt>
                <c:pt idx="5">
                  <c:v>4199877.0402083332</c:v>
                </c:pt>
                <c:pt idx="6">
                  <c:v>4108906.2829999998</c:v>
                </c:pt>
                <c:pt idx="7">
                  <c:v>3598866.918875</c:v>
                </c:pt>
                <c:pt idx="8">
                  <c:v>3964266.9300416666</c:v>
                </c:pt>
                <c:pt idx="9">
                  <c:v>3891774.7565566669</c:v>
                </c:pt>
                <c:pt idx="10">
                  <c:v>3957125.4443333335</c:v>
                </c:pt>
                <c:pt idx="11">
                  <c:v>3786043.4068833333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53-45F1-A4EF-5A981EF6DB74}"/>
            </c:ext>
          </c:extLst>
        </c:ser>
        <c:ser>
          <c:idx val="2"/>
          <c:order val="2"/>
          <c:tx>
            <c:strRef>
              <c:f>'S4 Arabica'!$A$68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'S4 Arabica'!$B$65:$M$65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Arabica'!$B$68:$M$68</c:f>
              <c:numCache>
                <c:formatCode>#,##0</c:formatCode>
                <c:ptCount val="12"/>
                <c:pt idx="0">
                  <c:v>5564702.4651583331</c:v>
                </c:pt>
                <c:pt idx="1">
                  <c:v>5655408.5619999999</c:v>
                </c:pt>
                <c:pt idx="2">
                  <c:v>5764797.680333334</c:v>
                </c:pt>
                <c:pt idx="3">
                  <c:v>5163907.5873250002</c:v>
                </c:pt>
                <c:pt idx="4">
                  <c:v>5524312.0758333337</c:v>
                </c:pt>
                <c:pt idx="5">
                  <c:v>5646603.9678183328</c:v>
                </c:pt>
                <c:pt idx="6">
                  <c:v>5363102.5858333334</c:v>
                </c:pt>
                <c:pt idx="7">
                  <c:v>5611985.7264249995</c:v>
                </c:pt>
                <c:pt idx="8">
                  <c:v>4838977.779291667</c:v>
                </c:pt>
                <c:pt idx="9">
                  <c:v>4770329.675708333</c:v>
                </c:pt>
                <c:pt idx="10">
                  <c:v>4549007.1290166667</c:v>
                </c:pt>
                <c:pt idx="11">
                  <c:v>5131459.2857499998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53-45F1-A4EF-5A981EF6DB74}"/>
            </c:ext>
          </c:extLst>
        </c:ser>
        <c:ser>
          <c:idx val="3"/>
          <c:order val="3"/>
          <c:tx>
            <c:strRef>
              <c:f>'S4 Arabica'!$A$69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'S4 Arabica'!$B$65:$M$65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Arabica'!$B$69:$M$69</c:f>
              <c:numCache>
                <c:formatCode>#,##0</c:formatCode>
                <c:ptCount val="12"/>
                <c:pt idx="0">
                  <c:v>4814078.4471416669</c:v>
                </c:pt>
                <c:pt idx="1">
                  <c:v>4821366.1695763888</c:v>
                </c:pt>
                <c:pt idx="2">
                  <c:v>4947842.2633527787</c:v>
                </c:pt>
                <c:pt idx="3">
                  <c:v>4742842.2625177773</c:v>
                </c:pt>
                <c:pt idx="4">
                  <c:v>4803043.6511897221</c:v>
                </c:pt>
                <c:pt idx="5">
                  <c:v>5276931.6041266667</c:v>
                </c:pt>
                <c:pt idx="6">
                  <c:v>4787575.5252458332</c:v>
                </c:pt>
                <c:pt idx="7">
                  <c:v>4709369.3866902776</c:v>
                </c:pt>
                <c:pt idx="8">
                  <c:v>4505043.2660472216</c:v>
                </c:pt>
                <c:pt idx="9">
                  <c:v>4354527.6519972226</c:v>
                </c:pt>
                <c:pt idx="10">
                  <c:v>4257111.7295564823</c:v>
                </c:pt>
                <c:pt idx="11">
                  <c:v>4452528.1943245092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53-45F1-A4EF-5A981EF6D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'S4 Arabica'!$I$84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'S4 Arabica'!$H$122:$H$208</c:f>
              <c:strCache>
                <c:ptCount val="87"/>
                <c:pt idx="0">
                  <c:v>Oct'18/19</c:v>
                </c:pt>
                <c:pt idx="1">
                  <c:v>Nov'18/19</c:v>
                </c:pt>
                <c:pt idx="2">
                  <c:v>Dec'18/19</c:v>
                </c:pt>
                <c:pt idx="3">
                  <c:v>Jan'18/19</c:v>
                </c:pt>
                <c:pt idx="4">
                  <c:v>Feb'18/19</c:v>
                </c:pt>
                <c:pt idx="5">
                  <c:v>Mar'18/19</c:v>
                </c:pt>
                <c:pt idx="6">
                  <c:v>Apr'18/19</c:v>
                </c:pt>
                <c:pt idx="7">
                  <c:v>May'18/19</c:v>
                </c:pt>
                <c:pt idx="8">
                  <c:v>Jun'18/19</c:v>
                </c:pt>
                <c:pt idx="9">
                  <c:v>Jul'18/19</c:v>
                </c:pt>
                <c:pt idx="10">
                  <c:v>Aug'18/19</c:v>
                </c:pt>
                <c:pt idx="11">
                  <c:v>Sep'18/19</c:v>
                </c:pt>
                <c:pt idx="12">
                  <c:v>Oct'19/20</c:v>
                </c:pt>
                <c:pt idx="13">
                  <c:v>Nov'19/20</c:v>
                </c:pt>
                <c:pt idx="14">
                  <c:v>Dec'19/20</c:v>
                </c:pt>
                <c:pt idx="15">
                  <c:v>Jan'19/20</c:v>
                </c:pt>
                <c:pt idx="16">
                  <c:v>Feb'19/20</c:v>
                </c:pt>
                <c:pt idx="17">
                  <c:v>Mar'19/20</c:v>
                </c:pt>
                <c:pt idx="18">
                  <c:v>Apr'19/20</c:v>
                </c:pt>
                <c:pt idx="19">
                  <c:v>May'19/20</c:v>
                </c:pt>
                <c:pt idx="20">
                  <c:v>Jun'19/20</c:v>
                </c:pt>
                <c:pt idx="21">
                  <c:v>Jul'19/20</c:v>
                </c:pt>
                <c:pt idx="22">
                  <c:v>Aug'19/20</c:v>
                </c:pt>
                <c:pt idx="23">
                  <c:v>Sep'19/20</c:v>
                </c:pt>
                <c:pt idx="24">
                  <c:v>Oct'20/21</c:v>
                </c:pt>
                <c:pt idx="25">
                  <c:v>Nov'20/21</c:v>
                </c:pt>
                <c:pt idx="26">
                  <c:v>Dec'20/21</c:v>
                </c:pt>
                <c:pt idx="27">
                  <c:v>Jan'20/21</c:v>
                </c:pt>
                <c:pt idx="28">
                  <c:v>Feb'20/21</c:v>
                </c:pt>
                <c:pt idx="29">
                  <c:v>Mar'20/21</c:v>
                </c:pt>
                <c:pt idx="30">
                  <c:v>Apr'20/21</c:v>
                </c:pt>
                <c:pt idx="31">
                  <c:v>May'20/21</c:v>
                </c:pt>
                <c:pt idx="32">
                  <c:v>Jun'20/21</c:v>
                </c:pt>
                <c:pt idx="33">
                  <c:v>Jul'20/21</c:v>
                </c:pt>
                <c:pt idx="34">
                  <c:v>Aug'20/21</c:v>
                </c:pt>
                <c:pt idx="35">
                  <c:v>Sep'20/21</c:v>
                </c:pt>
                <c:pt idx="36">
                  <c:v>Oct'21/22</c:v>
                </c:pt>
                <c:pt idx="37">
                  <c:v>Nov'21/22</c:v>
                </c:pt>
                <c:pt idx="38">
                  <c:v>Dec'21/22</c:v>
                </c:pt>
                <c:pt idx="39">
                  <c:v>Jan'21/22</c:v>
                </c:pt>
                <c:pt idx="40">
                  <c:v>Feb'21/22</c:v>
                </c:pt>
                <c:pt idx="41">
                  <c:v>Mar'21/22</c:v>
                </c:pt>
                <c:pt idx="42">
                  <c:v>Apr'21/22</c:v>
                </c:pt>
                <c:pt idx="43">
                  <c:v>May'21/22</c:v>
                </c:pt>
                <c:pt idx="44">
                  <c:v>Jun'21/22</c:v>
                </c:pt>
                <c:pt idx="45">
                  <c:v>Jul'21/22</c:v>
                </c:pt>
                <c:pt idx="46">
                  <c:v>Aug'21/22</c:v>
                </c:pt>
                <c:pt idx="47">
                  <c:v>Sep'21/22</c:v>
                </c:pt>
                <c:pt idx="48">
                  <c:v>Oct'22/23</c:v>
                </c:pt>
                <c:pt idx="49">
                  <c:v>Nov'22/23</c:v>
                </c:pt>
                <c:pt idx="50">
                  <c:v>Dec'22/23</c:v>
                </c:pt>
                <c:pt idx="51">
                  <c:v>Jan'22/23</c:v>
                </c:pt>
                <c:pt idx="52">
                  <c:v>Feb'22/23</c:v>
                </c:pt>
                <c:pt idx="53">
                  <c:v>Mar'22/23</c:v>
                </c:pt>
                <c:pt idx="54">
                  <c:v>Apr'22/23</c:v>
                </c:pt>
                <c:pt idx="55">
                  <c:v>May'22/23</c:v>
                </c:pt>
                <c:pt idx="56">
                  <c:v>Jun'22/23</c:v>
                </c:pt>
                <c:pt idx="57">
                  <c:v>Jul'22/23</c:v>
                </c:pt>
                <c:pt idx="58">
                  <c:v>Aug'22/23</c:v>
                </c:pt>
                <c:pt idx="59">
                  <c:v>Sep'22/23</c:v>
                </c:pt>
                <c:pt idx="60">
                  <c:v>Oct'23/24</c:v>
                </c:pt>
                <c:pt idx="61">
                  <c:v>Nov'23/24</c:v>
                </c:pt>
                <c:pt idx="62">
                  <c:v>Dec'23/24</c:v>
                </c:pt>
                <c:pt idx="63">
                  <c:v>Jan'23/24</c:v>
                </c:pt>
                <c:pt idx="64">
                  <c:v>Feb'23/24</c:v>
                </c:pt>
                <c:pt idx="65">
                  <c:v>Mar'23/24</c:v>
                </c:pt>
                <c:pt idx="66">
                  <c:v>Apr'23/24</c:v>
                </c:pt>
                <c:pt idx="67">
                  <c:v>May'23/24</c:v>
                </c:pt>
                <c:pt idx="68">
                  <c:v>Jun'23/24</c:v>
                </c:pt>
                <c:pt idx="69">
                  <c:v>Jul'23/24</c:v>
                </c:pt>
                <c:pt idx="70">
                  <c:v>Aug'23/24</c:v>
                </c:pt>
                <c:pt idx="71">
                  <c:v>Sep'23/24</c:v>
                </c:pt>
                <c:pt idx="72">
                  <c:v>Oct'24/25</c:v>
                </c:pt>
                <c:pt idx="73">
                  <c:v>Nov'24/25</c:v>
                </c:pt>
                <c:pt idx="74">
                  <c:v>Dec'24/25</c:v>
                </c:pt>
                <c:pt idx="75">
                  <c:v>Jan'24/25</c:v>
                </c:pt>
                <c:pt idx="76">
                  <c:v>Feb'24/25</c:v>
                </c:pt>
                <c:pt idx="77">
                  <c:v>Mar'24/25</c:v>
                </c:pt>
                <c:pt idx="78">
                  <c:v>Apr'24/25</c:v>
                </c:pt>
                <c:pt idx="79">
                  <c:v>May'24/25</c:v>
                </c:pt>
                <c:pt idx="80">
                  <c:v>Jun'24/25</c:v>
                </c:pt>
                <c:pt idx="81">
                  <c:v>Jul'24/25</c:v>
                </c:pt>
                <c:pt idx="82">
                  <c:v>Aug'24/25</c:v>
                </c:pt>
                <c:pt idx="83">
                  <c:v>Sep'24/25</c:v>
                </c:pt>
                <c:pt idx="84">
                  <c:v>Oct'25/26</c:v>
                </c:pt>
                <c:pt idx="85">
                  <c:v>Nov'25/26</c:v>
                </c:pt>
                <c:pt idx="86">
                  <c:v>Dec'25/26</c:v>
                </c:pt>
              </c:strCache>
            </c:strRef>
          </c:cat>
          <c:val>
            <c:numRef>
              <c:f>'S4 Arabica'!$I$122:$I$208</c:f>
              <c:numCache>
                <c:formatCode>General</c:formatCode>
                <c:ptCount val="87"/>
                <c:pt idx="0">
                  <c:v>51.681212442299994</c:v>
                </c:pt>
                <c:pt idx="1">
                  <c:v>52.344511679378328</c:v>
                </c:pt>
                <c:pt idx="2">
                  <c:v>53.11191224796999</c:v>
                </c:pt>
                <c:pt idx="3">
                  <c:v>53.503215233406671</c:v>
                </c:pt>
                <c:pt idx="4">
                  <c:v>54.296068580248331</c:v>
                </c:pt>
                <c:pt idx="5">
                  <c:v>54.957041555665</c:v>
                </c:pt>
                <c:pt idx="6">
                  <c:v>55.634908946765009</c:v>
                </c:pt>
                <c:pt idx="7">
                  <c:v>57.547573530556669</c:v>
                </c:pt>
                <c:pt idx="8">
                  <c:v>58.192511218506674</c:v>
                </c:pt>
                <c:pt idx="9">
                  <c:v>59.071066137658335</c:v>
                </c:pt>
                <c:pt idx="10">
                  <c:v>59.111375673695001</c:v>
                </c:pt>
                <c:pt idx="11">
                  <c:v>59.326847967778335</c:v>
                </c:pt>
                <c:pt idx="12">
                  <c:v>59.245112220020005</c:v>
                </c:pt>
                <c:pt idx="13">
                  <c:v>58.616468650228327</c:v>
                </c:pt>
                <c:pt idx="14">
                  <c:v>57.699715757895</c:v>
                </c:pt>
                <c:pt idx="15">
                  <c:v>57.617926944051668</c:v>
                </c:pt>
                <c:pt idx="16">
                  <c:v>56.882962994835005</c:v>
                </c:pt>
                <c:pt idx="17">
                  <c:v>57.08669637691834</c:v>
                </c:pt>
                <c:pt idx="18">
                  <c:v>56.893204532918332</c:v>
                </c:pt>
                <c:pt idx="19">
                  <c:v>55.964779307085003</c:v>
                </c:pt>
                <c:pt idx="20">
                  <c:v>55.451835944959996</c:v>
                </c:pt>
                <c:pt idx="21">
                  <c:v>54.92607227347667</c:v>
                </c:pt>
                <c:pt idx="22">
                  <c:v>54.754618362201668</c:v>
                </c:pt>
                <c:pt idx="23">
                  <c:v>54.829064970701673</c:v>
                </c:pt>
                <c:pt idx="24">
                  <c:v>55.224750269168332</c:v>
                </c:pt>
                <c:pt idx="25">
                  <c:v>56.510141261168336</c:v>
                </c:pt>
                <c:pt idx="26">
                  <c:v>57.475564989876673</c:v>
                </c:pt>
                <c:pt idx="27">
                  <c:v>57.365120081941669</c:v>
                </c:pt>
                <c:pt idx="28">
                  <c:v>58.258575744391671</c:v>
                </c:pt>
                <c:pt idx="29">
                  <c:v>58.669867331100001</c:v>
                </c:pt>
                <c:pt idx="30">
                  <c:v>59.3366088796</c:v>
                </c:pt>
                <c:pt idx="31">
                  <c:v>59.143641327933324</c:v>
                </c:pt>
                <c:pt idx="32">
                  <c:v>59.571603464008334</c:v>
                </c:pt>
                <c:pt idx="33">
                  <c:v>59.927282850874995</c:v>
                </c:pt>
                <c:pt idx="34">
                  <c:v>59.732135501133342</c:v>
                </c:pt>
                <c:pt idx="35">
                  <c:v>59.471118417799993</c:v>
                </c:pt>
                <c:pt idx="36">
                  <c:v>58.849852949991664</c:v>
                </c:pt>
                <c:pt idx="37">
                  <c:v>57.469741777716663</c:v>
                </c:pt>
                <c:pt idx="38">
                  <c:v>57.200836251424995</c:v>
                </c:pt>
                <c:pt idx="39">
                  <c:v>57.105346018516677</c:v>
                </c:pt>
                <c:pt idx="40">
                  <c:v>56.503479199746671</c:v>
                </c:pt>
                <c:pt idx="41">
                  <c:v>56.674208183148338</c:v>
                </c:pt>
                <c:pt idx="42">
                  <c:v>55.827922066998333</c:v>
                </c:pt>
                <c:pt idx="43">
                  <c:v>55.940727319548337</c:v>
                </c:pt>
                <c:pt idx="44">
                  <c:v>55.959276306806672</c:v>
                </c:pt>
                <c:pt idx="45">
                  <c:v>55.433399876748339</c:v>
                </c:pt>
                <c:pt idx="46">
                  <c:v>55.208119453081665</c:v>
                </c:pt>
                <c:pt idx="47">
                  <c:v>55.280244815748325</c:v>
                </c:pt>
                <c:pt idx="48">
                  <c:v>55.374984808389996</c:v>
                </c:pt>
                <c:pt idx="49">
                  <c:v>55.670752053831649</c:v>
                </c:pt>
                <c:pt idx="50">
                  <c:v>54.819738385373334</c:v>
                </c:pt>
                <c:pt idx="51">
                  <c:v>53.978098934569999</c:v>
                </c:pt>
                <c:pt idx="52">
                  <c:v>52.863807223781663</c:v>
                </c:pt>
                <c:pt idx="53">
                  <c:v>51.801873184613328</c:v>
                </c:pt>
                <c:pt idx="54">
                  <c:v>51.393962997929989</c:v>
                </c:pt>
                <c:pt idx="55">
                  <c:v>50.991130110879993</c:v>
                </c:pt>
                <c:pt idx="56">
                  <c:v>50.182851500421663</c:v>
                </c:pt>
                <c:pt idx="57">
                  <c:v>50.152588670638337</c:v>
                </c:pt>
                <c:pt idx="58">
                  <c:v>50.494233280388336</c:v>
                </c:pt>
                <c:pt idx="59">
                  <c:v>49.944699453605004</c:v>
                </c:pt>
                <c:pt idx="60">
                  <c:v>50.177653420738338</c:v>
                </c:pt>
                <c:pt idx="61">
                  <c:v>50.354855897738339</c:v>
                </c:pt>
                <c:pt idx="62">
                  <c:v>50.903885783896669</c:v>
                </c:pt>
                <c:pt idx="63">
                  <c:v>51.749637083283332</c:v>
                </c:pt>
                <c:pt idx="64">
                  <c:v>52.710171281925</c:v>
                </c:pt>
                <c:pt idx="65">
                  <c:v>53.400611977441677</c:v>
                </c:pt>
                <c:pt idx="66">
                  <c:v>54.477491312066675</c:v>
                </c:pt>
                <c:pt idx="67">
                  <c:v>55.989365947825007</c:v>
                </c:pt>
                <c:pt idx="68">
                  <c:v>56.851960044450003</c:v>
                </c:pt>
                <c:pt idx="69">
                  <c:v>57.535542142916675</c:v>
                </c:pt>
                <c:pt idx="70">
                  <c:v>57.69002305345834</c:v>
                </c:pt>
                <c:pt idx="71">
                  <c:v>59.035438932325</c:v>
                </c:pt>
                <c:pt idx="72">
                  <c:v>59.862349712083336</c:v>
                </c:pt>
                <c:pt idx="73">
                  <c:v>60.422224348316668</c:v>
                </c:pt>
                <c:pt idx="74">
                  <c:v>61.388432605616671</c:v>
                </c:pt>
                <c:pt idx="75">
                  <c:v>61.782378701108335</c:v>
                </c:pt>
                <c:pt idx="76">
                  <c:v>62.177497825858332</c:v>
                </c:pt>
                <c:pt idx="77">
                  <c:v>62.517133923691674</c:v>
                </c:pt>
                <c:pt idx="78">
                  <c:v>62.185829464066664</c:v>
                </c:pt>
                <c:pt idx="79">
                  <c:v>61.641774260974991</c:v>
                </c:pt>
                <c:pt idx="80">
                  <c:v>61.201468362975</c:v>
                </c:pt>
                <c:pt idx="81">
                  <c:v>60.909971327925</c:v>
                </c:pt>
                <c:pt idx="82">
                  <c:v>60.730285191855558</c:v>
                </c:pt>
                <c:pt idx="83">
                  <c:v>60.272994320419279</c:v>
                </c:pt>
                <c:pt idx="84">
                  <c:v>59.790279091927609</c:v>
                </c:pt>
                <c:pt idx="85">
                  <c:v>59.337805700860947</c:v>
                </c:pt>
                <c:pt idx="86">
                  <c:v>58.00491345219428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D-4CF5-9E29-8A82A2F10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'S4 Arabica'!$K$27</c:f>
          <c:strCache>
            <c:ptCount val="1"/>
            <c:pt idx="0">
              <c:v>Super 4 : Arabica Exports | YTD : Oct-May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'S4 Arabica'!$S$10:$S$17</c:f>
              <c:strCache>
                <c:ptCount val="8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</c:strCache>
            </c:strRef>
          </c:cat>
          <c:val>
            <c:numRef>
              <c:f>'S4 Arabica'!$T$10:$T$17</c:f>
              <c:numCache>
                <c:formatCode>#,##0</c:formatCode>
                <c:ptCount val="8"/>
                <c:pt idx="0">
                  <c:v>34184845.974363334</c:v>
                </c:pt>
                <c:pt idx="1">
                  <c:v>40718511.037928335</c:v>
                </c:pt>
                <c:pt idx="2">
                  <c:v>37356442.377235003</c:v>
                </c:pt>
                <c:pt idx="3">
                  <c:v>41671018.734466657</c:v>
                </c:pt>
                <c:pt idx="4">
                  <c:v>38140627.636215001</c:v>
                </c:pt>
                <c:pt idx="5">
                  <c:v>33851512.93134667</c:v>
                </c:pt>
                <c:pt idx="6">
                  <c:v>39896179.425566666</c:v>
                </c:pt>
                <c:pt idx="7">
                  <c:v>42502514.754216664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BC-4C69-9C76-45F8F88FD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'S4 Arabica'!$Q$27</c:f>
          <c:strCache>
            <c:ptCount val="1"/>
            <c:pt idx="0">
              <c:v>Super 4 : Arabica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'S4 Arabica'!$M$81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'S4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Arabica'!$N$81:$Y$81</c:f>
              <c:numCache>
                <c:formatCode>#,##0</c:formatCode>
                <c:ptCount val="12"/>
                <c:pt idx="0">
                  <c:v>4635677.8949666666</c:v>
                </c:pt>
                <c:pt idx="1">
                  <c:v>9005695.464966666</c:v>
                </c:pt>
                <c:pt idx="2">
                  <c:v>13409750.467883334</c:v>
                </c:pt>
                <c:pt idx="3">
                  <c:v>18381535.251976669</c:v>
                </c:pt>
                <c:pt idx="4">
                  <c:v>23012391.665360004</c:v>
                </c:pt>
                <c:pt idx="5">
                  <c:v>28076975.063068338</c:v>
                </c:pt>
                <c:pt idx="6">
                  <c:v>32773336.10040167</c:v>
                </c:pt>
                <c:pt idx="7">
                  <c:v>37356442.377235003</c:v>
                </c:pt>
                <c:pt idx="8">
                  <c:v>41682476.794401668</c:v>
                </c:pt>
                <c:pt idx="9">
                  <c:v>45927042.798626669</c:v>
                </c:pt>
                <c:pt idx="10">
                  <c:v>50304596.016368337</c:v>
                </c:pt>
                <c:pt idx="11">
                  <c:v>54829064.970701672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B-4C6D-A4B0-D4726A4B8052}"/>
            </c:ext>
          </c:extLst>
        </c:ser>
        <c:ser>
          <c:idx val="1"/>
          <c:order val="1"/>
          <c:tx>
            <c:strRef>
              <c:f>'S4 Arabica'!$M$82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'S4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Arabica'!$N$82:$Y$82</c:f>
              <c:numCache>
                <c:formatCode>#,##0</c:formatCode>
                <c:ptCount val="12"/>
                <c:pt idx="0">
                  <c:v>5031363.1934333332</c:v>
                </c:pt>
                <c:pt idx="1">
                  <c:v>10686771.755433332</c:v>
                </c:pt>
                <c:pt idx="2">
                  <c:v>16056250.487058332</c:v>
                </c:pt>
                <c:pt idx="3">
                  <c:v>20917590.363216665</c:v>
                </c:pt>
                <c:pt idx="4">
                  <c:v>26441902.439049996</c:v>
                </c:pt>
                <c:pt idx="5">
                  <c:v>31917777.423466664</c:v>
                </c:pt>
                <c:pt idx="6">
                  <c:v>37280880.009299994</c:v>
                </c:pt>
                <c:pt idx="7">
                  <c:v>41671018.734466657</c:v>
                </c:pt>
                <c:pt idx="8">
                  <c:v>46425015.287708327</c:v>
                </c:pt>
                <c:pt idx="9">
                  <c:v>51025260.678799994</c:v>
                </c:pt>
                <c:pt idx="10">
                  <c:v>55207666.546799995</c:v>
                </c:pt>
                <c:pt idx="11">
                  <c:v>59471118.417799994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5B-4C6D-A4B0-D4726A4B8052}"/>
            </c:ext>
          </c:extLst>
        </c:ser>
        <c:ser>
          <c:idx val="2"/>
          <c:order val="2"/>
          <c:tx>
            <c:strRef>
              <c:f>'S4 Arabica'!$M$83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'S4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Arabica'!$N$83:$Y$83</c:f>
              <c:numCache>
                <c:formatCode>#,##0</c:formatCode>
                <c:ptCount val="12"/>
                <c:pt idx="0">
                  <c:v>4410097.725625</c:v>
                </c:pt>
                <c:pt idx="1">
                  <c:v>8685395.1153500006</c:v>
                </c:pt>
                <c:pt idx="2">
                  <c:v>13785968.320683334</c:v>
                </c:pt>
                <c:pt idx="3">
                  <c:v>18551817.963933334</c:v>
                </c:pt>
                <c:pt idx="4">
                  <c:v>23474263.220996667</c:v>
                </c:pt>
                <c:pt idx="5">
                  <c:v>29120867.188814998</c:v>
                </c:pt>
                <c:pt idx="6">
                  <c:v>33637683.658498332</c:v>
                </c:pt>
                <c:pt idx="7">
                  <c:v>38140627.636215001</c:v>
                </c:pt>
                <c:pt idx="8">
                  <c:v>42913173.176715001</c:v>
                </c:pt>
                <c:pt idx="9">
                  <c:v>46987542.137748331</c:v>
                </c:pt>
                <c:pt idx="10">
                  <c:v>50944667.582081661</c:v>
                </c:pt>
                <c:pt idx="11">
                  <c:v>55280244.815748326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5B-4C6D-A4B0-D4726A4B8052}"/>
            </c:ext>
          </c:extLst>
        </c:ser>
        <c:ser>
          <c:idx val="3"/>
          <c:order val="3"/>
          <c:tx>
            <c:strRef>
              <c:f>'S4 Arabica'!$M$84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'S4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Arabica'!$N$84:$Y$84</c:f>
              <c:numCache>
                <c:formatCode>#,##0</c:formatCode>
                <c:ptCount val="12"/>
                <c:pt idx="0">
                  <c:v>4504837.7182666669</c:v>
                </c:pt>
                <c:pt idx="1">
                  <c:v>9075902.3534333333</c:v>
                </c:pt>
                <c:pt idx="2">
                  <c:v>13325461.890308334</c:v>
                </c:pt>
                <c:pt idx="3">
                  <c:v>17249672.082754999</c:v>
                </c:pt>
                <c:pt idx="4">
                  <c:v>21057825.62903</c:v>
                </c:pt>
                <c:pt idx="5">
                  <c:v>25642495.55768</c:v>
                </c:pt>
                <c:pt idx="6">
                  <c:v>29751401.840679999</c:v>
                </c:pt>
                <c:pt idx="7">
                  <c:v>33851512.93134667</c:v>
                </c:pt>
                <c:pt idx="8">
                  <c:v>37815779.861388333</c:v>
                </c:pt>
                <c:pt idx="9">
                  <c:v>41859885.992638335</c:v>
                </c:pt>
                <c:pt idx="10">
                  <c:v>46158656.046721667</c:v>
                </c:pt>
                <c:pt idx="11">
                  <c:v>49944699.453605004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5B-4C6D-A4B0-D4726A4B8052}"/>
            </c:ext>
          </c:extLst>
        </c:ser>
        <c:ser>
          <c:idx val="4"/>
          <c:order val="4"/>
          <c:tx>
            <c:strRef>
              <c:f>'S4 Arabica'!$M$85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'S4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Arabica'!$N$85:$Y$85</c:f>
              <c:numCache>
                <c:formatCode>#,##0</c:formatCode>
                <c:ptCount val="12"/>
                <c:pt idx="0">
                  <c:v>4737791.6853999998</c:v>
                </c:pt>
                <c:pt idx="1">
                  <c:v>9486058.7975666672</c:v>
                </c:pt>
                <c:pt idx="2">
                  <c:v>14284648.220600002</c:v>
                </c:pt>
                <c:pt idx="3">
                  <c:v>19054609.712433334</c:v>
                </c:pt>
                <c:pt idx="4">
                  <c:v>23823297.457350001</c:v>
                </c:pt>
                <c:pt idx="5">
                  <c:v>29098408.081516668</c:v>
                </c:pt>
                <c:pt idx="6">
                  <c:v>34284193.699141666</c:v>
                </c:pt>
                <c:pt idx="7">
                  <c:v>39896179.425566666</c:v>
                </c:pt>
                <c:pt idx="8">
                  <c:v>44723040.452233329</c:v>
                </c:pt>
                <c:pt idx="9">
                  <c:v>49450728.681949995</c:v>
                </c:pt>
                <c:pt idx="10">
                  <c:v>53903979.646574996</c:v>
                </c:pt>
                <c:pt idx="11">
                  <c:v>59035438.932324998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5B-4C6D-A4B0-D4726A4B8052}"/>
            </c:ext>
          </c:extLst>
        </c:ser>
        <c:ser>
          <c:idx val="5"/>
          <c:order val="5"/>
          <c:tx>
            <c:strRef>
              <c:f>'S4 Arabica'!$M$86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'S4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Arabica'!$N$86:$Y$86</c:f>
              <c:numCache>
                <c:formatCode>#,##0</c:formatCode>
                <c:ptCount val="12"/>
                <c:pt idx="0">
                  <c:v>5564702.4651583331</c:v>
                </c:pt>
                <c:pt idx="1">
                  <c:v>10872844.213558333</c:v>
                </c:pt>
                <c:pt idx="2">
                  <c:v>16637641.893891666</c:v>
                </c:pt>
                <c:pt idx="3">
                  <c:v>21801549.481216665</c:v>
                </c:pt>
                <c:pt idx="4">
                  <c:v>26965356.350883331</c:v>
                </c:pt>
                <c:pt idx="5">
                  <c:v>32580103.07288333</c:v>
                </c:pt>
                <c:pt idx="6">
                  <c:v>37434584.23088333</c:v>
                </c:pt>
                <c:pt idx="7">
                  <c:v>42502514.754216664</c:v>
                </c:pt>
                <c:pt idx="8">
                  <c:v>46889069.882883333</c:v>
                </c:pt>
                <c:pt idx="9">
                  <c:v>51325261.077550001</c:v>
                </c:pt>
                <c:pt idx="10">
                  <c:v>55598825.906105556</c:v>
                </c:pt>
                <c:pt idx="11">
                  <c:v>60272994.320419282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5B-4C6D-A4B0-D4726A4B8052}"/>
            </c:ext>
          </c:extLst>
        </c:ser>
        <c:ser>
          <c:idx val="6"/>
          <c:order val="6"/>
          <c:tx>
            <c:strRef>
              <c:f>'S4 Arabica'!$M$87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'S4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'S4 Arabica'!$N$87:$Y$87</c:f>
              <c:numCache>
                <c:formatCode>#,##0</c:formatCode>
                <c:ptCount val="12"/>
                <c:pt idx="0">
                  <c:v>5081987.2366666663</c:v>
                </c:pt>
                <c:pt idx="1">
                  <c:v>9937655.5940000005</c:v>
                </c:pt>
                <c:pt idx="2">
                  <c:v>14369561.025666667</c:v>
                </c:pt>
                <c:pt idx="3">
                  <c:v>18561562.692333333</c:v>
                </c:pt>
                <c:pt idx="4">
                  <c:v>22704167.025666665</c:v>
                </c:pt>
                <c:pt idx="5">
                  <c:v>27255325.025666665</c:v>
                </c:pt>
                <c:pt idx="6">
                  <c:v>31604254.358999997</c:v>
                </c:pt>
                <c:pt idx="7">
                  <c:v>36096733.358999997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1-4823-88E1-460587E2B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'S5 Arabica'!$C$5</c:f>
          <c:strCache>
            <c:ptCount val="1"/>
            <c:pt idx="0">
              <c:v>Super 5 : Arabica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'S5 Arabica'!$B$14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'S5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Arabica'!$C$14:$N$14</c:f>
              <c:numCache>
                <c:formatCode>#,##0</c:formatCode>
                <c:ptCount val="12"/>
                <c:pt idx="0">
                  <c:v>4974777.9702233337</c:v>
                </c:pt>
                <c:pt idx="1">
                  <c:v>4830737.8349449998</c:v>
                </c:pt>
                <c:pt idx="2">
                  <c:v>5667297.47425</c:v>
                </c:pt>
                <c:pt idx="3">
                  <c:v>5276330.8076099996</c:v>
                </c:pt>
                <c:pt idx="4">
                  <c:v>5360809.5139183328</c:v>
                </c:pt>
                <c:pt idx="5">
                  <c:v>5893265.6913516661</c:v>
                </c:pt>
                <c:pt idx="6">
                  <c:v>4624075.8075166671</c:v>
                </c:pt>
                <c:pt idx="7">
                  <c:v>4614924.4998599999</c:v>
                </c:pt>
                <c:pt idx="8">
                  <c:v>4987062.0806333339</c:v>
                </c:pt>
                <c:pt idx="9">
                  <c:v>4419627.1177300001</c:v>
                </c:pt>
                <c:pt idx="10">
                  <c:v>4476325.9705666667</c:v>
                </c:pt>
                <c:pt idx="11">
                  <c:v>4924164.4248883333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C7-4500-8E86-4CEFA61637B1}"/>
            </c:ext>
          </c:extLst>
        </c:ser>
        <c:ser>
          <c:idx val="8"/>
          <c:order val="8"/>
          <c:tx>
            <c:strRef>
              <c:f>'S5 Arabica'!$B$15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'S5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Arabica'!$C$15:$N$15</c:f>
              <c:numCache>
                <c:formatCode>#,##0</c:formatCode>
                <c:ptCount val="12"/>
                <c:pt idx="0">
                  <c:v>5046401.2833150001</c:v>
                </c:pt>
                <c:pt idx="1">
                  <c:v>4976511.953796668</c:v>
                </c:pt>
                <c:pt idx="2">
                  <c:v>4572045.263236667</c:v>
                </c:pt>
                <c:pt idx="3">
                  <c:v>4139323.0670533334</c:v>
                </c:pt>
                <c:pt idx="4">
                  <c:v>3886583.02782</c:v>
                </c:pt>
                <c:pt idx="5">
                  <c:v>4633394.6759916665</c:v>
                </c:pt>
                <c:pt idx="6">
                  <c:v>4151527.5203649998</c:v>
                </c:pt>
                <c:pt idx="7">
                  <c:v>4195416.5964966668</c:v>
                </c:pt>
                <c:pt idx="8">
                  <c:v>4097903.1231966666</c:v>
                </c:pt>
                <c:pt idx="9">
                  <c:v>4302198.1414516661</c:v>
                </c:pt>
                <c:pt idx="10">
                  <c:v>4721504.230816667</c:v>
                </c:pt>
                <c:pt idx="11">
                  <c:v>4328172.9008750003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C7-4500-8E86-4CEFA61637B1}"/>
            </c:ext>
          </c:extLst>
        </c:ser>
        <c:ser>
          <c:idx val="9"/>
          <c:order val="9"/>
          <c:tx>
            <c:strRef>
              <c:f>'S5 Arabica'!$B$16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'S5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Arabica'!$C$16:$N$16</c:f>
              <c:numCache>
                <c:formatCode>#,##0</c:formatCode>
                <c:ptCount val="12"/>
                <c:pt idx="0">
                  <c:v>5358468.0415766668</c:v>
                </c:pt>
                <c:pt idx="1">
                  <c:v>5344923.8298266679</c:v>
                </c:pt>
                <c:pt idx="2">
                  <c:v>5383163.2927449998</c:v>
                </c:pt>
                <c:pt idx="3">
                  <c:v>5181643.8392483341</c:v>
                </c:pt>
                <c:pt idx="4">
                  <c:v>5047144.7697383342</c:v>
                </c:pt>
                <c:pt idx="5">
                  <c:v>5425480.4839716665</c:v>
                </c:pt>
                <c:pt idx="6">
                  <c:v>5264969.4607216669</c:v>
                </c:pt>
                <c:pt idx="7">
                  <c:v>5747200.6055466663</c:v>
                </c:pt>
                <c:pt idx="8">
                  <c:v>5088560.0712883342</c:v>
                </c:pt>
                <c:pt idx="9">
                  <c:v>5257017.7720766673</c:v>
                </c:pt>
                <c:pt idx="10">
                  <c:v>5046313.9901583334</c:v>
                </c:pt>
                <c:pt idx="11">
                  <c:v>5794074.9397400003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C7-4500-8E86-4CEFA61637B1}"/>
            </c:ext>
          </c:extLst>
        </c:ser>
        <c:ser>
          <c:idx val="10"/>
          <c:order val="10"/>
          <c:tx>
            <c:strRef>
              <c:f>'S5 Arabica'!$B$17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'S5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Arabica'!$C$17:$N$17</c:f>
              <c:numCache>
                <c:formatCode>#,##0</c:formatCode>
                <c:ptCount val="12"/>
                <c:pt idx="0">
                  <c:v>6098193.2113883328</c:v>
                </c:pt>
                <c:pt idx="1">
                  <c:v>5639219.0509333331</c:v>
                </c:pt>
                <c:pt idx="2">
                  <c:v>6019202.6407916676</c:v>
                </c:pt>
                <c:pt idx="3">
                  <c:v>5271083.4839783339</c:v>
                </c:pt>
                <c:pt idx="4">
                  <c:v>5233585.0373633336</c:v>
                </c:pt>
                <c:pt idx="5">
                  <c:v>5676045.6699399995</c:v>
                </c:pt>
                <c:pt idx="6">
                  <c:v>4922852.3314300003</c:v>
                </c:pt>
                <c:pt idx="7">
                  <c:v>5216939.0378566664</c:v>
                </c:pt>
                <c:pt idx="8">
                  <c:v>4728810.9647333343</c:v>
                </c:pt>
                <c:pt idx="9">
                  <c:v>4897909.6651833337</c:v>
                </c:pt>
                <c:pt idx="10">
                  <c:v>4870855.1958872229</c:v>
                </c:pt>
                <c:pt idx="11">
                  <c:v>5464003.4291537264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C7-4500-8E86-4CEFA61637B1}"/>
            </c:ext>
          </c:extLst>
        </c:ser>
        <c:ser>
          <c:idx val="11"/>
          <c:order val="11"/>
          <c:tx>
            <c:strRef>
              <c:f>'S5 Arabica'!$B$18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'S5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Arabica'!$C$18:$N$18</c:f>
              <c:numCache>
                <c:formatCode>#,##0</c:formatCode>
                <c:ptCount val="12"/>
                <c:pt idx="0">
                  <c:v>5741470.5699999994</c:v>
                </c:pt>
                <c:pt idx="1">
                  <c:v>5386101.6906666663</c:v>
                </c:pt>
                <c:pt idx="2">
                  <c:v>4824905.4316666666</c:v>
                </c:pt>
                <c:pt idx="3">
                  <c:v>4381685</c:v>
                </c:pt>
                <c:pt idx="4">
                  <c:v>4217521</c:v>
                </c:pt>
                <c:pt idx="5">
                  <c:v>4602691.333333333</c:v>
                </c:pt>
                <c:pt idx="6">
                  <c:v>4415479.333333333</c:v>
                </c:pt>
                <c:pt idx="7">
                  <c:v>4660112.333333333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4-440A-8F46-6F6161D1B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'S5 Arabica'!$B$7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'S5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'S5 Arabica'!$C$7:$N$7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3C7-4500-8E86-4CEFA61637B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3C7-4500-8E86-4CEFA61637B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3C7-4500-8E86-4CEFA61637B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4749355.9918316668</c:v>
                      </c:pt>
                      <c:pt idx="1">
                        <c:v>4989971.1239600005</c:v>
                      </c:pt>
                      <c:pt idx="2">
                        <c:v>5050116.8519066665</c:v>
                      </c:pt>
                      <c:pt idx="3">
                        <c:v>4934536.3163416665</c:v>
                      </c:pt>
                      <c:pt idx="4">
                        <c:v>4738344.1865083333</c:v>
                      </c:pt>
                      <c:pt idx="5">
                        <c:v>4278920.8522366667</c:v>
                      </c:pt>
                      <c:pt idx="6">
                        <c:v>4267516.42313</c:v>
                      </c:pt>
                      <c:pt idx="7">
                        <c:v>3714347.8139833333</c:v>
                      </c:pt>
                      <c:pt idx="8">
                        <c:v>4432425.2475866666</c:v>
                      </c:pt>
                      <c:pt idx="9">
                        <c:v>4268052.2451883331</c:v>
                      </c:pt>
                      <c:pt idx="10">
                        <c:v>5125921.6699000001</c:v>
                      </c:pt>
                      <c:pt idx="11">
                        <c:v>4920796.6203016657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3C7-4500-8E86-4CEFA61637B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5562463.271675</c:v>
                      </c:pt>
                      <c:pt idx="1">
                        <c:v>5620721.1119249994</c:v>
                      </c:pt>
                      <c:pt idx="2">
                        <c:v>5822718.2915949998</c:v>
                      </c:pt>
                      <c:pt idx="3">
                        <c:v>5328195.7911616666</c:v>
                      </c:pt>
                      <c:pt idx="4">
                        <c:v>5484867.1444033328</c:v>
                      </c:pt>
                      <c:pt idx="5">
                        <c:v>4919715.1491916664</c:v>
                      </c:pt>
                      <c:pt idx="6">
                        <c:v>4951556.5757716671</c:v>
                      </c:pt>
                      <c:pt idx="7">
                        <c:v>5598458.9361850005</c:v>
                      </c:pt>
                      <c:pt idx="8">
                        <c:v>5021635.5460583335</c:v>
                      </c:pt>
                      <c:pt idx="9">
                        <c:v>5188278.0061400002</c:v>
                      </c:pt>
                      <c:pt idx="10">
                        <c:v>5079299.0130166672</c:v>
                      </c:pt>
                      <c:pt idx="11">
                        <c:v>5126826.2702750005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3C7-4500-8E86-4CEFA61637B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Arabica'!$B$12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Arabica'!$C$12:$N$12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5226553.7517466666</c:v>
                      </c:pt>
                      <c:pt idx="1">
                        <c:v>4919224.7333033336</c:v>
                      </c:pt>
                      <c:pt idx="2">
                        <c:v>4932868.0118733337</c:v>
                      </c:pt>
                      <c:pt idx="3">
                        <c:v>5141670.2302099997</c:v>
                      </c:pt>
                      <c:pt idx="4">
                        <c:v>4711629.5510433335</c:v>
                      </c:pt>
                      <c:pt idx="5">
                        <c:v>5101576.5210750001</c:v>
                      </c:pt>
                      <c:pt idx="6">
                        <c:v>4753804.8616500003</c:v>
                      </c:pt>
                      <c:pt idx="7">
                        <c:v>4691162.6028333334</c:v>
                      </c:pt>
                      <c:pt idx="8">
                        <c:v>4477096.0498416675</c:v>
                      </c:pt>
                      <c:pt idx="9">
                        <c:v>4609060.2796999998</c:v>
                      </c:pt>
                      <c:pt idx="10">
                        <c:v>4904054.4400399998</c:v>
                      </c:pt>
                      <c:pt idx="11">
                        <c:v>5111630.9965150002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3C7-4500-8E86-4CEFA61637B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Arabica'!$B$13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Arabica'!$C$13:$N$13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5447193.2938416665</c:v>
                      </c:pt>
                      <c:pt idx="1">
                        <c:v>6178565.1375366664</c:v>
                      </c:pt>
                      <c:pt idx="2">
                        <c:v>5800775.0132750003</c:v>
                      </c:pt>
                      <c:pt idx="3">
                        <c:v>5045266.5599866668</c:v>
                      </c:pt>
                      <c:pt idx="4">
                        <c:v>5611543.2135883337</c:v>
                      </c:pt>
                      <c:pt idx="5">
                        <c:v>5538692.2646949999</c:v>
                      </c:pt>
                      <c:pt idx="6">
                        <c:v>5413361.3871299997</c:v>
                      </c:pt>
                      <c:pt idx="7">
                        <c:v>4454897.4698750004</c:v>
                      </c:pt>
                      <c:pt idx="8">
                        <c:v>4903562.4729349995</c:v>
                      </c:pt>
                      <c:pt idx="9">
                        <c:v>4862943.7364683338</c:v>
                      </c:pt>
                      <c:pt idx="10">
                        <c:v>4501760.2424966674</c:v>
                      </c:pt>
                      <c:pt idx="11">
                        <c:v>4818068.8482816666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3C7-4500-8E86-4CEFA61637B1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  <c:min val="30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66516829571116209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'S5 Arabica'!$A$66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'S5 Arabica'!$B$65:$M$65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Arabica'!$B$66:$M$66</c:f>
              <c:numCache>
                <c:formatCode>#,##0</c:formatCode>
                <c:ptCount val="12"/>
                <c:pt idx="0">
                  <c:v>5741470.5699999994</c:v>
                </c:pt>
                <c:pt idx="1">
                  <c:v>5386101.6906666663</c:v>
                </c:pt>
                <c:pt idx="2">
                  <c:v>4824905.4316666666</c:v>
                </c:pt>
                <c:pt idx="3">
                  <c:v>4381685</c:v>
                </c:pt>
                <c:pt idx="4">
                  <c:v>4217521</c:v>
                </c:pt>
                <c:pt idx="5">
                  <c:v>4602691.333333333</c:v>
                </c:pt>
                <c:pt idx="6">
                  <c:v>4415479.333333333</c:v>
                </c:pt>
                <c:pt idx="7">
                  <c:v>4660112.333333333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F-41FA-8F5F-7A02E71CF07D}"/>
            </c:ext>
          </c:extLst>
        </c:ser>
        <c:ser>
          <c:idx val="1"/>
          <c:order val="1"/>
          <c:tx>
            <c:strRef>
              <c:f>'S5 Arabica'!$A$67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'S5 Arabica'!$B$65:$M$65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Arabica'!$B$67:$M$67</c:f>
              <c:numCache>
                <c:formatCode>#,##0</c:formatCode>
                <c:ptCount val="12"/>
                <c:pt idx="0">
                  <c:v>4749355.9918316668</c:v>
                </c:pt>
                <c:pt idx="1">
                  <c:v>4830737.8349449998</c:v>
                </c:pt>
                <c:pt idx="2">
                  <c:v>4572045.263236667</c:v>
                </c:pt>
                <c:pt idx="3">
                  <c:v>4139323.0670533334</c:v>
                </c:pt>
                <c:pt idx="4">
                  <c:v>3886583.02782</c:v>
                </c:pt>
                <c:pt idx="5">
                  <c:v>4278920.8522366667</c:v>
                </c:pt>
                <c:pt idx="6">
                  <c:v>4151527.5203649998</c:v>
                </c:pt>
                <c:pt idx="7">
                  <c:v>3714347.8139833333</c:v>
                </c:pt>
                <c:pt idx="8">
                  <c:v>4097903.1231966666</c:v>
                </c:pt>
                <c:pt idx="9">
                  <c:v>4268052.2451883331</c:v>
                </c:pt>
                <c:pt idx="10">
                  <c:v>4476325.9705666667</c:v>
                </c:pt>
                <c:pt idx="11">
                  <c:v>4328172.9008750003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7F-41FA-8F5F-7A02E71CF07D}"/>
            </c:ext>
          </c:extLst>
        </c:ser>
        <c:ser>
          <c:idx val="2"/>
          <c:order val="2"/>
          <c:tx>
            <c:strRef>
              <c:f>'S5 Arabica'!$A$68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'S5 Arabica'!$B$65:$M$65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Arabica'!$B$68:$M$68</c:f>
              <c:numCache>
                <c:formatCode>#,##0</c:formatCode>
                <c:ptCount val="12"/>
                <c:pt idx="0">
                  <c:v>6098193.2113883328</c:v>
                </c:pt>
                <c:pt idx="1">
                  <c:v>6178565.1375366664</c:v>
                </c:pt>
                <c:pt idx="2">
                  <c:v>6019202.6407916676</c:v>
                </c:pt>
                <c:pt idx="3">
                  <c:v>5328195.7911616666</c:v>
                </c:pt>
                <c:pt idx="4">
                  <c:v>5611543.2135883337</c:v>
                </c:pt>
                <c:pt idx="5">
                  <c:v>5893265.6913516661</c:v>
                </c:pt>
                <c:pt idx="6">
                  <c:v>5413361.3871299997</c:v>
                </c:pt>
                <c:pt idx="7">
                  <c:v>5747200.6055466663</c:v>
                </c:pt>
                <c:pt idx="8">
                  <c:v>5088560.0712883342</c:v>
                </c:pt>
                <c:pt idx="9">
                  <c:v>5257017.7720766673</c:v>
                </c:pt>
                <c:pt idx="10">
                  <c:v>5125921.6699000001</c:v>
                </c:pt>
                <c:pt idx="11">
                  <c:v>5794074.9397400003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7F-41FA-8F5F-7A02E71CF07D}"/>
            </c:ext>
          </c:extLst>
        </c:ser>
        <c:ser>
          <c:idx val="3"/>
          <c:order val="3"/>
          <c:tx>
            <c:strRef>
              <c:f>'S5 Arabica'!$A$69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'S5 Arabica'!$B$65:$M$65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Arabica'!$B$69:$M$69</c:f>
              <c:numCache>
                <c:formatCode>#,##0</c:formatCode>
                <c:ptCount val="12"/>
                <c:pt idx="0">
                  <c:v>5358597.9253486106</c:v>
                </c:pt>
                <c:pt idx="1">
                  <c:v>5314863.7567236116</c:v>
                </c:pt>
                <c:pt idx="2">
                  <c:v>5395891.9493619455</c:v>
                </c:pt>
                <c:pt idx="3">
                  <c:v>5009219.6646811115</c:v>
                </c:pt>
                <c:pt idx="4">
                  <c:v>4975215.8522452777</c:v>
                </c:pt>
                <c:pt idx="5">
                  <c:v>5378075.8845041664</c:v>
                </c:pt>
                <c:pt idx="6">
                  <c:v>4855098.561468889</c:v>
                </c:pt>
                <c:pt idx="7">
                  <c:v>4820090.1354113892</c:v>
                </c:pt>
                <c:pt idx="8">
                  <c:v>4713832.460438055</c:v>
                </c:pt>
                <c:pt idx="9">
                  <c:v>4724792.7854349995</c:v>
                </c:pt>
                <c:pt idx="10">
                  <c:v>4753469.011660926</c:v>
                </c:pt>
                <c:pt idx="11">
                  <c:v>5073352.5899089547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7F-41FA-8F5F-7A02E71CF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  <c:min val="30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'S5 Arabica'!$I$84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'S5 Arabica'!$H$122:$H$208</c:f>
              <c:strCache>
                <c:ptCount val="87"/>
                <c:pt idx="0">
                  <c:v>Oct'18/19</c:v>
                </c:pt>
                <c:pt idx="1">
                  <c:v>Nov'18/19</c:v>
                </c:pt>
                <c:pt idx="2">
                  <c:v>Dec'18/19</c:v>
                </c:pt>
                <c:pt idx="3">
                  <c:v>Jan'18/19</c:v>
                </c:pt>
                <c:pt idx="4">
                  <c:v>Feb'18/19</c:v>
                </c:pt>
                <c:pt idx="5">
                  <c:v>Mar'18/19</c:v>
                </c:pt>
                <c:pt idx="6">
                  <c:v>Apr'18/19</c:v>
                </c:pt>
                <c:pt idx="7">
                  <c:v>May'18/19</c:v>
                </c:pt>
                <c:pt idx="8">
                  <c:v>Jun'18/19</c:v>
                </c:pt>
                <c:pt idx="9">
                  <c:v>Jul'18/19</c:v>
                </c:pt>
                <c:pt idx="10">
                  <c:v>Aug'18/19</c:v>
                </c:pt>
                <c:pt idx="11">
                  <c:v>Sep'18/19</c:v>
                </c:pt>
                <c:pt idx="12">
                  <c:v>Oct'19/20</c:v>
                </c:pt>
                <c:pt idx="13">
                  <c:v>Nov'19/20</c:v>
                </c:pt>
                <c:pt idx="14">
                  <c:v>Dec'19/20</c:v>
                </c:pt>
                <c:pt idx="15">
                  <c:v>Jan'19/20</c:v>
                </c:pt>
                <c:pt idx="16">
                  <c:v>Feb'19/20</c:v>
                </c:pt>
                <c:pt idx="17">
                  <c:v>Mar'19/20</c:v>
                </c:pt>
                <c:pt idx="18">
                  <c:v>Apr'19/20</c:v>
                </c:pt>
                <c:pt idx="19">
                  <c:v>May'19/20</c:v>
                </c:pt>
                <c:pt idx="20">
                  <c:v>Jun'19/20</c:v>
                </c:pt>
                <c:pt idx="21">
                  <c:v>Jul'19/20</c:v>
                </c:pt>
                <c:pt idx="22">
                  <c:v>Aug'19/20</c:v>
                </c:pt>
                <c:pt idx="23">
                  <c:v>Sep'19/20</c:v>
                </c:pt>
                <c:pt idx="24">
                  <c:v>Oct'20/21</c:v>
                </c:pt>
                <c:pt idx="25">
                  <c:v>Nov'20/21</c:v>
                </c:pt>
                <c:pt idx="26">
                  <c:v>Dec'20/21</c:v>
                </c:pt>
                <c:pt idx="27">
                  <c:v>Jan'20/21</c:v>
                </c:pt>
                <c:pt idx="28">
                  <c:v>Feb'20/21</c:v>
                </c:pt>
                <c:pt idx="29">
                  <c:v>Mar'20/21</c:v>
                </c:pt>
                <c:pt idx="30">
                  <c:v>Apr'20/21</c:v>
                </c:pt>
                <c:pt idx="31">
                  <c:v>May'20/21</c:v>
                </c:pt>
                <c:pt idx="32">
                  <c:v>Jun'20/21</c:v>
                </c:pt>
                <c:pt idx="33">
                  <c:v>Jul'20/21</c:v>
                </c:pt>
                <c:pt idx="34">
                  <c:v>Aug'20/21</c:v>
                </c:pt>
                <c:pt idx="35">
                  <c:v>Sep'20/21</c:v>
                </c:pt>
                <c:pt idx="36">
                  <c:v>Oct'21/22</c:v>
                </c:pt>
                <c:pt idx="37">
                  <c:v>Nov'21/22</c:v>
                </c:pt>
                <c:pt idx="38">
                  <c:v>Dec'21/22</c:v>
                </c:pt>
                <c:pt idx="39">
                  <c:v>Jan'21/22</c:v>
                </c:pt>
                <c:pt idx="40">
                  <c:v>Feb'21/22</c:v>
                </c:pt>
                <c:pt idx="41">
                  <c:v>Mar'21/22</c:v>
                </c:pt>
                <c:pt idx="42">
                  <c:v>Apr'21/22</c:v>
                </c:pt>
                <c:pt idx="43">
                  <c:v>May'21/22</c:v>
                </c:pt>
                <c:pt idx="44">
                  <c:v>Jun'21/22</c:v>
                </c:pt>
                <c:pt idx="45">
                  <c:v>Jul'21/22</c:v>
                </c:pt>
                <c:pt idx="46">
                  <c:v>Aug'21/22</c:v>
                </c:pt>
                <c:pt idx="47">
                  <c:v>Sep'21/22</c:v>
                </c:pt>
                <c:pt idx="48">
                  <c:v>Oct'22/23</c:v>
                </c:pt>
                <c:pt idx="49">
                  <c:v>Nov'22/23</c:v>
                </c:pt>
                <c:pt idx="50">
                  <c:v>Dec'22/23</c:v>
                </c:pt>
                <c:pt idx="51">
                  <c:v>Jan'22/23</c:v>
                </c:pt>
                <c:pt idx="52">
                  <c:v>Feb'22/23</c:v>
                </c:pt>
                <c:pt idx="53">
                  <c:v>Mar'22/23</c:v>
                </c:pt>
                <c:pt idx="54">
                  <c:v>Apr'22/23</c:v>
                </c:pt>
                <c:pt idx="55">
                  <c:v>May'22/23</c:v>
                </c:pt>
                <c:pt idx="56">
                  <c:v>Jun'22/23</c:v>
                </c:pt>
                <c:pt idx="57">
                  <c:v>Jul'22/23</c:v>
                </c:pt>
                <c:pt idx="58">
                  <c:v>Aug'22/23</c:v>
                </c:pt>
                <c:pt idx="59">
                  <c:v>Sep'22/23</c:v>
                </c:pt>
                <c:pt idx="60">
                  <c:v>Oct'23/24</c:v>
                </c:pt>
                <c:pt idx="61">
                  <c:v>Nov'23/24</c:v>
                </c:pt>
                <c:pt idx="62">
                  <c:v>Dec'23/24</c:v>
                </c:pt>
                <c:pt idx="63">
                  <c:v>Jan'23/24</c:v>
                </c:pt>
                <c:pt idx="64">
                  <c:v>Feb'23/24</c:v>
                </c:pt>
                <c:pt idx="65">
                  <c:v>Mar'23/24</c:v>
                </c:pt>
                <c:pt idx="66">
                  <c:v>Apr'23/24</c:v>
                </c:pt>
                <c:pt idx="67">
                  <c:v>May'23/24</c:v>
                </c:pt>
                <c:pt idx="68">
                  <c:v>Jun'23/24</c:v>
                </c:pt>
                <c:pt idx="69">
                  <c:v>Jul'23/24</c:v>
                </c:pt>
                <c:pt idx="70">
                  <c:v>Aug'23/24</c:v>
                </c:pt>
                <c:pt idx="71">
                  <c:v>Sep'23/24</c:v>
                </c:pt>
                <c:pt idx="72">
                  <c:v>Oct'24/25</c:v>
                </c:pt>
                <c:pt idx="73">
                  <c:v>Nov'24/25</c:v>
                </c:pt>
                <c:pt idx="74">
                  <c:v>Dec'24/25</c:v>
                </c:pt>
                <c:pt idx="75">
                  <c:v>Jan'24/25</c:v>
                </c:pt>
                <c:pt idx="76">
                  <c:v>Feb'24/25</c:v>
                </c:pt>
                <c:pt idx="77">
                  <c:v>Mar'24/25</c:v>
                </c:pt>
                <c:pt idx="78">
                  <c:v>Apr'24/25</c:v>
                </c:pt>
                <c:pt idx="79">
                  <c:v>May'24/25</c:v>
                </c:pt>
                <c:pt idx="80">
                  <c:v>Jun'24/25</c:v>
                </c:pt>
                <c:pt idx="81">
                  <c:v>Jul'24/25</c:v>
                </c:pt>
                <c:pt idx="82">
                  <c:v>Aug'24/25</c:v>
                </c:pt>
                <c:pt idx="83">
                  <c:v>Sep'24/25</c:v>
                </c:pt>
                <c:pt idx="84">
                  <c:v>Oct'25/26</c:v>
                </c:pt>
                <c:pt idx="85">
                  <c:v>Nov'25/26</c:v>
                </c:pt>
                <c:pt idx="86">
                  <c:v>Dec'25/26</c:v>
                </c:pt>
              </c:strCache>
            </c:strRef>
          </c:cat>
          <c:val>
            <c:numRef>
              <c:f>'S5 Arabica'!$I$122:$I$208</c:f>
              <c:numCache>
                <c:formatCode>General</c:formatCode>
                <c:ptCount val="87"/>
                <c:pt idx="0">
                  <c:v>56.283412622718323</c:v>
                </c:pt>
                <c:pt idx="1">
                  <c:v>56.91416261068332</c:v>
                </c:pt>
                <c:pt idx="2">
                  <c:v>57.686764050371664</c:v>
                </c:pt>
                <c:pt idx="3">
                  <c:v>58.080423525191655</c:v>
                </c:pt>
                <c:pt idx="4">
                  <c:v>58.826946483086651</c:v>
                </c:pt>
                <c:pt idx="5">
                  <c:v>59.467740780041652</c:v>
                </c:pt>
                <c:pt idx="6">
                  <c:v>60.151780932683323</c:v>
                </c:pt>
                <c:pt idx="7">
                  <c:v>62.035892054884989</c:v>
                </c:pt>
                <c:pt idx="8">
                  <c:v>62.62510235335666</c:v>
                </c:pt>
                <c:pt idx="9">
                  <c:v>63.545328114308333</c:v>
                </c:pt>
                <c:pt idx="10">
                  <c:v>63.498705457424997</c:v>
                </c:pt>
                <c:pt idx="11">
                  <c:v>63.704735107398349</c:v>
                </c:pt>
                <c:pt idx="12">
                  <c:v>63.368825587469992</c:v>
                </c:pt>
                <c:pt idx="13">
                  <c:v>62.667329208848336</c:v>
                </c:pt>
                <c:pt idx="14">
                  <c:v>61.777478929126673</c:v>
                </c:pt>
                <c:pt idx="15">
                  <c:v>61.590953368175001</c:v>
                </c:pt>
                <c:pt idx="16">
                  <c:v>60.817715774814999</c:v>
                </c:pt>
                <c:pt idx="17">
                  <c:v>60.999577146698336</c:v>
                </c:pt>
                <c:pt idx="18">
                  <c:v>60.801825432576663</c:v>
                </c:pt>
                <c:pt idx="19">
                  <c:v>59.894529099224997</c:v>
                </c:pt>
                <c:pt idx="20">
                  <c:v>59.349989603008332</c:v>
                </c:pt>
                <c:pt idx="21">
                  <c:v>58.770771876568332</c:v>
                </c:pt>
                <c:pt idx="22">
                  <c:v>58.595527303591659</c:v>
                </c:pt>
                <c:pt idx="23">
                  <c:v>58.580332029831666</c:v>
                </c:pt>
                <c:pt idx="24">
                  <c:v>58.800971571926659</c:v>
                </c:pt>
                <c:pt idx="25">
                  <c:v>60.060311976160001</c:v>
                </c:pt>
                <c:pt idx="26">
                  <c:v>60.92821897756167</c:v>
                </c:pt>
                <c:pt idx="27">
                  <c:v>60.831815307338331</c:v>
                </c:pt>
                <c:pt idx="28">
                  <c:v>61.731728969883335</c:v>
                </c:pt>
                <c:pt idx="29">
                  <c:v>62.168844713503333</c:v>
                </c:pt>
                <c:pt idx="30">
                  <c:v>62.828401238983325</c:v>
                </c:pt>
                <c:pt idx="31">
                  <c:v>62.592136106024995</c:v>
                </c:pt>
                <c:pt idx="32">
                  <c:v>63.01860252911834</c:v>
                </c:pt>
                <c:pt idx="33">
                  <c:v>63.272485985886661</c:v>
                </c:pt>
                <c:pt idx="34">
                  <c:v>62.870191788343341</c:v>
                </c:pt>
                <c:pt idx="35">
                  <c:v>62.576629640109999</c:v>
                </c:pt>
                <c:pt idx="36">
                  <c:v>62.104214316491678</c:v>
                </c:pt>
                <c:pt idx="37">
                  <c:v>60.756387013900003</c:v>
                </c:pt>
                <c:pt idx="38">
                  <c:v>60.622909474875001</c:v>
                </c:pt>
                <c:pt idx="39">
                  <c:v>60.853973722498338</c:v>
                </c:pt>
                <c:pt idx="40">
                  <c:v>60.603240022828324</c:v>
                </c:pt>
                <c:pt idx="41">
                  <c:v>60.957813449484988</c:v>
                </c:pt>
                <c:pt idx="42">
                  <c:v>60.16852786987166</c:v>
                </c:pt>
                <c:pt idx="43">
                  <c:v>60.328554899856655</c:v>
                </c:pt>
                <c:pt idx="44">
                  <c:v>60.412054507554998</c:v>
                </c:pt>
                <c:pt idx="45">
                  <c:v>59.968737888816669</c:v>
                </c:pt>
                <c:pt idx="46">
                  <c:v>59.943303616886666</c:v>
                </c:pt>
                <c:pt idx="47">
                  <c:v>60.049399193493336</c:v>
                </c:pt>
                <c:pt idx="48">
                  <c:v>60.121022506585007</c:v>
                </c:pt>
                <c:pt idx="49">
                  <c:v>60.266796625436669</c:v>
                </c:pt>
                <c:pt idx="50">
                  <c:v>59.171544414423337</c:v>
                </c:pt>
                <c:pt idx="51">
                  <c:v>58.034536673866675</c:v>
                </c:pt>
                <c:pt idx="52">
                  <c:v>56.56031018776833</c:v>
                </c:pt>
                <c:pt idx="53">
                  <c:v>55.300439172408332</c:v>
                </c:pt>
                <c:pt idx="54">
                  <c:v>54.827890885256664</c:v>
                </c:pt>
                <c:pt idx="55">
                  <c:v>54.40838298189334</c:v>
                </c:pt>
                <c:pt idx="56">
                  <c:v>53.519224024456669</c:v>
                </c:pt>
                <c:pt idx="57">
                  <c:v>53.401795048178329</c:v>
                </c:pt>
                <c:pt idx="58">
                  <c:v>53.646973308428329</c:v>
                </c:pt>
                <c:pt idx="59">
                  <c:v>53.050981784415008</c:v>
                </c:pt>
                <c:pt idx="60">
                  <c:v>53.363048542676673</c:v>
                </c:pt>
                <c:pt idx="61">
                  <c:v>53.731460418706675</c:v>
                </c:pt>
                <c:pt idx="62">
                  <c:v>54.542578448215011</c:v>
                </c:pt>
                <c:pt idx="63">
                  <c:v>55.584899220410001</c:v>
                </c:pt>
                <c:pt idx="64">
                  <c:v>56.745460962328337</c:v>
                </c:pt>
                <c:pt idx="65">
                  <c:v>57.537546770308346</c:v>
                </c:pt>
                <c:pt idx="66">
                  <c:v>58.650988710665011</c:v>
                </c:pt>
                <c:pt idx="67">
                  <c:v>60.202772719715007</c:v>
                </c:pt>
                <c:pt idx="68">
                  <c:v>61.193429667806662</c:v>
                </c:pt>
                <c:pt idx="69">
                  <c:v>62.148249298431672</c:v>
                </c:pt>
                <c:pt idx="70">
                  <c:v>62.473059057773327</c:v>
                </c:pt>
                <c:pt idx="71">
                  <c:v>63.938961096638337</c:v>
                </c:pt>
                <c:pt idx="72">
                  <c:v>64.678686266450015</c:v>
                </c:pt>
                <c:pt idx="73">
                  <c:v>64.97298148755668</c:v>
                </c:pt>
                <c:pt idx="74">
                  <c:v>65.609020835603346</c:v>
                </c:pt>
                <c:pt idx="75">
                  <c:v>65.698460480333338</c:v>
                </c:pt>
                <c:pt idx="76">
                  <c:v>65.884900747958341</c:v>
                </c:pt>
                <c:pt idx="77">
                  <c:v>66.135465933926668</c:v>
                </c:pt>
                <c:pt idx="78">
                  <c:v>65.793348804635016</c:v>
                </c:pt>
                <c:pt idx="79">
                  <c:v>65.263087236945012</c:v>
                </c:pt>
                <c:pt idx="80">
                  <c:v>64.903338130390011</c:v>
                </c:pt>
                <c:pt idx="81">
                  <c:v>64.544230023496667</c:v>
                </c:pt>
                <c:pt idx="82">
                  <c:v>64.368771229225572</c:v>
                </c:pt>
                <c:pt idx="83">
                  <c:v>64.038699718639293</c:v>
                </c:pt>
                <c:pt idx="84">
                  <c:v>63.681977077250949</c:v>
                </c:pt>
                <c:pt idx="85">
                  <c:v>63.428859716984284</c:v>
                </c:pt>
                <c:pt idx="86">
                  <c:v>62.23456250785928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F4-4DA5-901D-96B61BA28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'S5 Arabica'!$K$27</c:f>
          <c:strCache>
            <c:ptCount val="1"/>
            <c:pt idx="0">
              <c:v>Super 5 : Arabica Exports | YTD : Oct-May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'S5 Arabica'!$S$10:$S$17</c:f>
              <c:strCache>
                <c:ptCount val="8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</c:strCache>
            </c:strRef>
          </c:cat>
          <c:val>
            <c:numRef>
              <c:f>'S5 Arabica'!$T$10:$T$17</c:f>
              <c:numCache>
                <c:formatCode>#,##0</c:formatCode>
                <c:ptCount val="8"/>
                <c:pt idx="0">
                  <c:v>36723109.559898332</c:v>
                </c:pt>
                <c:pt idx="1">
                  <c:v>43288696.271908343</c:v>
                </c:pt>
                <c:pt idx="2">
                  <c:v>39478490.263734996</c:v>
                </c:pt>
                <c:pt idx="3">
                  <c:v>43490294.339928329</c:v>
                </c:pt>
                <c:pt idx="4">
                  <c:v>41242219.599675</c:v>
                </c:pt>
                <c:pt idx="5">
                  <c:v>35601203.388075002</c:v>
                </c:pt>
                <c:pt idx="6">
                  <c:v>42752994.323375002</c:v>
                </c:pt>
                <c:pt idx="7">
                  <c:v>44077120.463681675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8-43CE-8D37-3C346CE16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'S5 Arabica'!$Q$27</c:f>
          <c:strCache>
            <c:ptCount val="1"/>
            <c:pt idx="0">
              <c:v>Super 5 : Arabica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'S5 Arabica'!$M$81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'S5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Arabica'!$N$81:$Y$81</c:f>
              <c:numCache>
                <c:formatCode>#,##0</c:formatCode>
                <c:ptCount val="12"/>
                <c:pt idx="0">
                  <c:v>5226553.7517466666</c:v>
                </c:pt>
                <c:pt idx="1">
                  <c:v>10145778.48505</c:v>
                </c:pt>
                <c:pt idx="2">
                  <c:v>15078646.496923335</c:v>
                </c:pt>
                <c:pt idx="3">
                  <c:v>20220316.727133334</c:v>
                </c:pt>
                <c:pt idx="4">
                  <c:v>24931946.278176665</c:v>
                </c:pt>
                <c:pt idx="5">
                  <c:v>30033522.799251664</c:v>
                </c:pt>
                <c:pt idx="6">
                  <c:v>34787327.660901666</c:v>
                </c:pt>
                <c:pt idx="7">
                  <c:v>39478490.263734996</c:v>
                </c:pt>
                <c:pt idx="8">
                  <c:v>43955586.313576661</c:v>
                </c:pt>
                <c:pt idx="9">
                  <c:v>48564646.593276665</c:v>
                </c:pt>
                <c:pt idx="10">
                  <c:v>53468701.033316664</c:v>
                </c:pt>
                <c:pt idx="11">
                  <c:v>58580332.029831663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0-4FC7-BA13-10951DA72774}"/>
            </c:ext>
          </c:extLst>
        </c:ser>
        <c:ser>
          <c:idx val="1"/>
          <c:order val="1"/>
          <c:tx>
            <c:strRef>
              <c:f>'S5 Arabica'!$M$82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'S5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Arabica'!$N$82:$Y$82</c:f>
              <c:numCache>
                <c:formatCode>#,##0</c:formatCode>
                <c:ptCount val="12"/>
                <c:pt idx="0">
                  <c:v>5447193.2938416665</c:v>
                </c:pt>
                <c:pt idx="1">
                  <c:v>11625758.431378333</c:v>
                </c:pt>
                <c:pt idx="2">
                  <c:v>17426533.444653332</c:v>
                </c:pt>
                <c:pt idx="3">
                  <c:v>22471800.004639998</c:v>
                </c:pt>
                <c:pt idx="4">
                  <c:v>28083343.218228333</c:v>
                </c:pt>
                <c:pt idx="5">
                  <c:v>33622035.482923329</c:v>
                </c:pt>
                <c:pt idx="6">
                  <c:v>39035396.870053329</c:v>
                </c:pt>
                <c:pt idx="7">
                  <c:v>43490294.339928329</c:v>
                </c:pt>
                <c:pt idx="8">
                  <c:v>48393856.812863328</c:v>
                </c:pt>
                <c:pt idx="9">
                  <c:v>53256800.549331665</c:v>
                </c:pt>
                <c:pt idx="10">
                  <c:v>57758560.791828334</c:v>
                </c:pt>
                <c:pt idx="11">
                  <c:v>62576629.640110001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0-4FC7-BA13-10951DA72774}"/>
            </c:ext>
          </c:extLst>
        </c:ser>
        <c:ser>
          <c:idx val="2"/>
          <c:order val="2"/>
          <c:tx>
            <c:strRef>
              <c:f>'S5 Arabica'!$M$83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'S5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Arabica'!$N$83:$Y$83</c:f>
              <c:numCache>
                <c:formatCode>#,##0</c:formatCode>
                <c:ptCount val="12"/>
                <c:pt idx="0">
                  <c:v>4974777.9702233337</c:v>
                </c:pt>
                <c:pt idx="1">
                  <c:v>9805515.8051683344</c:v>
                </c:pt>
                <c:pt idx="2">
                  <c:v>15472813.279418334</c:v>
                </c:pt>
                <c:pt idx="3">
                  <c:v>20749144.087028332</c:v>
                </c:pt>
                <c:pt idx="4">
                  <c:v>26109953.600946665</c:v>
                </c:pt>
                <c:pt idx="5">
                  <c:v>32003219.292298332</c:v>
                </c:pt>
                <c:pt idx="6">
                  <c:v>36627295.099814996</c:v>
                </c:pt>
                <c:pt idx="7">
                  <c:v>41242219.599675</c:v>
                </c:pt>
                <c:pt idx="8">
                  <c:v>46229281.680308335</c:v>
                </c:pt>
                <c:pt idx="9">
                  <c:v>50648908.798038334</c:v>
                </c:pt>
                <c:pt idx="10">
                  <c:v>55125234.768605001</c:v>
                </c:pt>
                <c:pt idx="11">
                  <c:v>60049399.193493336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0-4FC7-BA13-10951DA72774}"/>
            </c:ext>
          </c:extLst>
        </c:ser>
        <c:ser>
          <c:idx val="3"/>
          <c:order val="3"/>
          <c:tx>
            <c:strRef>
              <c:f>'S5 Arabica'!$M$84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'S5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Arabica'!$N$84:$Y$84</c:f>
              <c:numCache>
                <c:formatCode>#,##0</c:formatCode>
                <c:ptCount val="12"/>
                <c:pt idx="0">
                  <c:v>5046401.2833150001</c:v>
                </c:pt>
                <c:pt idx="1">
                  <c:v>10022913.237111669</c:v>
                </c:pt>
                <c:pt idx="2">
                  <c:v>14594958.500348337</c:v>
                </c:pt>
                <c:pt idx="3">
                  <c:v>18734281.56740167</c:v>
                </c:pt>
                <c:pt idx="4">
                  <c:v>22620864.595221668</c:v>
                </c:pt>
                <c:pt idx="5">
                  <c:v>27254259.271213334</c:v>
                </c:pt>
                <c:pt idx="6">
                  <c:v>31405786.791578334</c:v>
                </c:pt>
                <c:pt idx="7">
                  <c:v>35601203.388075002</c:v>
                </c:pt>
                <c:pt idx="8">
                  <c:v>39699106.51127167</c:v>
                </c:pt>
                <c:pt idx="9">
                  <c:v>44001304.652723335</c:v>
                </c:pt>
                <c:pt idx="10">
                  <c:v>48722808.883540004</c:v>
                </c:pt>
                <c:pt idx="11">
                  <c:v>53050981.784415007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F0-4FC7-BA13-10951DA72774}"/>
            </c:ext>
          </c:extLst>
        </c:ser>
        <c:ser>
          <c:idx val="4"/>
          <c:order val="4"/>
          <c:tx>
            <c:strRef>
              <c:f>'S5 Arabica'!$M$85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'S5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Arabica'!$N$85:$Y$85</c:f>
              <c:numCache>
                <c:formatCode>#,##0</c:formatCode>
                <c:ptCount val="12"/>
                <c:pt idx="0">
                  <c:v>5358468.0415766668</c:v>
                </c:pt>
                <c:pt idx="1">
                  <c:v>10703391.871403335</c:v>
                </c:pt>
                <c:pt idx="2">
                  <c:v>16086555.164148334</c:v>
                </c:pt>
                <c:pt idx="3">
                  <c:v>21268199.003396668</c:v>
                </c:pt>
                <c:pt idx="4">
                  <c:v>26315343.773135003</c:v>
                </c:pt>
                <c:pt idx="5">
                  <c:v>31740824.257106669</c:v>
                </c:pt>
                <c:pt idx="6">
                  <c:v>37005793.717828333</c:v>
                </c:pt>
                <c:pt idx="7">
                  <c:v>42752994.323375002</c:v>
                </c:pt>
                <c:pt idx="8">
                  <c:v>47841554.394663334</c:v>
                </c:pt>
                <c:pt idx="9">
                  <c:v>53098572.16674</c:v>
                </c:pt>
                <c:pt idx="10">
                  <c:v>58144886.156898335</c:v>
                </c:pt>
                <c:pt idx="11">
                  <c:v>63938961.096638337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F0-4FC7-BA13-10951DA72774}"/>
            </c:ext>
          </c:extLst>
        </c:ser>
        <c:ser>
          <c:idx val="5"/>
          <c:order val="5"/>
          <c:tx>
            <c:strRef>
              <c:f>'S5 Arabica'!$M$86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'S5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Arabica'!$N$86:$Y$86</c:f>
              <c:numCache>
                <c:formatCode>#,##0</c:formatCode>
                <c:ptCount val="12"/>
                <c:pt idx="0">
                  <c:v>6098193.2113883328</c:v>
                </c:pt>
                <c:pt idx="1">
                  <c:v>11737412.262321666</c:v>
                </c:pt>
                <c:pt idx="2">
                  <c:v>17756614.903113335</c:v>
                </c:pt>
                <c:pt idx="3">
                  <c:v>23027698.38709167</c:v>
                </c:pt>
                <c:pt idx="4">
                  <c:v>28261283.424455002</c:v>
                </c:pt>
                <c:pt idx="5">
                  <c:v>33937329.094395004</c:v>
                </c:pt>
                <c:pt idx="6">
                  <c:v>38860181.425825007</c:v>
                </c:pt>
                <c:pt idx="7">
                  <c:v>44077120.463681675</c:v>
                </c:pt>
                <c:pt idx="8">
                  <c:v>48805931.428415008</c:v>
                </c:pt>
                <c:pt idx="9">
                  <c:v>53703841.093598343</c:v>
                </c:pt>
                <c:pt idx="10">
                  <c:v>58574696.289485566</c:v>
                </c:pt>
                <c:pt idx="11">
                  <c:v>64038699.718639292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F0-4FC7-BA13-10951DA72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'Non Brazil Arabica origin'!$C$5</c:f>
          <c:strCache>
            <c:ptCount val="1"/>
            <c:pt idx="0">
              <c:v>Non Brazil Origins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'Non Brazil Arabica origin'!$B$14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'Non Brazil Arabica origin'!$C$6:$N$6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'Non Brazil Arabica origin'!$C$14:$N$14</c:f>
              <c:numCache>
                <c:formatCode>#,##0</c:formatCode>
                <c:ptCount val="12"/>
                <c:pt idx="0">
                  <c:v>2006375.9702233337</c:v>
                </c:pt>
                <c:pt idx="1">
                  <c:v>2203091.8349449998</c:v>
                </c:pt>
                <c:pt idx="2">
                  <c:v>2377227.47425</c:v>
                </c:pt>
                <c:pt idx="3">
                  <c:v>2282667.80761</c:v>
                </c:pt>
                <c:pt idx="4">
                  <c:v>2215057.5139183337</c:v>
                </c:pt>
                <c:pt idx="5">
                  <c:v>2578395.6913516666</c:v>
                </c:pt>
                <c:pt idx="6">
                  <c:v>1988182.8075166666</c:v>
                </c:pt>
                <c:pt idx="7">
                  <c:v>2085350.4998600001</c:v>
                </c:pt>
                <c:pt idx="8">
                  <c:v>2298817.0806333334</c:v>
                </c:pt>
                <c:pt idx="9">
                  <c:v>2362463.1177300001</c:v>
                </c:pt>
                <c:pt idx="10">
                  <c:v>2091912.9705666667</c:v>
                </c:pt>
                <c:pt idx="11">
                  <c:v>1923058.4248883333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B-4A81-BB1A-61116DE22D24}"/>
            </c:ext>
          </c:extLst>
        </c:ser>
        <c:ser>
          <c:idx val="8"/>
          <c:order val="8"/>
          <c:tx>
            <c:strRef>
              <c:f>'Non Brazil Arabica origin'!$B$15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'Non Brazil Arabica origin'!$C$6:$N$6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'Non Brazil Arabica origin'!$C$15:$N$15</c:f>
              <c:numCache>
                <c:formatCode>#,##0</c:formatCode>
                <c:ptCount val="12"/>
                <c:pt idx="0">
                  <c:v>1879366.2833150001</c:v>
                </c:pt>
                <c:pt idx="1">
                  <c:v>1625384.9537966668</c:v>
                </c:pt>
                <c:pt idx="2">
                  <c:v>1737273.2632366666</c:v>
                </c:pt>
                <c:pt idx="3">
                  <c:v>1703899.0670533334</c:v>
                </c:pt>
                <c:pt idx="4">
                  <c:v>1828239.0278200002</c:v>
                </c:pt>
                <c:pt idx="5">
                  <c:v>1943106.6759916667</c:v>
                </c:pt>
                <c:pt idx="6">
                  <c:v>1850916.520365</c:v>
                </c:pt>
                <c:pt idx="7">
                  <c:v>2210287.5964966668</c:v>
                </c:pt>
                <c:pt idx="8">
                  <c:v>2032559.1231966666</c:v>
                </c:pt>
                <c:pt idx="9">
                  <c:v>2099317.1414516666</c:v>
                </c:pt>
                <c:pt idx="10">
                  <c:v>2059977.230816667</c:v>
                </c:pt>
                <c:pt idx="11">
                  <c:v>1909436.9008750003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B-4A81-BB1A-61116DE22D24}"/>
            </c:ext>
          </c:extLst>
        </c:ser>
        <c:ser>
          <c:idx val="9"/>
          <c:order val="9"/>
          <c:tx>
            <c:strRef>
              <c:f>'Non Brazil Arabica origin'!$B$16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'Non Brazil Arabica origin'!$C$6:$N$6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'Non Brazil Arabica origin'!$C$16:$N$16</c:f>
              <c:numCache>
                <c:formatCode>#,##0</c:formatCode>
                <c:ptCount val="12"/>
                <c:pt idx="0">
                  <c:v>1911974.0415766668</c:v>
                </c:pt>
                <c:pt idx="1">
                  <c:v>2066509.8298266665</c:v>
                </c:pt>
                <c:pt idx="2">
                  <c:v>2109982.2927449998</c:v>
                </c:pt>
                <c:pt idx="3">
                  <c:v>1906051.8392483336</c:v>
                </c:pt>
                <c:pt idx="4">
                  <c:v>2224914.7697383333</c:v>
                </c:pt>
                <c:pt idx="5">
                  <c:v>2276646.4839716665</c:v>
                </c:pt>
                <c:pt idx="6">
                  <c:v>2020635.4607216669</c:v>
                </c:pt>
                <c:pt idx="7">
                  <c:v>2569088.6055466668</c:v>
                </c:pt>
                <c:pt idx="8">
                  <c:v>2592412.0712883342</c:v>
                </c:pt>
                <c:pt idx="9">
                  <c:v>2759267.7720766668</c:v>
                </c:pt>
                <c:pt idx="10">
                  <c:v>2503321.9901583334</c:v>
                </c:pt>
                <c:pt idx="11">
                  <c:v>2495104.9397399998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0B-4A81-BB1A-61116DE22D24}"/>
            </c:ext>
          </c:extLst>
        </c:ser>
        <c:ser>
          <c:idx val="10"/>
          <c:order val="10"/>
          <c:tx>
            <c:strRef>
              <c:f>'Non Brazil Arabica origin'!$B$17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'Non Brazil Arabica origin'!$C$6:$N$6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'Non Brazil Arabica origin'!$C$17:$N$17</c:f>
              <c:numCache>
                <c:formatCode>#,##0</c:formatCode>
                <c:ptCount val="12"/>
                <c:pt idx="0">
                  <c:v>2213446.2113883337</c:v>
                </c:pt>
                <c:pt idx="1">
                  <c:v>2060845.0509333333</c:v>
                </c:pt>
                <c:pt idx="2">
                  <c:v>2119202.6407916667</c:v>
                </c:pt>
                <c:pt idx="3">
                  <c:v>1969387.4839783332</c:v>
                </c:pt>
                <c:pt idx="4">
                  <c:v>2325878.0373633336</c:v>
                </c:pt>
                <c:pt idx="5">
                  <c:v>2851885.6699399995</c:v>
                </c:pt>
                <c:pt idx="6">
                  <c:v>2234744.3314299998</c:v>
                </c:pt>
                <c:pt idx="7">
                  <c:v>2803758.0378566668</c:v>
                </c:pt>
                <c:pt idx="8">
                  <c:v>2900325.9647333333</c:v>
                </c:pt>
                <c:pt idx="9">
                  <c:v>2905486.6651833337</c:v>
                </c:pt>
                <c:pt idx="10">
                  <c:v>2591233.195887222</c:v>
                </c:pt>
                <c:pt idx="11">
                  <c:v>2486547.429153726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0B-4A81-BB1A-61116DE22D24}"/>
            </c:ext>
          </c:extLst>
        </c:ser>
        <c:ser>
          <c:idx val="11"/>
          <c:order val="11"/>
          <c:tx>
            <c:strRef>
              <c:f>'Non Brazil Arabica origin'!$B$18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'Non Brazil Arabica origin'!$C$6:$N$6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'Non Brazil Arabica origin'!$C$18:$N$18</c:f>
              <c:numCache>
                <c:formatCode>#,##0</c:formatCode>
                <c:ptCount val="12"/>
                <c:pt idx="0">
                  <c:v>2353468.5700000003</c:v>
                </c:pt>
                <c:pt idx="1">
                  <c:v>2321823.6906666667</c:v>
                </c:pt>
                <c:pt idx="2">
                  <c:v>2178828.4316666666</c:v>
                </c:pt>
                <c:pt idx="3">
                  <c:v>2026800</c:v>
                </c:pt>
                <c:pt idx="4">
                  <c:v>2147800</c:v>
                </c:pt>
                <c:pt idx="5">
                  <c:v>2307233.3333333335</c:v>
                </c:pt>
                <c:pt idx="6">
                  <c:v>2131183.3333333335</c:v>
                </c:pt>
                <c:pt idx="7">
                  <c:v>2515783.3333333335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0B-4A81-BB1A-61116DE22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'Non Brazil Arabica origin'!$B$7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'Non Brazil Arabica origin'!$C$6:$N$6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'Non Brazil Arabica origin'!$C$7:$N$7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B0B-4A81-BB1A-61116DE22D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0B-4A81-BB1A-61116DE22D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0B-4A81-BB1A-61116DE22D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2178602.9918316668</c:v>
                      </c:pt>
                      <c:pt idx="1">
                        <c:v>2306063.12396</c:v>
                      </c:pt>
                      <c:pt idx="2">
                        <c:v>2452176.8519066665</c:v>
                      </c:pt>
                      <c:pt idx="3">
                        <c:v>2415155.3163416665</c:v>
                      </c:pt>
                      <c:pt idx="4">
                        <c:v>2530337.1865083333</c:v>
                      </c:pt>
                      <c:pt idx="5">
                        <c:v>2041396.8522366667</c:v>
                      </c:pt>
                      <c:pt idx="6">
                        <c:v>2240530.42313</c:v>
                      </c:pt>
                      <c:pt idx="7">
                        <c:v>2273493.8139833333</c:v>
                      </c:pt>
                      <c:pt idx="8">
                        <c:v>2446172.2475866671</c:v>
                      </c:pt>
                      <c:pt idx="9">
                        <c:v>2512577.2451883336</c:v>
                      </c:pt>
                      <c:pt idx="10">
                        <c:v>2503631.6699000001</c:v>
                      </c:pt>
                      <c:pt idx="11">
                        <c:v>2370866.6203016667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0B-4A81-BB1A-61116DE22D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2321729.271675</c:v>
                      </c:pt>
                      <c:pt idx="1">
                        <c:v>2258277.1119249999</c:v>
                      </c:pt>
                      <c:pt idx="2">
                        <c:v>2360575.2915949998</c:v>
                      </c:pt>
                      <c:pt idx="3">
                        <c:v>2254293.7911616666</c:v>
                      </c:pt>
                      <c:pt idx="4">
                        <c:v>2433754.1444033333</c:v>
                      </c:pt>
                      <c:pt idx="5">
                        <c:v>2361833.1491916669</c:v>
                      </c:pt>
                      <c:pt idx="6">
                        <c:v>2245177.5757716666</c:v>
                      </c:pt>
                      <c:pt idx="7">
                        <c:v>2572704.936185</c:v>
                      </c:pt>
                      <c:pt idx="8">
                        <c:v>2665664.5460583335</c:v>
                      </c:pt>
                      <c:pt idx="9">
                        <c:v>2749678.0061400002</c:v>
                      </c:pt>
                      <c:pt idx="10">
                        <c:v>2508484.0130166668</c:v>
                      </c:pt>
                      <c:pt idx="11">
                        <c:v>2326676.2702750005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B0B-4A81-BB1A-61116DE22D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origin'!$B$12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origin'!$C$12:$N$12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2261644.7517466666</c:v>
                      </c:pt>
                      <c:pt idx="1">
                        <c:v>2161339.7333033332</c:v>
                      </c:pt>
                      <c:pt idx="2">
                        <c:v>2523340.0118733332</c:v>
                      </c:pt>
                      <c:pt idx="3">
                        <c:v>2219283.2302100002</c:v>
                      </c:pt>
                      <c:pt idx="4">
                        <c:v>2234200.5510433335</c:v>
                      </c:pt>
                      <c:pt idx="5">
                        <c:v>2202792.5210750001</c:v>
                      </c:pt>
                      <c:pt idx="6">
                        <c:v>1802269.8616500001</c:v>
                      </c:pt>
                      <c:pt idx="7">
                        <c:v>2233455.602833333</c:v>
                      </c:pt>
                      <c:pt idx="8">
                        <c:v>2395074.0498416666</c:v>
                      </c:pt>
                      <c:pt idx="9">
                        <c:v>2187914.2796999998</c:v>
                      </c:pt>
                      <c:pt idx="10">
                        <c:v>2137253.4400399998</c:v>
                      </c:pt>
                      <c:pt idx="11">
                        <c:v>1886381.9965149998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B0B-4A81-BB1A-61116DE22D2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origin'!$B$13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origin'!$C$13:$N$13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1748592.2938416668</c:v>
                      </c:pt>
                      <c:pt idx="1">
                        <c:v>2097890.1375366668</c:v>
                      </c:pt>
                      <c:pt idx="2">
                        <c:v>2158408.0132750003</c:v>
                      </c:pt>
                      <c:pt idx="3">
                        <c:v>1906638.5599866668</c:v>
                      </c:pt>
                      <c:pt idx="4">
                        <c:v>2254061.2135883332</c:v>
                      </c:pt>
                      <c:pt idx="5">
                        <c:v>2419011.2646949999</c:v>
                      </c:pt>
                      <c:pt idx="6">
                        <c:v>2367595.3871300002</c:v>
                      </c:pt>
                      <c:pt idx="7">
                        <c:v>2371636.469875</c:v>
                      </c:pt>
                      <c:pt idx="8">
                        <c:v>2524815.4729350004</c:v>
                      </c:pt>
                      <c:pt idx="9">
                        <c:v>2698654.7364683333</c:v>
                      </c:pt>
                      <c:pt idx="10">
                        <c:v>2374928.242496667</c:v>
                      </c:pt>
                      <c:pt idx="11">
                        <c:v>2337093.8482816666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B0B-4A81-BB1A-61116DE22D24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66516829571116209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'Non Brazil Arabica origin'!$A$66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'Non Brazil Arabica origin'!$B$65:$M$65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'Non Brazil Arabica origin'!$B$66:$M$66</c:f>
              <c:numCache>
                <c:formatCode>#,##0</c:formatCode>
                <c:ptCount val="12"/>
                <c:pt idx="0">
                  <c:v>2353468.5700000003</c:v>
                </c:pt>
                <c:pt idx="1">
                  <c:v>2321823.6906666667</c:v>
                </c:pt>
                <c:pt idx="2">
                  <c:v>2178828.4316666666</c:v>
                </c:pt>
                <c:pt idx="3">
                  <c:v>2026800</c:v>
                </c:pt>
                <c:pt idx="4">
                  <c:v>2147800</c:v>
                </c:pt>
                <c:pt idx="5">
                  <c:v>2307233.3333333335</c:v>
                </c:pt>
                <c:pt idx="6">
                  <c:v>2131183.3333333335</c:v>
                </c:pt>
                <c:pt idx="7">
                  <c:v>2515783.3333333335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2D-496D-8519-09151544AFAA}"/>
            </c:ext>
          </c:extLst>
        </c:ser>
        <c:ser>
          <c:idx val="1"/>
          <c:order val="1"/>
          <c:tx>
            <c:strRef>
              <c:f>'Non Brazil Arabica origin'!$A$67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'Non Brazil Arabica origin'!$B$65:$M$65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'Non Brazil Arabica origin'!$B$67:$M$67</c:f>
              <c:numCache>
                <c:formatCode>#,##0</c:formatCode>
                <c:ptCount val="12"/>
                <c:pt idx="0">
                  <c:v>1748592.2938416668</c:v>
                </c:pt>
                <c:pt idx="1">
                  <c:v>1625384.9537966668</c:v>
                </c:pt>
                <c:pt idx="2">
                  <c:v>1737273.2632366666</c:v>
                </c:pt>
                <c:pt idx="3">
                  <c:v>1703899.0670533334</c:v>
                </c:pt>
                <c:pt idx="4">
                  <c:v>1828239.0278200002</c:v>
                </c:pt>
                <c:pt idx="5">
                  <c:v>1943106.6759916667</c:v>
                </c:pt>
                <c:pt idx="6">
                  <c:v>1802269.8616500001</c:v>
                </c:pt>
                <c:pt idx="7">
                  <c:v>2085350.4998600001</c:v>
                </c:pt>
                <c:pt idx="8">
                  <c:v>2032559.1231966666</c:v>
                </c:pt>
                <c:pt idx="9">
                  <c:v>2099317.1414516666</c:v>
                </c:pt>
                <c:pt idx="10">
                  <c:v>2059977.230816667</c:v>
                </c:pt>
                <c:pt idx="11">
                  <c:v>1886381.9965149998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2D-496D-8519-09151544AFAA}"/>
            </c:ext>
          </c:extLst>
        </c:ser>
        <c:ser>
          <c:idx val="2"/>
          <c:order val="2"/>
          <c:tx>
            <c:strRef>
              <c:f>'Non Brazil Arabica origin'!$A$68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'Non Brazil Arabica origin'!$B$65:$M$65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'Non Brazil Arabica origin'!$B$68:$M$68</c:f>
              <c:numCache>
                <c:formatCode>#,##0</c:formatCode>
                <c:ptCount val="12"/>
                <c:pt idx="0">
                  <c:v>2321729.271675</c:v>
                </c:pt>
                <c:pt idx="1">
                  <c:v>2306063.12396</c:v>
                </c:pt>
                <c:pt idx="2">
                  <c:v>2523340.0118733332</c:v>
                </c:pt>
                <c:pt idx="3">
                  <c:v>2415155.3163416665</c:v>
                </c:pt>
                <c:pt idx="4">
                  <c:v>2530337.1865083333</c:v>
                </c:pt>
                <c:pt idx="5">
                  <c:v>2851885.6699399995</c:v>
                </c:pt>
                <c:pt idx="6">
                  <c:v>2367595.3871300002</c:v>
                </c:pt>
                <c:pt idx="7">
                  <c:v>2803758.0378566668</c:v>
                </c:pt>
                <c:pt idx="8">
                  <c:v>2900325.9647333333</c:v>
                </c:pt>
                <c:pt idx="9">
                  <c:v>2905486.6651833337</c:v>
                </c:pt>
                <c:pt idx="10">
                  <c:v>2591233.195887222</c:v>
                </c:pt>
                <c:pt idx="11">
                  <c:v>2495104.9397399998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2D-496D-8519-09151544AFAA}"/>
            </c:ext>
          </c:extLst>
        </c:ser>
        <c:ser>
          <c:idx val="3"/>
          <c:order val="3"/>
          <c:tx>
            <c:strRef>
              <c:f>'Non Brazil Arabica origin'!$A$69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'Non Brazil Arabica origin'!$B$65:$M$65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'Non Brazil Arabica origin'!$B$69:$M$69</c:f>
              <c:numCache>
                <c:formatCode>#,##0</c:formatCode>
                <c:ptCount val="12"/>
                <c:pt idx="0">
                  <c:v>2003566.5920152783</c:v>
                </c:pt>
                <c:pt idx="1">
                  <c:v>2035843.5900569444</c:v>
                </c:pt>
                <c:pt idx="2">
                  <c:v>2170905.6160286111</c:v>
                </c:pt>
                <c:pt idx="3">
                  <c:v>1997987.9980144445</c:v>
                </c:pt>
                <c:pt idx="4">
                  <c:v>2180391.8522452777</c:v>
                </c:pt>
                <c:pt idx="5">
                  <c:v>2378639.7178374999</c:v>
                </c:pt>
                <c:pt idx="6">
                  <c:v>2044057.394802222</c:v>
                </c:pt>
                <c:pt idx="7">
                  <c:v>2378929.4687447217</c:v>
                </c:pt>
                <c:pt idx="8">
                  <c:v>2457333.9604380559</c:v>
                </c:pt>
                <c:pt idx="9">
                  <c:v>2502183.9521016669</c:v>
                </c:pt>
                <c:pt idx="10">
                  <c:v>2293104.511660926</c:v>
                </c:pt>
                <c:pt idx="11">
                  <c:v>2172937.2565756212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2D-496D-8519-09151544A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'Non Brazil Arabica origin'!$I$84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'Non Brazil Arabica origin'!$H$122:$H$208</c:f>
              <c:strCache>
                <c:ptCount val="87"/>
                <c:pt idx="0">
                  <c:v>Oct'18/19</c:v>
                </c:pt>
                <c:pt idx="1">
                  <c:v>Nov'18/19</c:v>
                </c:pt>
                <c:pt idx="2">
                  <c:v>Dec'18/19</c:v>
                </c:pt>
                <c:pt idx="3">
                  <c:v>Jan'18/19</c:v>
                </c:pt>
                <c:pt idx="4">
                  <c:v>Feb'18/19</c:v>
                </c:pt>
                <c:pt idx="5">
                  <c:v>Mar'18/19</c:v>
                </c:pt>
                <c:pt idx="6">
                  <c:v>Apr'18/19</c:v>
                </c:pt>
                <c:pt idx="7">
                  <c:v>May'18/19</c:v>
                </c:pt>
                <c:pt idx="8">
                  <c:v>Jun'18/19</c:v>
                </c:pt>
                <c:pt idx="9">
                  <c:v>Jul'18/19</c:v>
                </c:pt>
                <c:pt idx="10">
                  <c:v>Aug'18/19</c:v>
                </c:pt>
                <c:pt idx="11">
                  <c:v>Sep'18/19</c:v>
                </c:pt>
                <c:pt idx="12">
                  <c:v>Oct'19/20</c:v>
                </c:pt>
                <c:pt idx="13">
                  <c:v>Nov'19/20</c:v>
                </c:pt>
                <c:pt idx="14">
                  <c:v>Dec'19/20</c:v>
                </c:pt>
                <c:pt idx="15">
                  <c:v>Jan'19/20</c:v>
                </c:pt>
                <c:pt idx="16">
                  <c:v>Feb'19/20</c:v>
                </c:pt>
                <c:pt idx="17">
                  <c:v>Mar'19/20</c:v>
                </c:pt>
                <c:pt idx="18">
                  <c:v>Apr'19/20</c:v>
                </c:pt>
                <c:pt idx="19">
                  <c:v>May'19/20</c:v>
                </c:pt>
                <c:pt idx="20">
                  <c:v>Jun'19/20</c:v>
                </c:pt>
                <c:pt idx="21">
                  <c:v>Jul'19/20</c:v>
                </c:pt>
                <c:pt idx="22">
                  <c:v>Aug'19/20</c:v>
                </c:pt>
                <c:pt idx="23">
                  <c:v>Sep'19/20</c:v>
                </c:pt>
                <c:pt idx="24">
                  <c:v>Oct'20/21</c:v>
                </c:pt>
                <c:pt idx="25">
                  <c:v>Nov'20/21</c:v>
                </c:pt>
                <c:pt idx="26">
                  <c:v>Dec'20/21</c:v>
                </c:pt>
                <c:pt idx="27">
                  <c:v>Jan'20/21</c:v>
                </c:pt>
                <c:pt idx="28">
                  <c:v>Feb'20/21</c:v>
                </c:pt>
                <c:pt idx="29">
                  <c:v>Mar'20/21</c:v>
                </c:pt>
                <c:pt idx="30">
                  <c:v>Apr'20/21</c:v>
                </c:pt>
                <c:pt idx="31">
                  <c:v>May'20/21</c:v>
                </c:pt>
                <c:pt idx="32">
                  <c:v>Jun'20/21</c:v>
                </c:pt>
                <c:pt idx="33">
                  <c:v>Jul'20/21</c:v>
                </c:pt>
                <c:pt idx="34">
                  <c:v>Aug'20/21</c:v>
                </c:pt>
                <c:pt idx="35">
                  <c:v>Sep'20/21</c:v>
                </c:pt>
                <c:pt idx="36">
                  <c:v>Oct'21/22</c:v>
                </c:pt>
                <c:pt idx="37">
                  <c:v>Nov'21/22</c:v>
                </c:pt>
                <c:pt idx="38">
                  <c:v>Dec'21/22</c:v>
                </c:pt>
                <c:pt idx="39">
                  <c:v>Jan'21/22</c:v>
                </c:pt>
                <c:pt idx="40">
                  <c:v>Feb'21/22</c:v>
                </c:pt>
                <c:pt idx="41">
                  <c:v>Mar'21/22</c:v>
                </c:pt>
                <c:pt idx="42">
                  <c:v>Apr'21/22</c:v>
                </c:pt>
                <c:pt idx="43">
                  <c:v>May'21/22</c:v>
                </c:pt>
                <c:pt idx="44">
                  <c:v>Jun'21/22</c:v>
                </c:pt>
                <c:pt idx="45">
                  <c:v>Jul'21/22</c:v>
                </c:pt>
                <c:pt idx="46">
                  <c:v>Aug'21/22</c:v>
                </c:pt>
                <c:pt idx="47">
                  <c:v>Sep'21/22</c:v>
                </c:pt>
                <c:pt idx="48">
                  <c:v>Oct'22/23</c:v>
                </c:pt>
                <c:pt idx="49">
                  <c:v>Nov'22/23</c:v>
                </c:pt>
                <c:pt idx="50">
                  <c:v>Dec'22/23</c:v>
                </c:pt>
                <c:pt idx="51">
                  <c:v>Jan'22/23</c:v>
                </c:pt>
                <c:pt idx="52">
                  <c:v>Feb'22/23</c:v>
                </c:pt>
                <c:pt idx="53">
                  <c:v>Mar'22/23</c:v>
                </c:pt>
                <c:pt idx="54">
                  <c:v>Apr'22/23</c:v>
                </c:pt>
                <c:pt idx="55">
                  <c:v>May'22/23</c:v>
                </c:pt>
                <c:pt idx="56">
                  <c:v>Jun'22/23</c:v>
                </c:pt>
                <c:pt idx="57">
                  <c:v>Jul'22/23</c:v>
                </c:pt>
                <c:pt idx="58">
                  <c:v>Aug'22/23</c:v>
                </c:pt>
                <c:pt idx="59">
                  <c:v>Sep'22/23</c:v>
                </c:pt>
                <c:pt idx="60">
                  <c:v>Oct'23/24</c:v>
                </c:pt>
                <c:pt idx="61">
                  <c:v>Nov'23/24</c:v>
                </c:pt>
                <c:pt idx="62">
                  <c:v>Dec'23/24</c:v>
                </c:pt>
                <c:pt idx="63">
                  <c:v>Jan'23/24</c:v>
                </c:pt>
                <c:pt idx="64">
                  <c:v>Feb'23/24</c:v>
                </c:pt>
                <c:pt idx="65">
                  <c:v>Mar'23/24</c:v>
                </c:pt>
                <c:pt idx="66">
                  <c:v>Apr'23/24</c:v>
                </c:pt>
                <c:pt idx="67">
                  <c:v>May'23/24</c:v>
                </c:pt>
                <c:pt idx="68">
                  <c:v>Jun'23/24</c:v>
                </c:pt>
                <c:pt idx="69">
                  <c:v>Jul'23/24</c:v>
                </c:pt>
                <c:pt idx="70">
                  <c:v>Aug'23/24</c:v>
                </c:pt>
                <c:pt idx="71">
                  <c:v>Sep'23/24</c:v>
                </c:pt>
                <c:pt idx="72">
                  <c:v>Oct'24/25</c:v>
                </c:pt>
                <c:pt idx="73">
                  <c:v>Nov'24/25</c:v>
                </c:pt>
                <c:pt idx="74">
                  <c:v>Dec'24/25</c:v>
                </c:pt>
                <c:pt idx="75">
                  <c:v>Jan'24/25</c:v>
                </c:pt>
                <c:pt idx="76">
                  <c:v>Feb'24/25</c:v>
                </c:pt>
                <c:pt idx="77">
                  <c:v>Mar'24/25</c:v>
                </c:pt>
                <c:pt idx="78">
                  <c:v>Apr'24/25</c:v>
                </c:pt>
                <c:pt idx="79">
                  <c:v>May'24/25</c:v>
                </c:pt>
                <c:pt idx="80">
                  <c:v>Jun'24/25</c:v>
                </c:pt>
                <c:pt idx="81">
                  <c:v>Jul'24/25</c:v>
                </c:pt>
                <c:pt idx="82">
                  <c:v>Aug'24/25</c:v>
                </c:pt>
                <c:pt idx="83">
                  <c:v>Sep'24/25</c:v>
                </c:pt>
                <c:pt idx="84">
                  <c:v>Oct'25/26</c:v>
                </c:pt>
                <c:pt idx="85">
                  <c:v>Nov'25/26</c:v>
                </c:pt>
                <c:pt idx="86">
                  <c:v>Dec'25/26</c:v>
                </c:pt>
              </c:strCache>
            </c:strRef>
          </c:cat>
          <c:val>
            <c:numRef>
              <c:f>'Non Brazil Arabica origin'!$I$122:$I$208</c:f>
              <c:numCache>
                <c:formatCode>General</c:formatCode>
                <c:ptCount val="87"/>
                <c:pt idx="0">
                  <c:v>28.414130622718336</c:v>
                </c:pt>
                <c:pt idx="1">
                  <c:v>28.366344610683338</c:v>
                </c:pt>
                <c:pt idx="2">
                  <c:v>28.274743050371665</c:v>
                </c:pt>
                <c:pt idx="3">
                  <c:v>28.113881525191665</c:v>
                </c:pt>
                <c:pt idx="4">
                  <c:v>28.017298483086673</c:v>
                </c:pt>
                <c:pt idx="5">
                  <c:v>28.337734780041668</c:v>
                </c:pt>
                <c:pt idx="6">
                  <c:v>28.342381932683338</c:v>
                </c:pt>
                <c:pt idx="7">
                  <c:v>28.641593054885004</c:v>
                </c:pt>
                <c:pt idx="8">
                  <c:v>28.861085353356668</c:v>
                </c:pt>
                <c:pt idx="9">
                  <c:v>29.098186114308334</c:v>
                </c:pt>
                <c:pt idx="10">
                  <c:v>29.103038457424997</c:v>
                </c:pt>
                <c:pt idx="11">
                  <c:v>29.058848107398333</c:v>
                </c:pt>
                <c:pt idx="12">
                  <c:v>28.998763587470002</c:v>
                </c:pt>
                <c:pt idx="13">
                  <c:v>28.901826208848334</c:v>
                </c:pt>
                <c:pt idx="14">
                  <c:v>29.064590929126673</c:v>
                </c:pt>
                <c:pt idx="15">
                  <c:v>29.029580368175004</c:v>
                </c:pt>
                <c:pt idx="16">
                  <c:v>28.830026774815</c:v>
                </c:pt>
                <c:pt idx="17">
                  <c:v>28.670986146698336</c:v>
                </c:pt>
                <c:pt idx="18">
                  <c:v>28.22807843257667</c:v>
                </c:pt>
                <c:pt idx="19">
                  <c:v>27.888829099225003</c:v>
                </c:pt>
                <c:pt idx="20">
                  <c:v>27.618238603008336</c:v>
                </c:pt>
                <c:pt idx="21">
                  <c:v>27.056474876568338</c:v>
                </c:pt>
                <c:pt idx="22">
                  <c:v>26.685244303591674</c:v>
                </c:pt>
                <c:pt idx="23">
                  <c:v>26.244950029831667</c:v>
                </c:pt>
                <c:pt idx="24">
                  <c:v>25.731897571926666</c:v>
                </c:pt>
                <c:pt idx="25">
                  <c:v>25.668447976159996</c:v>
                </c:pt>
                <c:pt idx="26">
                  <c:v>25.303515977561666</c:v>
                </c:pt>
                <c:pt idx="27">
                  <c:v>24.990871307338335</c:v>
                </c:pt>
                <c:pt idx="28">
                  <c:v>25.010731969883334</c:v>
                </c:pt>
                <c:pt idx="29">
                  <c:v>25.226950713503335</c:v>
                </c:pt>
                <c:pt idx="30">
                  <c:v>25.792276238983334</c:v>
                </c:pt>
                <c:pt idx="31">
                  <c:v>25.930457106025003</c:v>
                </c:pt>
                <c:pt idx="32">
                  <c:v>26.060198529118328</c:v>
                </c:pt>
                <c:pt idx="33">
                  <c:v>26.570938985886666</c:v>
                </c:pt>
                <c:pt idx="34">
                  <c:v>26.808613788343333</c:v>
                </c:pt>
                <c:pt idx="35">
                  <c:v>27.259325640109999</c:v>
                </c:pt>
                <c:pt idx="36">
                  <c:v>27.517109316491666</c:v>
                </c:pt>
                <c:pt idx="37">
                  <c:v>27.622311013899999</c:v>
                </c:pt>
                <c:pt idx="38">
                  <c:v>27.841130474875005</c:v>
                </c:pt>
                <c:pt idx="39">
                  <c:v>28.217159722498334</c:v>
                </c:pt>
                <c:pt idx="40">
                  <c:v>28.178156022828336</c:v>
                </c:pt>
                <c:pt idx="41">
                  <c:v>28.337540449485005</c:v>
                </c:pt>
                <c:pt idx="42">
                  <c:v>27.958127869871671</c:v>
                </c:pt>
                <c:pt idx="43">
                  <c:v>27.671841899856673</c:v>
                </c:pt>
                <c:pt idx="44">
                  <c:v>27.445843507555004</c:v>
                </c:pt>
                <c:pt idx="45">
                  <c:v>27.109651888816671</c:v>
                </c:pt>
                <c:pt idx="46">
                  <c:v>26.82663661688667</c:v>
                </c:pt>
                <c:pt idx="47">
                  <c:v>26.412601193493337</c:v>
                </c:pt>
                <c:pt idx="48">
                  <c:v>26.285591506585</c:v>
                </c:pt>
                <c:pt idx="49">
                  <c:v>25.707884625436662</c:v>
                </c:pt>
                <c:pt idx="50">
                  <c:v>25.067930414423337</c:v>
                </c:pt>
                <c:pt idx="51">
                  <c:v>24.489161673866665</c:v>
                </c:pt>
                <c:pt idx="52">
                  <c:v>24.102343187768334</c:v>
                </c:pt>
                <c:pt idx="53">
                  <c:v>23.467054172408336</c:v>
                </c:pt>
                <c:pt idx="54">
                  <c:v>23.329787885256668</c:v>
                </c:pt>
                <c:pt idx="55">
                  <c:v>23.454724981893332</c:v>
                </c:pt>
                <c:pt idx="56">
                  <c:v>23.188467024456664</c:v>
                </c:pt>
                <c:pt idx="57">
                  <c:v>22.925321048178333</c:v>
                </c:pt>
                <c:pt idx="58">
                  <c:v>22.893385308428332</c:v>
                </c:pt>
                <c:pt idx="59">
                  <c:v>22.879763784414997</c:v>
                </c:pt>
                <c:pt idx="60">
                  <c:v>22.912371542676674</c:v>
                </c:pt>
                <c:pt idx="61">
                  <c:v>23.353496418706669</c:v>
                </c:pt>
                <c:pt idx="62">
                  <c:v>23.726205448215008</c:v>
                </c:pt>
                <c:pt idx="63">
                  <c:v>23.928358220410001</c:v>
                </c:pt>
                <c:pt idx="64">
                  <c:v>24.325033962328337</c:v>
                </c:pt>
                <c:pt idx="65">
                  <c:v>24.658573770308333</c:v>
                </c:pt>
                <c:pt idx="66">
                  <c:v>24.828292710665004</c:v>
                </c:pt>
                <c:pt idx="67">
                  <c:v>25.187093719714998</c:v>
                </c:pt>
                <c:pt idx="68">
                  <c:v>25.746946667806672</c:v>
                </c:pt>
                <c:pt idx="69">
                  <c:v>26.406897298431673</c:v>
                </c:pt>
                <c:pt idx="70">
                  <c:v>26.850242057773336</c:v>
                </c:pt>
                <c:pt idx="71">
                  <c:v>27.435910096638334</c:v>
                </c:pt>
                <c:pt idx="72">
                  <c:v>27.737382266450002</c:v>
                </c:pt>
                <c:pt idx="73">
                  <c:v>27.731717487556669</c:v>
                </c:pt>
                <c:pt idx="74">
                  <c:v>27.740937835603333</c:v>
                </c:pt>
                <c:pt idx="75">
                  <c:v>27.804273480333336</c:v>
                </c:pt>
                <c:pt idx="76">
                  <c:v>27.905236747958341</c:v>
                </c:pt>
                <c:pt idx="77">
                  <c:v>28.48047593392667</c:v>
                </c:pt>
                <c:pt idx="78">
                  <c:v>28.694584804635003</c:v>
                </c:pt>
                <c:pt idx="79">
                  <c:v>28.929254236945003</c:v>
                </c:pt>
                <c:pt idx="80">
                  <c:v>29.23716813039</c:v>
                </c:pt>
                <c:pt idx="81">
                  <c:v>29.383387023496667</c:v>
                </c:pt>
                <c:pt idx="82">
                  <c:v>29.471298229225553</c:v>
                </c:pt>
                <c:pt idx="83">
                  <c:v>29.462740718639285</c:v>
                </c:pt>
                <c:pt idx="84">
                  <c:v>29.602763077250952</c:v>
                </c:pt>
                <c:pt idx="85">
                  <c:v>29.863741716984279</c:v>
                </c:pt>
                <c:pt idx="86">
                  <c:v>29.923367507859282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77-4C43-94CE-8C1D137FD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'Non Brazil Arabica origin'!$K$27</c:f>
          <c:strCache>
            <c:ptCount val="1"/>
            <c:pt idx="0">
              <c:v>Non Brazil Origins | YTD : Oct-May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'Non Brazil Arabica origin'!$S$10:$S$17</c:f>
              <c:strCache>
                <c:ptCount val="8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</c:strCache>
            </c:strRef>
          </c:cat>
          <c:val>
            <c:numRef>
              <c:f>'Non Brazil Arabica origin'!$T$10:$T$17</c:f>
              <c:numCache>
                <c:formatCode>#,##0</c:formatCode>
                <c:ptCount val="8"/>
                <c:pt idx="0">
                  <c:v>18437756.559898335</c:v>
                </c:pt>
                <c:pt idx="1">
                  <c:v>18808345.271908332</c:v>
                </c:pt>
                <c:pt idx="2">
                  <c:v>17638326.263735</c:v>
                </c:pt>
                <c:pt idx="3">
                  <c:v>17323833.339928333</c:v>
                </c:pt>
                <c:pt idx="4">
                  <c:v>17736349.599675003</c:v>
                </c:pt>
                <c:pt idx="5">
                  <c:v>14778473.388075002</c:v>
                </c:pt>
                <c:pt idx="6">
                  <c:v>17085803.323375002</c:v>
                </c:pt>
                <c:pt idx="7">
                  <c:v>18579147.463681668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2-463D-8EFC-F044DDD12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'Non Brazil Arabica origin'!$Q$27</c:f>
          <c:strCache>
            <c:ptCount val="1"/>
            <c:pt idx="0">
              <c:v>Non Brazil Origins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'Non Brazil Arabica origin'!$M$84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'Non Brazil Arabica origin'!$N$75:$Y$75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'Non Brazil Arabica origin'!$N$84:$Y$84</c:f>
              <c:numCache>
                <c:formatCode>#,##0</c:formatCode>
                <c:ptCount val="12"/>
                <c:pt idx="0">
                  <c:v>1879366.2833150001</c:v>
                </c:pt>
                <c:pt idx="1">
                  <c:v>3504751.2371116672</c:v>
                </c:pt>
                <c:pt idx="2">
                  <c:v>5242024.5003483333</c:v>
                </c:pt>
                <c:pt idx="3">
                  <c:v>6945923.5674016662</c:v>
                </c:pt>
                <c:pt idx="4">
                  <c:v>8774162.5952216666</c:v>
                </c:pt>
                <c:pt idx="5">
                  <c:v>10717269.271213334</c:v>
                </c:pt>
                <c:pt idx="6">
                  <c:v>12568185.791578334</c:v>
                </c:pt>
                <c:pt idx="7">
                  <c:v>14778473.388075002</c:v>
                </c:pt>
                <c:pt idx="8">
                  <c:v>16811032.511271667</c:v>
                </c:pt>
                <c:pt idx="9">
                  <c:v>18910349.652723335</c:v>
                </c:pt>
                <c:pt idx="10">
                  <c:v>20970326.883540001</c:v>
                </c:pt>
                <c:pt idx="11">
                  <c:v>22879763.784414999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48-491B-A845-97ABF23A811E}"/>
            </c:ext>
          </c:extLst>
        </c:ser>
        <c:ser>
          <c:idx val="4"/>
          <c:order val="4"/>
          <c:tx>
            <c:strRef>
              <c:f>'Non Brazil Arabica origin'!$M$85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'Non Brazil Arabica origin'!$N$75:$Y$75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'Non Brazil Arabica origin'!$N$85:$Y$85</c:f>
              <c:numCache>
                <c:formatCode>#,##0</c:formatCode>
                <c:ptCount val="12"/>
                <c:pt idx="0">
                  <c:v>1911974.0415766668</c:v>
                </c:pt>
                <c:pt idx="1">
                  <c:v>3978483.8714033333</c:v>
                </c:pt>
                <c:pt idx="2">
                  <c:v>6088466.1641483326</c:v>
                </c:pt>
                <c:pt idx="3">
                  <c:v>7994518.0033966657</c:v>
                </c:pt>
                <c:pt idx="4">
                  <c:v>10219432.773134999</c:v>
                </c:pt>
                <c:pt idx="5">
                  <c:v>12496079.257106666</c:v>
                </c:pt>
                <c:pt idx="6">
                  <c:v>14516714.717828333</c:v>
                </c:pt>
                <c:pt idx="7">
                  <c:v>17085803.323375002</c:v>
                </c:pt>
                <c:pt idx="8">
                  <c:v>19678215.394663334</c:v>
                </c:pt>
                <c:pt idx="9">
                  <c:v>22437483.16674</c:v>
                </c:pt>
                <c:pt idx="10">
                  <c:v>24940805.156898335</c:v>
                </c:pt>
                <c:pt idx="11">
                  <c:v>27435910.096638333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48-491B-A845-97ABF23A811E}"/>
            </c:ext>
          </c:extLst>
        </c:ser>
        <c:ser>
          <c:idx val="5"/>
          <c:order val="5"/>
          <c:tx>
            <c:strRef>
              <c:f>'Non Brazil Arabica origin'!$M$86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'Non Brazil Arabica origin'!$N$75:$Y$75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'Non Brazil Arabica origin'!$N$86:$Y$86</c:f>
              <c:numCache>
                <c:formatCode>#,##0</c:formatCode>
                <c:ptCount val="12"/>
                <c:pt idx="0">
                  <c:v>2213446.2113883337</c:v>
                </c:pt>
                <c:pt idx="1">
                  <c:v>4274291.2623216668</c:v>
                </c:pt>
                <c:pt idx="2">
                  <c:v>6393493.9031133335</c:v>
                </c:pt>
                <c:pt idx="3">
                  <c:v>8362881.3870916665</c:v>
                </c:pt>
                <c:pt idx="4">
                  <c:v>10688759.424455</c:v>
                </c:pt>
                <c:pt idx="5">
                  <c:v>13540645.094395</c:v>
                </c:pt>
                <c:pt idx="6">
                  <c:v>15775389.425825</c:v>
                </c:pt>
                <c:pt idx="7">
                  <c:v>18579147.463681668</c:v>
                </c:pt>
                <c:pt idx="8">
                  <c:v>21479473.428415</c:v>
                </c:pt>
                <c:pt idx="9">
                  <c:v>24384960.093598336</c:v>
                </c:pt>
                <c:pt idx="10">
                  <c:v>26976193.289485559</c:v>
                </c:pt>
                <c:pt idx="11">
                  <c:v>29462740.718639284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48-491B-A845-97ABF23A811E}"/>
            </c:ext>
          </c:extLst>
        </c:ser>
        <c:ser>
          <c:idx val="6"/>
          <c:order val="6"/>
          <c:tx>
            <c:strRef>
              <c:f>'Non Brazil Arabica origin'!$M$87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'Non Brazil Arabica origin'!$N$75:$Y$75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'Non Brazil Arabica origin'!$N$87:$Y$87</c:f>
              <c:numCache>
                <c:formatCode>#,##0</c:formatCode>
                <c:ptCount val="12"/>
                <c:pt idx="0">
                  <c:v>2353468.5700000003</c:v>
                </c:pt>
                <c:pt idx="1">
                  <c:v>4675292.2606666666</c:v>
                </c:pt>
                <c:pt idx="2">
                  <c:v>6854120.6923333332</c:v>
                </c:pt>
                <c:pt idx="3">
                  <c:v>8880920.6923333332</c:v>
                </c:pt>
                <c:pt idx="4">
                  <c:v>11028720.692333333</c:v>
                </c:pt>
                <c:pt idx="5">
                  <c:v>13335954.025666667</c:v>
                </c:pt>
                <c:pt idx="6">
                  <c:v>15467137.359000001</c:v>
                </c:pt>
                <c:pt idx="7">
                  <c:v>17982920.692333333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48-491B-A845-97ABF23A8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'Non Brazil Arabica origin'!$M$81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'Non Brazil Arabica origin'!$N$75:$Y$75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'Non Brazil Arabica origin'!$N$81:$Y$81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2261644.7517466666</c:v>
                      </c:pt>
                      <c:pt idx="1">
                        <c:v>4422984.4850500003</c:v>
                      </c:pt>
                      <c:pt idx="2">
                        <c:v>6946324.496923333</c:v>
                      </c:pt>
                      <c:pt idx="3">
                        <c:v>9165607.7271333337</c:v>
                      </c:pt>
                      <c:pt idx="4">
                        <c:v>11399808.278176667</c:v>
                      </c:pt>
                      <c:pt idx="5">
                        <c:v>13602600.799251668</c:v>
                      </c:pt>
                      <c:pt idx="6">
                        <c:v>15404870.660901668</c:v>
                      </c:pt>
                      <c:pt idx="7">
                        <c:v>17638326.263735</c:v>
                      </c:pt>
                      <c:pt idx="8">
                        <c:v>20033400.313576669</c:v>
                      </c:pt>
                      <c:pt idx="9">
                        <c:v>22221314.593276668</c:v>
                      </c:pt>
                      <c:pt idx="10">
                        <c:v>24358568.033316668</c:v>
                      </c:pt>
                      <c:pt idx="11">
                        <c:v>26244950.029831666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C48-491B-A845-97ABF23A81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origin'!$M$82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origin'!$N$82:$Y$82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1748592.2938416668</c:v>
                      </c:pt>
                      <c:pt idx="1">
                        <c:v>3846482.4313783338</c:v>
                      </c:pt>
                      <c:pt idx="2">
                        <c:v>6004890.4446533341</c:v>
                      </c:pt>
                      <c:pt idx="3">
                        <c:v>7911529.0046400009</c:v>
                      </c:pt>
                      <c:pt idx="4">
                        <c:v>10165590.218228335</c:v>
                      </c:pt>
                      <c:pt idx="5">
                        <c:v>12584601.482923334</c:v>
                      </c:pt>
                      <c:pt idx="6">
                        <c:v>14952196.870053334</c:v>
                      </c:pt>
                      <c:pt idx="7">
                        <c:v>17323833.339928333</c:v>
                      </c:pt>
                      <c:pt idx="8">
                        <c:v>19848648.812863335</c:v>
                      </c:pt>
                      <c:pt idx="9">
                        <c:v>22547303.549331669</c:v>
                      </c:pt>
                      <c:pt idx="10">
                        <c:v>24922231.791828334</c:v>
                      </c:pt>
                      <c:pt idx="11">
                        <c:v>27259325.640110001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C48-491B-A845-97ABF23A81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origin'!$M$83</c15:sqref>
                        </c15:formulaRef>
                      </c:ext>
                    </c:extLst>
                    <c:strCache>
                      <c:ptCount val="1"/>
                      <c:pt idx="0">
                        <c:v>21/22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'Non Brazil Arabica origin'!$N$83:$Y$83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2006375.9702233337</c:v>
                      </c:pt>
                      <c:pt idx="1">
                        <c:v>4209467.8051683335</c:v>
                      </c:pt>
                      <c:pt idx="2">
                        <c:v>6586695.2794183334</c:v>
                      </c:pt>
                      <c:pt idx="3">
                        <c:v>8869363.0870283339</c:v>
                      </c:pt>
                      <c:pt idx="4">
                        <c:v>11084420.600946669</c:v>
                      </c:pt>
                      <c:pt idx="5">
                        <c:v>13662816.292298336</c:v>
                      </c:pt>
                      <c:pt idx="6">
                        <c:v>15650999.099815002</c:v>
                      </c:pt>
                      <c:pt idx="7">
                        <c:v>17736349.599675003</c:v>
                      </c:pt>
                      <c:pt idx="8">
                        <c:v>20035166.680308338</c:v>
                      </c:pt>
                      <c:pt idx="9">
                        <c:v>22397629.798038337</c:v>
                      </c:pt>
                      <c:pt idx="10">
                        <c:v>24489542.768605005</c:v>
                      </c:pt>
                      <c:pt idx="11">
                        <c:v>26412601.193493336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C48-491B-A845-97ABF23A811E}"/>
                  </c:ext>
                </c:extLst>
              </c15:ser>
            </c15:filteredLineSeries>
          </c:ext>
        </c:extLst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0000064692621637E-2"/>
          <c:y val="7.1103117505995198E-2"/>
          <c:w val="0.87535198177220686"/>
          <c:h val="7.8837213693612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'Brazil Arabica'!$C$5</c:f>
          <c:strCache>
            <c:ptCount val="1"/>
            <c:pt idx="0">
              <c:v>Brazil : Arabica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'Brazil Arabica'!$B$12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5">
                    <a:lumMod val="20000"/>
                    <a:lumOff val="80000"/>
                  </a:schemeClr>
                </a:solidFill>
                <a:round/>
              </a:ln>
              <a:effectLst/>
            </c:spPr>
          </c:marker>
          <c:cat>
            <c:strRef>
              <c:f>'Brazil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Arabica'!$C$12:$N$12</c:f>
              <c:numCache>
                <c:formatCode>#,##0</c:formatCode>
                <c:ptCount val="12"/>
                <c:pt idx="0">
                  <c:v>2964909</c:v>
                </c:pt>
                <c:pt idx="1">
                  <c:v>2757885</c:v>
                </c:pt>
                <c:pt idx="2">
                  <c:v>2409528</c:v>
                </c:pt>
                <c:pt idx="3">
                  <c:v>2922387</c:v>
                </c:pt>
                <c:pt idx="4">
                  <c:v>2477429</c:v>
                </c:pt>
                <c:pt idx="5">
                  <c:v>2898784</c:v>
                </c:pt>
                <c:pt idx="6">
                  <c:v>2951535</c:v>
                </c:pt>
                <c:pt idx="7">
                  <c:v>2457707</c:v>
                </c:pt>
                <c:pt idx="8">
                  <c:v>2082022</c:v>
                </c:pt>
                <c:pt idx="9">
                  <c:v>2421146</c:v>
                </c:pt>
                <c:pt idx="10">
                  <c:v>2766801</c:v>
                </c:pt>
                <c:pt idx="11">
                  <c:v>3225249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64-4174-A440-F8E1879B3B72}"/>
            </c:ext>
          </c:extLst>
        </c:ser>
        <c:ser>
          <c:idx val="6"/>
          <c:order val="6"/>
          <c:tx>
            <c:strRef>
              <c:f>'Brazil Arabica'!$B$13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'Brazil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Arabica'!$C$13:$N$13</c:f>
              <c:numCache>
                <c:formatCode>#,##0</c:formatCode>
                <c:ptCount val="12"/>
                <c:pt idx="0">
                  <c:v>3698601</c:v>
                </c:pt>
                <c:pt idx="1">
                  <c:v>4080675</c:v>
                </c:pt>
                <c:pt idx="2">
                  <c:v>3642367</c:v>
                </c:pt>
                <c:pt idx="3">
                  <c:v>3138628</c:v>
                </c:pt>
                <c:pt idx="4">
                  <c:v>3357482</c:v>
                </c:pt>
                <c:pt idx="5">
                  <c:v>3119681</c:v>
                </c:pt>
                <c:pt idx="6">
                  <c:v>3045766</c:v>
                </c:pt>
                <c:pt idx="7">
                  <c:v>2083261</c:v>
                </c:pt>
                <c:pt idx="8">
                  <c:v>2378747</c:v>
                </c:pt>
                <c:pt idx="9">
                  <c:v>2164289</c:v>
                </c:pt>
                <c:pt idx="10">
                  <c:v>2126832</c:v>
                </c:pt>
                <c:pt idx="11">
                  <c:v>2480975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64-4174-A440-F8E1879B3B72}"/>
            </c:ext>
          </c:extLst>
        </c:ser>
        <c:ser>
          <c:idx val="7"/>
          <c:order val="7"/>
          <c:tx>
            <c:strRef>
              <c:f>'Brazil Arabica'!$B$14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'Brazil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Arabica'!$C$14:$N$14</c:f>
              <c:numCache>
                <c:formatCode>#,##0</c:formatCode>
                <c:ptCount val="12"/>
                <c:pt idx="0">
                  <c:v>2968402</c:v>
                </c:pt>
                <c:pt idx="1">
                  <c:v>2627646</c:v>
                </c:pt>
                <c:pt idx="2">
                  <c:v>3290070</c:v>
                </c:pt>
                <c:pt idx="3">
                  <c:v>2993663</c:v>
                </c:pt>
                <c:pt idx="4">
                  <c:v>3145752</c:v>
                </c:pt>
                <c:pt idx="5">
                  <c:v>3314870</c:v>
                </c:pt>
                <c:pt idx="6">
                  <c:v>2635893</c:v>
                </c:pt>
                <c:pt idx="7">
                  <c:v>2529574</c:v>
                </c:pt>
                <c:pt idx="8">
                  <c:v>2688245</c:v>
                </c:pt>
                <c:pt idx="9">
                  <c:v>2057164</c:v>
                </c:pt>
                <c:pt idx="10">
                  <c:v>2384413</c:v>
                </c:pt>
                <c:pt idx="11">
                  <c:v>3001106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64-4174-A440-F8E1879B3B72}"/>
            </c:ext>
          </c:extLst>
        </c:ser>
        <c:ser>
          <c:idx val="8"/>
          <c:order val="8"/>
          <c:tx>
            <c:strRef>
              <c:f>'Brazil Arabica'!$B$15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'Brazil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Arabica'!$C$15:$N$15</c:f>
              <c:numCache>
                <c:formatCode>#,##0</c:formatCode>
                <c:ptCount val="12"/>
                <c:pt idx="0">
                  <c:v>3167035</c:v>
                </c:pt>
                <c:pt idx="1">
                  <c:v>3351127</c:v>
                </c:pt>
                <c:pt idx="2">
                  <c:v>2834772</c:v>
                </c:pt>
                <c:pt idx="3">
                  <c:v>2435424</c:v>
                </c:pt>
                <c:pt idx="4">
                  <c:v>2058344</c:v>
                </c:pt>
                <c:pt idx="5">
                  <c:v>2690288</c:v>
                </c:pt>
                <c:pt idx="6">
                  <c:v>2300611</c:v>
                </c:pt>
                <c:pt idx="7">
                  <c:v>1985129</c:v>
                </c:pt>
                <c:pt idx="8">
                  <c:v>2065344</c:v>
                </c:pt>
                <c:pt idx="9">
                  <c:v>2202881</c:v>
                </c:pt>
                <c:pt idx="10">
                  <c:v>2661527</c:v>
                </c:pt>
                <c:pt idx="11">
                  <c:v>2418736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64-4174-A440-F8E1879B3B72}"/>
            </c:ext>
          </c:extLst>
        </c:ser>
        <c:ser>
          <c:idx val="9"/>
          <c:order val="9"/>
          <c:tx>
            <c:strRef>
              <c:f>'Brazil Arabica'!$B$16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'Brazil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Arabica'!$C$16:$N$16</c:f>
              <c:numCache>
                <c:formatCode>#,##0</c:formatCode>
                <c:ptCount val="12"/>
                <c:pt idx="0">
                  <c:v>3446494</c:v>
                </c:pt>
                <c:pt idx="1">
                  <c:v>3278414</c:v>
                </c:pt>
                <c:pt idx="2">
                  <c:v>3273181</c:v>
                </c:pt>
                <c:pt idx="3">
                  <c:v>3275592</c:v>
                </c:pt>
                <c:pt idx="4">
                  <c:v>2822230</c:v>
                </c:pt>
                <c:pt idx="5">
                  <c:v>3148834</c:v>
                </c:pt>
                <c:pt idx="6">
                  <c:v>3244334</c:v>
                </c:pt>
                <c:pt idx="7">
                  <c:v>3178112</c:v>
                </c:pt>
                <c:pt idx="8">
                  <c:v>2496148</c:v>
                </c:pt>
                <c:pt idx="9">
                  <c:v>2497750</c:v>
                </c:pt>
                <c:pt idx="10">
                  <c:v>2542992</c:v>
                </c:pt>
                <c:pt idx="11">
                  <c:v>3298970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764-4174-A440-F8E1879B3B72}"/>
            </c:ext>
          </c:extLst>
        </c:ser>
        <c:ser>
          <c:idx val="10"/>
          <c:order val="10"/>
          <c:tx>
            <c:strRef>
              <c:f>'Brazil Arabica'!$B$17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'Brazil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Arabica'!$C$17:$N$17</c:f>
              <c:numCache>
                <c:formatCode>#,##0</c:formatCode>
                <c:ptCount val="12"/>
                <c:pt idx="0">
                  <c:v>3884747</c:v>
                </c:pt>
                <c:pt idx="1">
                  <c:v>3578374</c:v>
                </c:pt>
                <c:pt idx="2">
                  <c:v>3900000</c:v>
                </c:pt>
                <c:pt idx="3">
                  <c:v>3301696</c:v>
                </c:pt>
                <c:pt idx="4">
                  <c:v>2907707</c:v>
                </c:pt>
                <c:pt idx="5">
                  <c:v>2824160</c:v>
                </c:pt>
                <c:pt idx="6">
                  <c:v>2688108</c:v>
                </c:pt>
                <c:pt idx="7">
                  <c:v>2413181</c:v>
                </c:pt>
                <c:pt idx="8">
                  <c:v>1828485</c:v>
                </c:pt>
                <c:pt idx="9">
                  <c:v>1992423</c:v>
                </c:pt>
                <c:pt idx="10">
                  <c:v>2279622</c:v>
                </c:pt>
                <c:pt idx="11">
                  <c:v>2977456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64-4174-A440-F8E1879B3B72}"/>
            </c:ext>
          </c:extLst>
        </c:ser>
        <c:ser>
          <c:idx val="11"/>
          <c:order val="11"/>
          <c:tx>
            <c:strRef>
              <c:f>'Brazil Arabica'!$B$18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'Brazil Arabica'!$C$6:$N$6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Arabica'!$C$18:$N$18</c:f>
              <c:numCache>
                <c:formatCode>#,##0</c:formatCode>
                <c:ptCount val="12"/>
                <c:pt idx="0">
                  <c:v>3388002</c:v>
                </c:pt>
                <c:pt idx="1">
                  <c:v>3064278</c:v>
                </c:pt>
                <c:pt idx="2">
                  <c:v>2646077</c:v>
                </c:pt>
                <c:pt idx="3">
                  <c:v>2354885</c:v>
                </c:pt>
                <c:pt idx="4">
                  <c:v>2069721</c:v>
                </c:pt>
                <c:pt idx="5">
                  <c:v>2295458</c:v>
                </c:pt>
                <c:pt idx="6">
                  <c:v>2284296</c:v>
                </c:pt>
                <c:pt idx="7">
                  <c:v>2144329</c:v>
                </c:pt>
                <c:pt idx="8">
                  <c:v>2019742</c:v>
                </c:pt>
                <c:pt idx="9">
                  <c:v>1992423</c:v>
                </c:pt>
                <c:pt idx="10">
                  <c:v>2959308</c:v>
                </c:pt>
                <c:pt idx="11">
                  <c:v>2766290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C-4626-98E1-9EC3A74B6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'Brazil Arabica'!$B$7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'Brazil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'Brazil Arabica'!$C$7:$N$7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2814343</c:v>
                      </c:pt>
                      <c:pt idx="1">
                        <c:v>2492353</c:v>
                      </c:pt>
                      <c:pt idx="2">
                        <c:v>2433890</c:v>
                      </c:pt>
                      <c:pt idx="3">
                        <c:v>2495627</c:v>
                      </c:pt>
                      <c:pt idx="4">
                        <c:v>2229124</c:v>
                      </c:pt>
                      <c:pt idx="5">
                        <c:v>2469248</c:v>
                      </c:pt>
                      <c:pt idx="6">
                        <c:v>2353534</c:v>
                      </c:pt>
                      <c:pt idx="7">
                        <c:v>2218582</c:v>
                      </c:pt>
                      <c:pt idx="8">
                        <c:v>1936822</c:v>
                      </c:pt>
                      <c:pt idx="9">
                        <c:v>2135974</c:v>
                      </c:pt>
                      <c:pt idx="10">
                        <c:v>2197643</c:v>
                      </c:pt>
                      <c:pt idx="11">
                        <c:v>2574174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764-4174-A440-F8E1879B3B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Arabica'!$B$8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Arabica'!$C$8:$N$8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2845902</c:v>
                      </c:pt>
                      <c:pt idx="1">
                        <c:v>2945838</c:v>
                      </c:pt>
                      <c:pt idx="2">
                        <c:v>2822715</c:v>
                      </c:pt>
                      <c:pt idx="3">
                        <c:v>2459977</c:v>
                      </c:pt>
                      <c:pt idx="4">
                        <c:v>2552313</c:v>
                      </c:pt>
                      <c:pt idx="5">
                        <c:v>2708814</c:v>
                      </c:pt>
                      <c:pt idx="6">
                        <c:v>2124112</c:v>
                      </c:pt>
                      <c:pt idx="7">
                        <c:v>2160920</c:v>
                      </c:pt>
                      <c:pt idx="8">
                        <c:v>2013709</c:v>
                      </c:pt>
                      <c:pt idx="9">
                        <c:v>1610508</c:v>
                      </c:pt>
                      <c:pt idx="10">
                        <c:v>2656540</c:v>
                      </c:pt>
                      <c:pt idx="11">
                        <c:v>2666802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764-4174-A440-F8E1879B3B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Arabica'!$B$9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Arabica'!$C$9:$N$9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3006622</c:v>
                      </c:pt>
                      <c:pt idx="1">
                        <c:v>2924414</c:v>
                      </c:pt>
                      <c:pt idx="2">
                        <c:v>2901287</c:v>
                      </c:pt>
                      <c:pt idx="3">
                        <c:v>2429067</c:v>
                      </c:pt>
                      <c:pt idx="4">
                        <c:v>2304537</c:v>
                      </c:pt>
                      <c:pt idx="5">
                        <c:v>2436589</c:v>
                      </c:pt>
                      <c:pt idx="6">
                        <c:v>1937245</c:v>
                      </c:pt>
                      <c:pt idx="7">
                        <c:v>2305022</c:v>
                      </c:pt>
                      <c:pt idx="8">
                        <c:v>1875068</c:v>
                      </c:pt>
                      <c:pt idx="9">
                        <c:v>1578300</c:v>
                      </c:pt>
                      <c:pt idx="10">
                        <c:v>2274935</c:v>
                      </c:pt>
                      <c:pt idx="11">
                        <c:v>2130292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764-4174-A440-F8E1879B3B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Arabica'!$B$10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Arabica'!$C$10:$N$10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2570753</c:v>
                      </c:pt>
                      <c:pt idx="1">
                        <c:v>2683908</c:v>
                      </c:pt>
                      <c:pt idx="2">
                        <c:v>2597940</c:v>
                      </c:pt>
                      <c:pt idx="3">
                        <c:v>2519381</c:v>
                      </c:pt>
                      <c:pt idx="4">
                        <c:v>2208007</c:v>
                      </c:pt>
                      <c:pt idx="5">
                        <c:v>2237524</c:v>
                      </c:pt>
                      <c:pt idx="6">
                        <c:v>2026986</c:v>
                      </c:pt>
                      <c:pt idx="7">
                        <c:v>1440854</c:v>
                      </c:pt>
                      <c:pt idx="8">
                        <c:v>1986253</c:v>
                      </c:pt>
                      <c:pt idx="9">
                        <c:v>1755475</c:v>
                      </c:pt>
                      <c:pt idx="10">
                        <c:v>2622290</c:v>
                      </c:pt>
                      <c:pt idx="11">
                        <c:v>2549930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764-4174-A440-F8E1879B3B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Arabica'!$B$11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Arabica'!$C$6:$N$6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Arabica'!$C$11:$N$11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3240734</c:v>
                      </c:pt>
                      <c:pt idx="1">
                        <c:v>3362444</c:v>
                      </c:pt>
                      <c:pt idx="2">
                        <c:v>3462143</c:v>
                      </c:pt>
                      <c:pt idx="3">
                        <c:v>3073902</c:v>
                      </c:pt>
                      <c:pt idx="4">
                        <c:v>3051113</c:v>
                      </c:pt>
                      <c:pt idx="5">
                        <c:v>2557882</c:v>
                      </c:pt>
                      <c:pt idx="6">
                        <c:v>2706379</c:v>
                      </c:pt>
                      <c:pt idx="7">
                        <c:v>3025754</c:v>
                      </c:pt>
                      <c:pt idx="8">
                        <c:v>2355971</c:v>
                      </c:pt>
                      <c:pt idx="9">
                        <c:v>2438600</c:v>
                      </c:pt>
                      <c:pt idx="10">
                        <c:v>2570815</c:v>
                      </c:pt>
                      <c:pt idx="11">
                        <c:v>2800150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764-4174-A440-F8E1879B3B72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84471554929316817"/>
          <c:h val="7.0865318269733926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'Brazil Arabica'!$A$66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'Brazil Arabica'!$B$65:$M$65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Arabica'!$B$66:$M$66</c:f>
              <c:numCache>
                <c:formatCode>#,##0</c:formatCode>
                <c:ptCount val="12"/>
                <c:pt idx="0">
                  <c:v>3388002</c:v>
                </c:pt>
                <c:pt idx="1">
                  <c:v>3064278</c:v>
                </c:pt>
                <c:pt idx="2">
                  <c:v>2646077</c:v>
                </c:pt>
                <c:pt idx="3">
                  <c:v>2354885</c:v>
                </c:pt>
                <c:pt idx="4">
                  <c:v>2069721</c:v>
                </c:pt>
                <c:pt idx="5">
                  <c:v>2295458</c:v>
                </c:pt>
                <c:pt idx="6">
                  <c:v>2284296</c:v>
                </c:pt>
                <c:pt idx="7">
                  <c:v>2144329</c:v>
                </c:pt>
                <c:pt idx="8">
                  <c:v>2019742</c:v>
                </c:pt>
                <c:pt idx="9">
                  <c:v>1992423</c:v>
                </c:pt>
                <c:pt idx="10">
                  <c:v>2959308</c:v>
                </c:pt>
                <c:pt idx="11">
                  <c:v>2766290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F-458E-BD06-17C8FFF01DAD}"/>
            </c:ext>
          </c:extLst>
        </c:ser>
        <c:ser>
          <c:idx val="1"/>
          <c:order val="1"/>
          <c:tx>
            <c:strRef>
              <c:f>'Brazil Arabica'!$A$67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'Brazil Arabica'!$B$65:$M$65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Arabica'!$B$67:$M$67</c:f>
              <c:numCache>
                <c:formatCode>#,##0</c:formatCode>
                <c:ptCount val="12"/>
                <c:pt idx="0">
                  <c:v>2570753</c:v>
                </c:pt>
                <c:pt idx="1">
                  <c:v>2492353</c:v>
                </c:pt>
                <c:pt idx="2">
                  <c:v>2409528</c:v>
                </c:pt>
                <c:pt idx="3">
                  <c:v>2429067</c:v>
                </c:pt>
                <c:pt idx="4">
                  <c:v>2058344</c:v>
                </c:pt>
                <c:pt idx="5">
                  <c:v>2237524</c:v>
                </c:pt>
                <c:pt idx="6">
                  <c:v>1937245</c:v>
                </c:pt>
                <c:pt idx="7">
                  <c:v>1440854</c:v>
                </c:pt>
                <c:pt idx="8">
                  <c:v>1828485</c:v>
                </c:pt>
                <c:pt idx="9">
                  <c:v>1578300</c:v>
                </c:pt>
                <c:pt idx="10">
                  <c:v>2126832</c:v>
                </c:pt>
                <c:pt idx="11">
                  <c:v>2130292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2F-458E-BD06-17C8FFF01DAD}"/>
            </c:ext>
          </c:extLst>
        </c:ser>
        <c:ser>
          <c:idx val="2"/>
          <c:order val="2"/>
          <c:tx>
            <c:strRef>
              <c:f>'Brazil Arabica'!$A$68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'Brazil Arabica'!$B$65:$M$65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Arabica'!$B$68:$M$68</c:f>
              <c:numCache>
                <c:formatCode>#,##0</c:formatCode>
                <c:ptCount val="12"/>
                <c:pt idx="0">
                  <c:v>3884747</c:v>
                </c:pt>
                <c:pt idx="1">
                  <c:v>4080675</c:v>
                </c:pt>
                <c:pt idx="2">
                  <c:v>3900000</c:v>
                </c:pt>
                <c:pt idx="3">
                  <c:v>3301696</c:v>
                </c:pt>
                <c:pt idx="4">
                  <c:v>3357482</c:v>
                </c:pt>
                <c:pt idx="5">
                  <c:v>3314870</c:v>
                </c:pt>
                <c:pt idx="6">
                  <c:v>3244334</c:v>
                </c:pt>
                <c:pt idx="7">
                  <c:v>3178112</c:v>
                </c:pt>
                <c:pt idx="8">
                  <c:v>2688245</c:v>
                </c:pt>
                <c:pt idx="9">
                  <c:v>2497750</c:v>
                </c:pt>
                <c:pt idx="10">
                  <c:v>2766801</c:v>
                </c:pt>
                <c:pt idx="11">
                  <c:v>3298970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2F-458E-BD06-17C8FFF01DAD}"/>
            </c:ext>
          </c:extLst>
        </c:ser>
        <c:ser>
          <c:idx val="3"/>
          <c:order val="3"/>
          <c:tx>
            <c:strRef>
              <c:f>'Brazil Arabica'!$A$69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'Brazil Arabica'!$B$65:$M$65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Arabica'!$B$69:$M$69</c:f>
              <c:numCache>
                <c:formatCode>#,##0</c:formatCode>
                <c:ptCount val="12"/>
                <c:pt idx="0">
                  <c:v>3355031.3333333335</c:v>
                </c:pt>
                <c:pt idx="1">
                  <c:v>3279020.1666666665</c:v>
                </c:pt>
                <c:pt idx="2">
                  <c:v>3224986.3333333335</c:v>
                </c:pt>
                <c:pt idx="3">
                  <c:v>3011231.6666666665</c:v>
                </c:pt>
                <c:pt idx="4">
                  <c:v>2794824</c:v>
                </c:pt>
                <c:pt idx="5">
                  <c:v>2999436.1666666665</c:v>
                </c:pt>
                <c:pt idx="6">
                  <c:v>2811041.1666666665</c:v>
                </c:pt>
                <c:pt idx="7">
                  <c:v>2441160.6666666665</c:v>
                </c:pt>
                <c:pt idx="8">
                  <c:v>2256498.5</c:v>
                </c:pt>
                <c:pt idx="9">
                  <c:v>2222608.8333333335</c:v>
                </c:pt>
                <c:pt idx="10">
                  <c:v>2460364.5</c:v>
                </c:pt>
                <c:pt idx="11">
                  <c:v>2900415.3333333335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2F-458E-BD06-17C8FFF01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'Brazil Arabica'!$I$84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'Brazil Arabica'!$H$85:$H$208</c:f>
              <c:strCache>
                <c:ptCount val="124"/>
                <c:pt idx="0">
                  <c:v>Sep'14/15</c:v>
                </c:pt>
                <c:pt idx="1">
                  <c:v>Oct'15/16</c:v>
                </c:pt>
                <c:pt idx="2">
                  <c:v>Nov'15/16</c:v>
                </c:pt>
                <c:pt idx="3">
                  <c:v>Dec'15/16</c:v>
                </c:pt>
                <c:pt idx="4">
                  <c:v>Jan'15/16</c:v>
                </c:pt>
                <c:pt idx="5">
                  <c:v>Feb'15/16</c:v>
                </c:pt>
                <c:pt idx="6">
                  <c:v>Mar'15/16</c:v>
                </c:pt>
                <c:pt idx="7">
                  <c:v>Apr'15/16</c:v>
                </c:pt>
                <c:pt idx="8">
                  <c:v>May'15/16</c:v>
                </c:pt>
                <c:pt idx="9">
                  <c:v>Jun'15/16</c:v>
                </c:pt>
                <c:pt idx="10">
                  <c:v>Jul'15/16</c:v>
                </c:pt>
                <c:pt idx="11">
                  <c:v>Aug'15/16</c:v>
                </c:pt>
                <c:pt idx="12">
                  <c:v>Sep'15/16</c:v>
                </c:pt>
                <c:pt idx="13">
                  <c:v>Oct'16/17</c:v>
                </c:pt>
                <c:pt idx="14">
                  <c:v>Nov'16/17</c:v>
                </c:pt>
                <c:pt idx="15">
                  <c:v>Dec'16/17</c:v>
                </c:pt>
                <c:pt idx="16">
                  <c:v>Jan'16/17</c:v>
                </c:pt>
                <c:pt idx="17">
                  <c:v>Feb'16/17</c:v>
                </c:pt>
                <c:pt idx="18">
                  <c:v>Mar'16/17</c:v>
                </c:pt>
                <c:pt idx="19">
                  <c:v>Apr'16/17</c:v>
                </c:pt>
                <c:pt idx="20">
                  <c:v>May'16/17</c:v>
                </c:pt>
                <c:pt idx="21">
                  <c:v>Jun'16/17</c:v>
                </c:pt>
                <c:pt idx="22">
                  <c:v>Jul'16/17</c:v>
                </c:pt>
                <c:pt idx="23">
                  <c:v>Aug'16/17</c:v>
                </c:pt>
                <c:pt idx="24">
                  <c:v>Sep'16/17</c:v>
                </c:pt>
                <c:pt idx="25">
                  <c:v>Oct'17/18</c:v>
                </c:pt>
                <c:pt idx="26">
                  <c:v>Nov'17/18</c:v>
                </c:pt>
                <c:pt idx="27">
                  <c:v>Dec'17/18</c:v>
                </c:pt>
                <c:pt idx="28">
                  <c:v>Jan'17/18</c:v>
                </c:pt>
                <c:pt idx="29">
                  <c:v>Feb'17/18</c:v>
                </c:pt>
                <c:pt idx="30">
                  <c:v>Mar'17/18</c:v>
                </c:pt>
                <c:pt idx="31">
                  <c:v>Apr'17/18</c:v>
                </c:pt>
                <c:pt idx="32">
                  <c:v>May'17/18</c:v>
                </c:pt>
                <c:pt idx="33">
                  <c:v>Jun'17/18</c:v>
                </c:pt>
                <c:pt idx="34">
                  <c:v>Jul'17/18</c:v>
                </c:pt>
                <c:pt idx="35">
                  <c:v>Aug'17/18</c:v>
                </c:pt>
                <c:pt idx="36">
                  <c:v>Sep'17/18</c:v>
                </c:pt>
                <c:pt idx="37">
                  <c:v>Oct'18/19</c:v>
                </c:pt>
                <c:pt idx="38">
                  <c:v>Nov'18/19</c:v>
                </c:pt>
                <c:pt idx="39">
                  <c:v>Dec'18/19</c:v>
                </c:pt>
                <c:pt idx="40">
                  <c:v>Jan'18/19</c:v>
                </c:pt>
                <c:pt idx="41">
                  <c:v>Feb'18/19</c:v>
                </c:pt>
                <c:pt idx="42">
                  <c:v>Mar'18/19</c:v>
                </c:pt>
                <c:pt idx="43">
                  <c:v>Apr'18/19</c:v>
                </c:pt>
                <c:pt idx="44">
                  <c:v>May'18/19</c:v>
                </c:pt>
                <c:pt idx="45">
                  <c:v>Jun'18/19</c:v>
                </c:pt>
                <c:pt idx="46">
                  <c:v>Jul'18/19</c:v>
                </c:pt>
                <c:pt idx="47">
                  <c:v>Aug'18/19</c:v>
                </c:pt>
                <c:pt idx="48">
                  <c:v>Sep'18/19</c:v>
                </c:pt>
                <c:pt idx="49">
                  <c:v>Oct'19/20</c:v>
                </c:pt>
                <c:pt idx="50">
                  <c:v>Nov'19/20</c:v>
                </c:pt>
                <c:pt idx="51">
                  <c:v>Dec'19/20</c:v>
                </c:pt>
                <c:pt idx="52">
                  <c:v>Jan'19/20</c:v>
                </c:pt>
                <c:pt idx="53">
                  <c:v>Feb'19/20</c:v>
                </c:pt>
                <c:pt idx="54">
                  <c:v>Mar'19/20</c:v>
                </c:pt>
                <c:pt idx="55">
                  <c:v>Apr'19/20</c:v>
                </c:pt>
                <c:pt idx="56">
                  <c:v>May'19/20</c:v>
                </c:pt>
                <c:pt idx="57">
                  <c:v>Jun'19/20</c:v>
                </c:pt>
                <c:pt idx="58">
                  <c:v>Jul'19/20</c:v>
                </c:pt>
                <c:pt idx="59">
                  <c:v>Aug'19/20</c:v>
                </c:pt>
                <c:pt idx="60">
                  <c:v>Sep'19/20</c:v>
                </c:pt>
                <c:pt idx="61">
                  <c:v>Oct'20/21</c:v>
                </c:pt>
                <c:pt idx="62">
                  <c:v>Nov'20/21</c:v>
                </c:pt>
                <c:pt idx="63">
                  <c:v>Dec'20/21</c:v>
                </c:pt>
                <c:pt idx="64">
                  <c:v>Jan'20/21</c:v>
                </c:pt>
                <c:pt idx="65">
                  <c:v>Feb'20/21</c:v>
                </c:pt>
                <c:pt idx="66">
                  <c:v>Mar'20/21</c:v>
                </c:pt>
                <c:pt idx="67">
                  <c:v>Apr'20/21</c:v>
                </c:pt>
                <c:pt idx="68">
                  <c:v>May'20/21</c:v>
                </c:pt>
                <c:pt idx="69">
                  <c:v>Jun'20/21</c:v>
                </c:pt>
                <c:pt idx="70">
                  <c:v>Jul'20/21</c:v>
                </c:pt>
                <c:pt idx="71">
                  <c:v>Aug'20/21</c:v>
                </c:pt>
                <c:pt idx="72">
                  <c:v>Sep'20/21</c:v>
                </c:pt>
                <c:pt idx="73">
                  <c:v>Oct'21/22</c:v>
                </c:pt>
                <c:pt idx="74">
                  <c:v>Nov'21/22</c:v>
                </c:pt>
                <c:pt idx="75">
                  <c:v>Dec'21/22</c:v>
                </c:pt>
                <c:pt idx="76">
                  <c:v>Jan'21/22</c:v>
                </c:pt>
                <c:pt idx="77">
                  <c:v>Feb'21/22</c:v>
                </c:pt>
                <c:pt idx="78">
                  <c:v>Mar'21/22</c:v>
                </c:pt>
                <c:pt idx="79">
                  <c:v>Apr'21/22</c:v>
                </c:pt>
                <c:pt idx="80">
                  <c:v>May'21/22</c:v>
                </c:pt>
                <c:pt idx="81">
                  <c:v>Jun'21/22</c:v>
                </c:pt>
                <c:pt idx="82">
                  <c:v>Jul'21/22</c:v>
                </c:pt>
                <c:pt idx="83">
                  <c:v>Aug'21/22</c:v>
                </c:pt>
                <c:pt idx="84">
                  <c:v>Sep'21/22</c:v>
                </c:pt>
                <c:pt idx="85">
                  <c:v>Oct'22/23</c:v>
                </c:pt>
                <c:pt idx="86">
                  <c:v>Nov'22/23</c:v>
                </c:pt>
                <c:pt idx="87">
                  <c:v>Dec'22/23</c:v>
                </c:pt>
                <c:pt idx="88">
                  <c:v>Jan'22/23</c:v>
                </c:pt>
                <c:pt idx="89">
                  <c:v>Feb'22/23</c:v>
                </c:pt>
                <c:pt idx="90">
                  <c:v>Mar'22/23</c:v>
                </c:pt>
                <c:pt idx="91">
                  <c:v>Apr'22/23</c:v>
                </c:pt>
                <c:pt idx="92">
                  <c:v>May'22/23</c:v>
                </c:pt>
                <c:pt idx="93">
                  <c:v>Jun'22/23</c:v>
                </c:pt>
                <c:pt idx="94">
                  <c:v>Jul'22/23</c:v>
                </c:pt>
                <c:pt idx="95">
                  <c:v>Aug'22/23</c:v>
                </c:pt>
                <c:pt idx="96">
                  <c:v>Sep'22/23</c:v>
                </c:pt>
                <c:pt idx="97">
                  <c:v>Oct'23/24</c:v>
                </c:pt>
                <c:pt idx="98">
                  <c:v>Nov'23/24</c:v>
                </c:pt>
                <c:pt idx="99">
                  <c:v>Dec'23/24</c:v>
                </c:pt>
                <c:pt idx="100">
                  <c:v>Jan'23/24</c:v>
                </c:pt>
                <c:pt idx="101">
                  <c:v>Feb'23/24</c:v>
                </c:pt>
                <c:pt idx="102">
                  <c:v>Mar'23/24</c:v>
                </c:pt>
                <c:pt idx="103">
                  <c:v>Apr'23/24</c:v>
                </c:pt>
                <c:pt idx="104">
                  <c:v>May'23/24</c:v>
                </c:pt>
                <c:pt idx="105">
                  <c:v>Jun'23/24</c:v>
                </c:pt>
                <c:pt idx="106">
                  <c:v>Jul'23/24</c:v>
                </c:pt>
                <c:pt idx="107">
                  <c:v>Aug'23/24</c:v>
                </c:pt>
                <c:pt idx="108">
                  <c:v>Sep'23/24</c:v>
                </c:pt>
                <c:pt idx="109">
                  <c:v>Oct'24/25</c:v>
                </c:pt>
                <c:pt idx="110">
                  <c:v>Nov'24/25</c:v>
                </c:pt>
                <c:pt idx="111">
                  <c:v>Dec'24/25</c:v>
                </c:pt>
                <c:pt idx="112">
                  <c:v>Jan'24/25</c:v>
                </c:pt>
                <c:pt idx="113">
                  <c:v>Feb'24/25</c:v>
                </c:pt>
                <c:pt idx="114">
                  <c:v>Mar'24/25</c:v>
                </c:pt>
                <c:pt idx="115">
                  <c:v>Apr'24/25</c:v>
                </c:pt>
                <c:pt idx="116">
                  <c:v>May'24/25</c:v>
                </c:pt>
                <c:pt idx="117">
                  <c:v>Jun'24/25</c:v>
                </c:pt>
                <c:pt idx="118">
                  <c:v>Jul'24/25</c:v>
                </c:pt>
                <c:pt idx="119">
                  <c:v>Aug'24/25</c:v>
                </c:pt>
                <c:pt idx="120">
                  <c:v>Sep'24/25</c:v>
                </c:pt>
                <c:pt idx="121">
                  <c:v>Oct'25/26</c:v>
                </c:pt>
                <c:pt idx="122">
                  <c:v>Nov'25/26</c:v>
                </c:pt>
                <c:pt idx="123">
                  <c:v>Dec'25/26</c:v>
                </c:pt>
              </c:strCache>
            </c:strRef>
          </c:cat>
          <c:val>
            <c:numRef>
              <c:f>'Brazil Arabica'!$I$85:$I$208</c:f>
              <c:numCache>
                <c:formatCode>General</c:formatCode>
                <c:ptCount val="124"/>
                <c:pt idx="0">
                  <c:v>28.351313999999999</c:v>
                </c:pt>
                <c:pt idx="1">
                  <c:v>28.382873</c:v>
                </c:pt>
                <c:pt idx="2">
                  <c:v>28.836358000000001</c:v>
                </c:pt>
                <c:pt idx="3">
                  <c:v>29.225183000000001</c:v>
                </c:pt>
                <c:pt idx="4">
                  <c:v>29.189533000000001</c:v>
                </c:pt>
                <c:pt idx="5">
                  <c:v>29.512722</c:v>
                </c:pt>
                <c:pt idx="6">
                  <c:v>29.752288</c:v>
                </c:pt>
                <c:pt idx="7">
                  <c:v>29.522866</c:v>
                </c:pt>
                <c:pt idx="8">
                  <c:v>29.465204</c:v>
                </c:pt>
                <c:pt idx="9">
                  <c:v>29.542090999999999</c:v>
                </c:pt>
                <c:pt idx="10">
                  <c:v>29.016625000000001</c:v>
                </c:pt>
                <c:pt idx="11">
                  <c:v>29.475522000000002</c:v>
                </c:pt>
                <c:pt idx="12">
                  <c:v>29.568149999999999</c:v>
                </c:pt>
                <c:pt idx="13">
                  <c:v>29.728870000000001</c:v>
                </c:pt>
                <c:pt idx="14">
                  <c:v>29.707446000000001</c:v>
                </c:pt>
                <c:pt idx="15">
                  <c:v>29.786017999999999</c:v>
                </c:pt>
                <c:pt idx="16">
                  <c:v>29.755108</c:v>
                </c:pt>
                <c:pt idx="17">
                  <c:v>29.507332000000002</c:v>
                </c:pt>
                <c:pt idx="18">
                  <c:v>29.235106999999999</c:v>
                </c:pt>
                <c:pt idx="19">
                  <c:v>29.04824</c:v>
                </c:pt>
                <c:pt idx="20">
                  <c:v>29.192342</c:v>
                </c:pt>
                <c:pt idx="21">
                  <c:v>29.053701</c:v>
                </c:pt>
                <c:pt idx="22">
                  <c:v>29.021493</c:v>
                </c:pt>
                <c:pt idx="23">
                  <c:v>28.639887999999999</c:v>
                </c:pt>
                <c:pt idx="24">
                  <c:v>28.103377999999999</c:v>
                </c:pt>
                <c:pt idx="25">
                  <c:v>27.667508999999999</c:v>
                </c:pt>
                <c:pt idx="26">
                  <c:v>27.427002999999999</c:v>
                </c:pt>
                <c:pt idx="27">
                  <c:v>27.123656</c:v>
                </c:pt>
                <c:pt idx="28">
                  <c:v>27.21397</c:v>
                </c:pt>
                <c:pt idx="29">
                  <c:v>27.117439999999998</c:v>
                </c:pt>
                <c:pt idx="30">
                  <c:v>26.918375000000001</c:v>
                </c:pt>
                <c:pt idx="31">
                  <c:v>27.008116000000001</c:v>
                </c:pt>
                <c:pt idx="32">
                  <c:v>26.143948000000002</c:v>
                </c:pt>
                <c:pt idx="33">
                  <c:v>26.255133000000001</c:v>
                </c:pt>
                <c:pt idx="34">
                  <c:v>26.432307999999999</c:v>
                </c:pt>
                <c:pt idx="35">
                  <c:v>26.779662999999999</c:v>
                </c:pt>
                <c:pt idx="36">
                  <c:v>27.199300999999998</c:v>
                </c:pt>
                <c:pt idx="37">
                  <c:v>27.869281999999998</c:v>
                </c:pt>
                <c:pt idx="38">
                  <c:v>28.547817999999999</c:v>
                </c:pt>
                <c:pt idx="39">
                  <c:v>29.412020999999999</c:v>
                </c:pt>
                <c:pt idx="40">
                  <c:v>29.966542</c:v>
                </c:pt>
                <c:pt idx="41">
                  <c:v>30.809647999999999</c:v>
                </c:pt>
                <c:pt idx="42">
                  <c:v>31.130006000000002</c:v>
                </c:pt>
                <c:pt idx="43">
                  <c:v>31.809398999999999</c:v>
                </c:pt>
                <c:pt idx="44">
                  <c:v>33.394298999999997</c:v>
                </c:pt>
                <c:pt idx="45">
                  <c:v>33.764017000000003</c:v>
                </c:pt>
                <c:pt idx="46">
                  <c:v>34.447141999999999</c:v>
                </c:pt>
                <c:pt idx="47">
                  <c:v>34.395667000000003</c:v>
                </c:pt>
                <c:pt idx="48">
                  <c:v>34.645887000000002</c:v>
                </c:pt>
                <c:pt idx="49">
                  <c:v>34.370061999999997</c:v>
                </c:pt>
                <c:pt idx="50">
                  <c:v>33.765503000000002</c:v>
                </c:pt>
                <c:pt idx="51">
                  <c:v>32.712888</c:v>
                </c:pt>
                <c:pt idx="52">
                  <c:v>32.561373000000003</c:v>
                </c:pt>
                <c:pt idx="53">
                  <c:v>31.987689</c:v>
                </c:pt>
                <c:pt idx="54">
                  <c:v>32.328591000000003</c:v>
                </c:pt>
                <c:pt idx="55">
                  <c:v>32.573746999999997</c:v>
                </c:pt>
                <c:pt idx="56">
                  <c:v>32.005699999999997</c:v>
                </c:pt>
                <c:pt idx="57">
                  <c:v>31.731750999999999</c:v>
                </c:pt>
                <c:pt idx="58">
                  <c:v>31.714296999999998</c:v>
                </c:pt>
                <c:pt idx="59">
                  <c:v>31.910283</c:v>
                </c:pt>
                <c:pt idx="60">
                  <c:v>32.335382000000003</c:v>
                </c:pt>
                <c:pt idx="61">
                  <c:v>33.069074000000001</c:v>
                </c:pt>
                <c:pt idx="62">
                  <c:v>34.391863999999998</c:v>
                </c:pt>
                <c:pt idx="63">
                  <c:v>35.624702999999997</c:v>
                </c:pt>
                <c:pt idx="64">
                  <c:v>35.840944</c:v>
                </c:pt>
                <c:pt idx="65">
                  <c:v>36.720996999999997</c:v>
                </c:pt>
                <c:pt idx="66">
                  <c:v>36.941893999999998</c:v>
                </c:pt>
                <c:pt idx="67">
                  <c:v>37.036124999999998</c:v>
                </c:pt>
                <c:pt idx="68">
                  <c:v>36.661678999999999</c:v>
                </c:pt>
                <c:pt idx="69">
                  <c:v>36.958404000000002</c:v>
                </c:pt>
                <c:pt idx="70">
                  <c:v>36.701546999999998</c:v>
                </c:pt>
                <c:pt idx="71">
                  <c:v>36.061577999999997</c:v>
                </c:pt>
                <c:pt idx="72">
                  <c:v>35.317304</c:v>
                </c:pt>
                <c:pt idx="73">
                  <c:v>34.587105000000001</c:v>
                </c:pt>
                <c:pt idx="74">
                  <c:v>33.134076</c:v>
                </c:pt>
                <c:pt idx="75">
                  <c:v>32.781779</c:v>
                </c:pt>
                <c:pt idx="76">
                  <c:v>32.636814000000001</c:v>
                </c:pt>
                <c:pt idx="77">
                  <c:v>32.425083999999998</c:v>
                </c:pt>
                <c:pt idx="78">
                  <c:v>32.620272999999997</c:v>
                </c:pt>
                <c:pt idx="79">
                  <c:v>32.2104</c:v>
                </c:pt>
                <c:pt idx="80">
                  <c:v>32.656713000000003</c:v>
                </c:pt>
                <c:pt idx="81">
                  <c:v>32.966211000000001</c:v>
                </c:pt>
                <c:pt idx="82">
                  <c:v>32.859085999999998</c:v>
                </c:pt>
                <c:pt idx="83">
                  <c:v>33.116667</c:v>
                </c:pt>
                <c:pt idx="84">
                  <c:v>33.636797999999999</c:v>
                </c:pt>
                <c:pt idx="85">
                  <c:v>33.835431</c:v>
                </c:pt>
                <c:pt idx="86">
                  <c:v>34.558911999999999</c:v>
                </c:pt>
                <c:pt idx="87">
                  <c:v>34.103614</c:v>
                </c:pt>
                <c:pt idx="88">
                  <c:v>33.545375</c:v>
                </c:pt>
                <c:pt idx="89">
                  <c:v>32.457966999999996</c:v>
                </c:pt>
                <c:pt idx="90">
                  <c:v>31.833385</c:v>
                </c:pt>
                <c:pt idx="91">
                  <c:v>31.498103</c:v>
                </c:pt>
                <c:pt idx="92">
                  <c:v>30.953658000000001</c:v>
                </c:pt>
                <c:pt idx="93">
                  <c:v>30.330756999999998</c:v>
                </c:pt>
                <c:pt idx="94">
                  <c:v>30.476474</c:v>
                </c:pt>
                <c:pt idx="95">
                  <c:v>30.753588000000001</c:v>
                </c:pt>
                <c:pt idx="96">
                  <c:v>30.171218</c:v>
                </c:pt>
                <c:pt idx="97">
                  <c:v>30.450676999999999</c:v>
                </c:pt>
                <c:pt idx="98">
                  <c:v>30.377963999999999</c:v>
                </c:pt>
                <c:pt idx="99">
                  <c:v>30.816372999999999</c:v>
                </c:pt>
                <c:pt idx="100">
                  <c:v>31.656541000000001</c:v>
                </c:pt>
                <c:pt idx="101">
                  <c:v>32.420426999999997</c:v>
                </c:pt>
                <c:pt idx="102">
                  <c:v>32.878973000000002</c:v>
                </c:pt>
                <c:pt idx="103">
                  <c:v>33.822696000000001</c:v>
                </c:pt>
                <c:pt idx="104">
                  <c:v>35.015678999999999</c:v>
                </c:pt>
                <c:pt idx="105">
                  <c:v>35.446483000000001</c:v>
                </c:pt>
                <c:pt idx="106">
                  <c:v>35.741351999999999</c:v>
                </c:pt>
                <c:pt idx="107">
                  <c:v>35.622816999999998</c:v>
                </c:pt>
                <c:pt idx="108">
                  <c:v>36.503050999999999</c:v>
                </c:pt>
                <c:pt idx="109">
                  <c:v>36.941304000000002</c:v>
                </c:pt>
                <c:pt idx="110">
                  <c:v>37.241264000000001</c:v>
                </c:pt>
                <c:pt idx="111">
                  <c:v>37.868082999999999</c:v>
                </c:pt>
                <c:pt idx="112">
                  <c:v>37.894187000000002</c:v>
                </c:pt>
                <c:pt idx="113">
                  <c:v>37.979664</c:v>
                </c:pt>
                <c:pt idx="114">
                  <c:v>37.654989999999998</c:v>
                </c:pt>
                <c:pt idx="115">
                  <c:v>37.098764000000003</c:v>
                </c:pt>
                <c:pt idx="116">
                  <c:v>36.333832999999998</c:v>
                </c:pt>
                <c:pt idx="117">
                  <c:v>35.666170000000001</c:v>
                </c:pt>
                <c:pt idx="118">
                  <c:v>35.160843</c:v>
                </c:pt>
                <c:pt idx="119">
                  <c:v>34.897472999999998</c:v>
                </c:pt>
                <c:pt idx="120">
                  <c:v>34.575958999999997</c:v>
                </c:pt>
                <c:pt idx="121">
                  <c:v>34.079214</c:v>
                </c:pt>
                <c:pt idx="122">
                  <c:v>33.565117999999998</c:v>
                </c:pt>
                <c:pt idx="123">
                  <c:v>32.311194999999998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E3-46A4-90EE-6CF03C868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'Brazil Arabica'!$K$27</c:f>
          <c:strCache>
            <c:ptCount val="1"/>
            <c:pt idx="0">
              <c:v>Brazil : Arabica Exports | YTD : Oct-Sep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'Brazil Arabica'!$S$7:$S$17</c:f>
              <c:strCache>
                <c:ptCount val="11"/>
                <c:pt idx="0">
                  <c:v>14/15</c:v>
                </c:pt>
                <c:pt idx="1">
                  <c:v>15/16</c:v>
                </c:pt>
                <c:pt idx="2">
                  <c:v>16/17</c:v>
                </c:pt>
                <c:pt idx="3">
                  <c:v>17/18</c:v>
                </c:pt>
                <c:pt idx="4">
                  <c:v>18/19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  <c:pt idx="10">
                  <c:v>24/25</c:v>
                </c:pt>
              </c:strCache>
            </c:strRef>
          </c:cat>
          <c:val>
            <c:numRef>
              <c:f>'Brazil Arabica'!$T$7:$T$17</c:f>
              <c:numCache>
                <c:formatCode>#,##0</c:formatCode>
                <c:ptCount val="11"/>
                <c:pt idx="0">
                  <c:v>28351314</c:v>
                </c:pt>
                <c:pt idx="1">
                  <c:v>29568150</c:v>
                </c:pt>
                <c:pt idx="2">
                  <c:v>28103378</c:v>
                </c:pt>
                <c:pt idx="3">
                  <c:v>27199301</c:v>
                </c:pt>
                <c:pt idx="4">
                  <c:v>34645887</c:v>
                </c:pt>
                <c:pt idx="5">
                  <c:v>32335382</c:v>
                </c:pt>
                <c:pt idx="6">
                  <c:v>35317304</c:v>
                </c:pt>
                <c:pt idx="7">
                  <c:v>33636798</c:v>
                </c:pt>
                <c:pt idx="8">
                  <c:v>30171218</c:v>
                </c:pt>
                <c:pt idx="9">
                  <c:v>36503051</c:v>
                </c:pt>
                <c:pt idx="10">
                  <c:v>34575959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E-433B-99FC-CEA3A5C24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'Brazil Arabica'!$Q$27</c:f>
          <c:strCache>
            <c:ptCount val="1"/>
            <c:pt idx="0">
              <c:v>Brazil : Arabica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'Brazil Arabica'!$M$81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'Brazil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Arabica'!$N$81:$Y$81</c:f>
              <c:numCache>
                <c:formatCode>#,##0</c:formatCode>
                <c:ptCount val="12"/>
                <c:pt idx="0">
                  <c:v>2964909</c:v>
                </c:pt>
                <c:pt idx="1">
                  <c:v>5722794</c:v>
                </c:pt>
                <c:pt idx="2">
                  <c:v>8132322</c:v>
                </c:pt>
                <c:pt idx="3">
                  <c:v>11054709</c:v>
                </c:pt>
                <c:pt idx="4">
                  <c:v>13532138</c:v>
                </c:pt>
                <c:pt idx="5">
                  <c:v>16430922</c:v>
                </c:pt>
                <c:pt idx="6">
                  <c:v>19382457</c:v>
                </c:pt>
                <c:pt idx="7">
                  <c:v>21840164</c:v>
                </c:pt>
                <c:pt idx="8">
                  <c:v>23922186</c:v>
                </c:pt>
                <c:pt idx="9">
                  <c:v>26343332</c:v>
                </c:pt>
                <c:pt idx="10">
                  <c:v>29110133</c:v>
                </c:pt>
                <c:pt idx="11">
                  <c:v>32335382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EB-4D07-B0F2-EFE06C8BFB56}"/>
            </c:ext>
          </c:extLst>
        </c:ser>
        <c:ser>
          <c:idx val="1"/>
          <c:order val="1"/>
          <c:tx>
            <c:strRef>
              <c:f>'Brazil Arabica'!$M$82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'Brazil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Arabica'!$N$82:$Y$82</c:f>
              <c:numCache>
                <c:formatCode>#,##0</c:formatCode>
                <c:ptCount val="12"/>
                <c:pt idx="0">
                  <c:v>3698601</c:v>
                </c:pt>
                <c:pt idx="1">
                  <c:v>7779276</c:v>
                </c:pt>
                <c:pt idx="2">
                  <c:v>11421643</c:v>
                </c:pt>
                <c:pt idx="3">
                  <c:v>14560271</c:v>
                </c:pt>
                <c:pt idx="4">
                  <c:v>17917753</c:v>
                </c:pt>
                <c:pt idx="5">
                  <c:v>21037434</c:v>
                </c:pt>
                <c:pt idx="6">
                  <c:v>24083200</c:v>
                </c:pt>
                <c:pt idx="7">
                  <c:v>26166461</c:v>
                </c:pt>
                <c:pt idx="8">
                  <c:v>28545208</c:v>
                </c:pt>
                <c:pt idx="9">
                  <c:v>30709497</c:v>
                </c:pt>
                <c:pt idx="10">
                  <c:v>32836329</c:v>
                </c:pt>
                <c:pt idx="11">
                  <c:v>35317304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EB-4D07-B0F2-EFE06C8BFB56}"/>
            </c:ext>
          </c:extLst>
        </c:ser>
        <c:ser>
          <c:idx val="2"/>
          <c:order val="2"/>
          <c:tx>
            <c:strRef>
              <c:f>'Brazil Arabica'!$M$83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'Brazil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Arabica'!$N$83:$Y$83</c:f>
              <c:numCache>
                <c:formatCode>#,##0</c:formatCode>
                <c:ptCount val="12"/>
                <c:pt idx="0">
                  <c:v>2968402</c:v>
                </c:pt>
                <c:pt idx="1">
                  <c:v>5596048</c:v>
                </c:pt>
                <c:pt idx="2">
                  <c:v>8886118</c:v>
                </c:pt>
                <c:pt idx="3">
                  <c:v>11879781</c:v>
                </c:pt>
                <c:pt idx="4">
                  <c:v>15025533</c:v>
                </c:pt>
                <c:pt idx="5">
                  <c:v>18340403</c:v>
                </c:pt>
                <c:pt idx="6">
                  <c:v>20976296</c:v>
                </c:pt>
                <c:pt idx="7">
                  <c:v>23505870</c:v>
                </c:pt>
                <c:pt idx="8">
                  <c:v>26194115</c:v>
                </c:pt>
                <c:pt idx="9">
                  <c:v>28251279</c:v>
                </c:pt>
                <c:pt idx="10">
                  <c:v>30635692</c:v>
                </c:pt>
                <c:pt idx="11">
                  <c:v>33636798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EB-4D07-B0F2-EFE06C8BFB56}"/>
            </c:ext>
          </c:extLst>
        </c:ser>
        <c:ser>
          <c:idx val="3"/>
          <c:order val="3"/>
          <c:tx>
            <c:strRef>
              <c:f>'Brazil Arabica'!$M$84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'Brazil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Arabica'!$N$84:$Y$84</c:f>
              <c:numCache>
                <c:formatCode>#,##0</c:formatCode>
                <c:ptCount val="12"/>
                <c:pt idx="0">
                  <c:v>3167035</c:v>
                </c:pt>
                <c:pt idx="1">
                  <c:v>6518162</c:v>
                </c:pt>
                <c:pt idx="2">
                  <c:v>9352934</c:v>
                </c:pt>
                <c:pt idx="3">
                  <c:v>11788358</c:v>
                </c:pt>
                <c:pt idx="4">
                  <c:v>13846702</c:v>
                </c:pt>
                <c:pt idx="5">
                  <c:v>16536990</c:v>
                </c:pt>
                <c:pt idx="6">
                  <c:v>18837601</c:v>
                </c:pt>
                <c:pt idx="7">
                  <c:v>20822730</c:v>
                </c:pt>
                <c:pt idx="8">
                  <c:v>22888074</c:v>
                </c:pt>
                <c:pt idx="9">
                  <c:v>25090955</c:v>
                </c:pt>
                <c:pt idx="10">
                  <c:v>27752482</c:v>
                </c:pt>
                <c:pt idx="11">
                  <c:v>30171218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EB-4D07-B0F2-EFE06C8BFB56}"/>
            </c:ext>
          </c:extLst>
        </c:ser>
        <c:ser>
          <c:idx val="4"/>
          <c:order val="4"/>
          <c:tx>
            <c:strRef>
              <c:f>'Brazil Arabica'!$M$85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'Brazil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Arabica'!$N$85:$Y$85</c:f>
              <c:numCache>
                <c:formatCode>#,##0</c:formatCode>
                <c:ptCount val="12"/>
                <c:pt idx="0">
                  <c:v>3446494</c:v>
                </c:pt>
                <c:pt idx="1">
                  <c:v>6724908</c:v>
                </c:pt>
                <c:pt idx="2">
                  <c:v>9998089</c:v>
                </c:pt>
                <c:pt idx="3">
                  <c:v>13273681</c:v>
                </c:pt>
                <c:pt idx="4">
                  <c:v>16095911</c:v>
                </c:pt>
                <c:pt idx="5">
                  <c:v>19244745</c:v>
                </c:pt>
                <c:pt idx="6">
                  <c:v>22489079</c:v>
                </c:pt>
                <c:pt idx="7">
                  <c:v>25667191</c:v>
                </c:pt>
                <c:pt idx="8">
                  <c:v>28163339</c:v>
                </c:pt>
                <c:pt idx="9">
                  <c:v>30661089</c:v>
                </c:pt>
                <c:pt idx="10">
                  <c:v>33204081</c:v>
                </c:pt>
                <c:pt idx="11">
                  <c:v>36503051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EB-4D07-B0F2-EFE06C8BFB56}"/>
            </c:ext>
          </c:extLst>
        </c:ser>
        <c:ser>
          <c:idx val="5"/>
          <c:order val="5"/>
          <c:tx>
            <c:strRef>
              <c:f>'Brazil Arabica'!$M$86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'Brazil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Arabica'!$N$86:$Y$86</c:f>
              <c:numCache>
                <c:formatCode>#,##0</c:formatCode>
                <c:ptCount val="12"/>
                <c:pt idx="0">
                  <c:v>3884747</c:v>
                </c:pt>
                <c:pt idx="1">
                  <c:v>7463121</c:v>
                </c:pt>
                <c:pt idx="2">
                  <c:v>11363121</c:v>
                </c:pt>
                <c:pt idx="3">
                  <c:v>14664817</c:v>
                </c:pt>
                <c:pt idx="4">
                  <c:v>17572524</c:v>
                </c:pt>
                <c:pt idx="5">
                  <c:v>20396684</c:v>
                </c:pt>
                <c:pt idx="6">
                  <c:v>23084792</c:v>
                </c:pt>
                <c:pt idx="7">
                  <c:v>25497973</c:v>
                </c:pt>
                <c:pt idx="8">
                  <c:v>27326458</c:v>
                </c:pt>
                <c:pt idx="9">
                  <c:v>29318881</c:v>
                </c:pt>
                <c:pt idx="10">
                  <c:v>31598503</c:v>
                </c:pt>
                <c:pt idx="11">
                  <c:v>34575959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EB-4D07-B0F2-EFE06C8BFB56}"/>
            </c:ext>
          </c:extLst>
        </c:ser>
        <c:ser>
          <c:idx val="6"/>
          <c:order val="6"/>
          <c:tx>
            <c:strRef>
              <c:f>'Brazil Arabica'!$M$87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'Brazil Arabica'!$N$75:$Y$75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Arabica'!$N$87:$Y$87</c:f>
              <c:numCache>
                <c:formatCode>#,##0</c:formatCode>
                <c:ptCount val="12"/>
                <c:pt idx="0">
                  <c:v>3388002</c:v>
                </c:pt>
                <c:pt idx="1">
                  <c:v>6452280</c:v>
                </c:pt>
                <c:pt idx="2">
                  <c:v>9098357</c:v>
                </c:pt>
                <c:pt idx="3">
                  <c:v>11453242</c:v>
                </c:pt>
                <c:pt idx="4">
                  <c:v>13522963</c:v>
                </c:pt>
                <c:pt idx="5">
                  <c:v>15818421</c:v>
                </c:pt>
                <c:pt idx="6">
                  <c:v>18102717</c:v>
                </c:pt>
                <c:pt idx="7">
                  <c:v>20247046</c:v>
                </c:pt>
                <c:pt idx="8">
                  <c:v>22266788</c:v>
                </c:pt>
                <c:pt idx="9">
                  <c:v>24259211</c:v>
                </c:pt>
                <c:pt idx="10">
                  <c:v>27218519</c:v>
                </c:pt>
                <c:pt idx="11">
                  <c:v>29984809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9-4062-B116-FE9AE2C77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Colombia!$C$5</c:f>
          <c:strCache>
            <c:ptCount val="1"/>
            <c:pt idx="0">
              <c:v>Colombia : Arabica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Colombia!$B$14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Colombia!$C$6:$N$6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Colombia!$C$14:$N$14</c:f>
              <c:numCache>
                <c:formatCode>#,##0</c:formatCode>
                <c:ptCount val="12"/>
                <c:pt idx="0">
                  <c:v>987000</c:v>
                </c:pt>
                <c:pt idx="1">
                  <c:v>1135000</c:v>
                </c:pt>
                <c:pt idx="2">
                  <c:v>1167000</c:v>
                </c:pt>
                <c:pt idx="3">
                  <c:v>1032000</c:v>
                </c:pt>
                <c:pt idx="4">
                  <c:v>983000</c:v>
                </c:pt>
                <c:pt idx="5">
                  <c:v>1121000</c:v>
                </c:pt>
                <c:pt idx="6">
                  <c:v>845000</c:v>
                </c:pt>
                <c:pt idx="7">
                  <c:v>944000</c:v>
                </c:pt>
                <c:pt idx="8">
                  <c:v>939000</c:v>
                </c:pt>
                <c:pt idx="9">
                  <c:v>1020000</c:v>
                </c:pt>
                <c:pt idx="10">
                  <c:v>872000</c:v>
                </c:pt>
                <c:pt idx="11">
                  <c:v>820000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E3-42F2-B6BC-91B1861F05FD}"/>
            </c:ext>
          </c:extLst>
        </c:ser>
        <c:ser>
          <c:idx val="8"/>
          <c:order val="8"/>
          <c:tx>
            <c:strRef>
              <c:f>Colombia!$B$15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Colombia!$C$6:$N$6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Colombia!$C$15:$N$15</c:f>
              <c:numCache>
                <c:formatCode>#,##0</c:formatCode>
                <c:ptCount val="12"/>
                <c:pt idx="0">
                  <c:v>944000</c:v>
                </c:pt>
                <c:pt idx="1">
                  <c:v>854000</c:v>
                </c:pt>
                <c:pt idx="2">
                  <c:v>1030000</c:v>
                </c:pt>
                <c:pt idx="3">
                  <c:v>835000</c:v>
                </c:pt>
                <c:pt idx="4">
                  <c:v>928000</c:v>
                </c:pt>
                <c:pt idx="5">
                  <c:v>906000</c:v>
                </c:pt>
                <c:pt idx="6">
                  <c:v>723000</c:v>
                </c:pt>
                <c:pt idx="7">
                  <c:v>846000</c:v>
                </c:pt>
                <c:pt idx="8">
                  <c:v>748000</c:v>
                </c:pt>
                <c:pt idx="9">
                  <c:v>846000</c:v>
                </c:pt>
                <c:pt idx="10">
                  <c:v>817000</c:v>
                </c:pt>
                <c:pt idx="11">
                  <c:v>840000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E3-42F2-B6BC-91B1861F05FD}"/>
            </c:ext>
          </c:extLst>
        </c:ser>
        <c:ser>
          <c:idx val="9"/>
          <c:order val="9"/>
          <c:tx>
            <c:strRef>
              <c:f>Colombia!$B$16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Colombia!$C$6:$N$6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Colombia!$C$16:$N$16</c:f>
              <c:numCache>
                <c:formatCode>#,##0</c:formatCode>
                <c:ptCount val="12"/>
                <c:pt idx="0">
                  <c:v>906000</c:v>
                </c:pt>
                <c:pt idx="1">
                  <c:v>1100000</c:v>
                </c:pt>
                <c:pt idx="2">
                  <c:v>1060000</c:v>
                </c:pt>
                <c:pt idx="3">
                  <c:v>937000</c:v>
                </c:pt>
                <c:pt idx="4">
                  <c:v>1046000</c:v>
                </c:pt>
                <c:pt idx="5">
                  <c:v>1010000</c:v>
                </c:pt>
                <c:pt idx="6">
                  <c:v>792000</c:v>
                </c:pt>
                <c:pt idx="7">
                  <c:v>935000</c:v>
                </c:pt>
                <c:pt idx="8">
                  <c:v>1026000</c:v>
                </c:pt>
                <c:pt idx="9">
                  <c:v>1000000</c:v>
                </c:pt>
                <c:pt idx="10">
                  <c:v>1021000</c:v>
                </c:pt>
                <c:pt idx="11">
                  <c:v>987000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E3-42F2-B6BC-91B1861F05FD}"/>
            </c:ext>
          </c:extLst>
        </c:ser>
        <c:ser>
          <c:idx val="10"/>
          <c:order val="10"/>
          <c:tx>
            <c:strRef>
              <c:f>Colombia!$B$17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Colombia!$C$6:$N$6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Colombia!$C$17:$N$17</c:f>
              <c:numCache>
                <c:formatCode>#,##0</c:formatCode>
                <c:ptCount val="12"/>
                <c:pt idx="0">
                  <c:v>1047000</c:v>
                </c:pt>
                <c:pt idx="1">
                  <c:v>1189000</c:v>
                </c:pt>
                <c:pt idx="2">
                  <c:v>1282000</c:v>
                </c:pt>
                <c:pt idx="3">
                  <c:v>1151000</c:v>
                </c:pt>
                <c:pt idx="4">
                  <c:v>1187000</c:v>
                </c:pt>
                <c:pt idx="5">
                  <c:v>1268000</c:v>
                </c:pt>
                <c:pt idx="6">
                  <c:v>796000</c:v>
                </c:pt>
                <c:pt idx="7">
                  <c:v>910000</c:v>
                </c:pt>
                <c:pt idx="8">
                  <c:v>1086000</c:v>
                </c:pt>
                <c:pt idx="9">
                  <c:v>1170000</c:v>
                </c:pt>
                <c:pt idx="10">
                  <c:v>1172838.8888888888</c:v>
                </c:pt>
                <c:pt idx="11">
                  <c:v>1063000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E3-42F2-B6BC-91B1861F05FD}"/>
            </c:ext>
          </c:extLst>
        </c:ser>
        <c:ser>
          <c:idx val="11"/>
          <c:order val="11"/>
          <c:tx>
            <c:strRef>
              <c:f>Colombia!$B$18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Colombia!$C$6:$N$6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Colombia!$C$18:$N$18</c:f>
              <c:numCache>
                <c:formatCode>#,##0</c:formatCode>
                <c:ptCount val="12"/>
                <c:pt idx="0">
                  <c:v>1042000</c:v>
                </c:pt>
                <c:pt idx="1">
                  <c:v>1268000</c:v>
                </c:pt>
                <c:pt idx="2">
                  <c:v>1078000</c:v>
                </c:pt>
                <c:pt idx="3">
                  <c:v>910000</c:v>
                </c:pt>
                <c:pt idx="4">
                  <c:v>807000</c:v>
                </c:pt>
                <c:pt idx="5">
                  <c:v>843000</c:v>
                </c:pt>
                <c:pt idx="6">
                  <c:v>682000</c:v>
                </c:pt>
                <c:pt idx="7">
                  <c:v>894000</c:v>
                </c:pt>
                <c:pt idx="8">
                  <c:v>1094000</c:v>
                </c:pt>
                <c:pt idx="9">
                  <c:v>992000</c:v>
                </c:pt>
                <c:pt idx="10">
                  <c:v>1055555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A-4D73-8416-86DCD64D0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Colombia!$B$7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Colombia!$C$6:$N$6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Colombia!$C$7:$N$7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970136</c:v>
                      </c:pt>
                      <c:pt idx="1">
                        <c:v>1018769</c:v>
                      </c:pt>
                      <c:pt idx="2">
                        <c:v>1055598</c:v>
                      </c:pt>
                      <c:pt idx="3">
                        <c:v>1057571</c:v>
                      </c:pt>
                      <c:pt idx="4">
                        <c:v>1056782</c:v>
                      </c:pt>
                      <c:pt idx="5">
                        <c:v>785648</c:v>
                      </c:pt>
                      <c:pt idx="6">
                        <c:v>957289</c:v>
                      </c:pt>
                      <c:pt idx="7">
                        <c:v>1005463</c:v>
                      </c:pt>
                      <c:pt idx="8">
                        <c:v>1006374</c:v>
                      </c:pt>
                      <c:pt idx="9">
                        <c:v>1200539</c:v>
                      </c:pt>
                      <c:pt idx="10">
                        <c:v>1078339</c:v>
                      </c:pt>
                      <c:pt idx="11">
                        <c:v>1085519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15E3-42F2-B6BC-91B1861F05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1173424</c:v>
                      </c:pt>
                      <c:pt idx="1">
                        <c:v>1110974</c:v>
                      </c:pt>
                      <c:pt idx="2">
                        <c:v>1195721</c:v>
                      </c:pt>
                      <c:pt idx="3">
                        <c:v>1098400</c:v>
                      </c:pt>
                      <c:pt idx="4">
                        <c:v>1112754</c:v>
                      </c:pt>
                      <c:pt idx="5">
                        <c:v>1091860</c:v>
                      </c:pt>
                      <c:pt idx="6">
                        <c:v>930895</c:v>
                      </c:pt>
                      <c:pt idx="7">
                        <c:v>891197</c:v>
                      </c:pt>
                      <c:pt idx="8">
                        <c:v>935319</c:v>
                      </c:pt>
                      <c:pt idx="9">
                        <c:v>1104269.5</c:v>
                      </c:pt>
                      <c:pt idx="10">
                        <c:v>1273220</c:v>
                      </c:pt>
                      <c:pt idx="11">
                        <c:v>1012122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5E3-42F2-B6BC-91B1861F05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1230160</c:v>
                      </c:pt>
                      <c:pt idx="1">
                        <c:v>1329710</c:v>
                      </c:pt>
                      <c:pt idx="2">
                        <c:v>1449959</c:v>
                      </c:pt>
                      <c:pt idx="3">
                        <c:v>1137740</c:v>
                      </c:pt>
                      <c:pt idx="4">
                        <c:v>1182256</c:v>
                      </c:pt>
                      <c:pt idx="5">
                        <c:v>1160000</c:v>
                      </c:pt>
                      <c:pt idx="6">
                        <c:v>898000</c:v>
                      </c:pt>
                      <c:pt idx="7">
                        <c:v>833873</c:v>
                      </c:pt>
                      <c:pt idx="8">
                        <c:v>946638</c:v>
                      </c:pt>
                      <c:pt idx="9">
                        <c:v>1000584</c:v>
                      </c:pt>
                      <c:pt idx="10">
                        <c:v>1204087</c:v>
                      </c:pt>
                      <c:pt idx="11">
                        <c:v>1112403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5E3-42F2-B6BC-91B1861F05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1123426</c:v>
                      </c:pt>
                      <c:pt idx="1">
                        <c:v>1161312</c:v>
                      </c:pt>
                      <c:pt idx="2">
                        <c:v>1222000</c:v>
                      </c:pt>
                      <c:pt idx="3">
                        <c:v>1053000</c:v>
                      </c:pt>
                      <c:pt idx="4">
                        <c:v>1098000</c:v>
                      </c:pt>
                      <c:pt idx="5">
                        <c:v>1035837</c:v>
                      </c:pt>
                      <c:pt idx="6">
                        <c:v>924926</c:v>
                      </c:pt>
                      <c:pt idx="7">
                        <c:v>950765</c:v>
                      </c:pt>
                      <c:pt idx="8">
                        <c:v>915101</c:v>
                      </c:pt>
                      <c:pt idx="9">
                        <c:v>1075909</c:v>
                      </c:pt>
                      <c:pt idx="10">
                        <c:v>1024858.9999999999</c:v>
                      </c:pt>
                      <c:pt idx="11">
                        <c:v>1098406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5E3-42F2-B6BC-91B1861F05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1057659</c:v>
                      </c:pt>
                      <c:pt idx="1">
                        <c:v>1233452</c:v>
                      </c:pt>
                      <c:pt idx="2">
                        <c:v>1282996</c:v>
                      </c:pt>
                      <c:pt idx="3">
                        <c:v>1166335</c:v>
                      </c:pt>
                      <c:pt idx="4">
                        <c:v>1245588</c:v>
                      </c:pt>
                      <c:pt idx="5">
                        <c:v>1140585</c:v>
                      </c:pt>
                      <c:pt idx="6">
                        <c:v>872342</c:v>
                      </c:pt>
                      <c:pt idx="7">
                        <c:v>1028036</c:v>
                      </c:pt>
                      <c:pt idx="8">
                        <c:v>1110195</c:v>
                      </c:pt>
                      <c:pt idx="9">
                        <c:v>1121937</c:v>
                      </c:pt>
                      <c:pt idx="10">
                        <c:v>1214031</c:v>
                      </c:pt>
                      <c:pt idx="11">
                        <c:v>1008672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5E3-42F2-B6BC-91B1861F05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Colombia!$B$12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Colombia!$C$12:$N$12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1211405</c:v>
                      </c:pt>
                      <c:pt idx="1">
                        <c:v>1162209</c:v>
                      </c:pt>
                      <c:pt idx="2">
                        <c:v>1386297</c:v>
                      </c:pt>
                      <c:pt idx="3">
                        <c:v>1064879</c:v>
                      </c:pt>
                      <c:pt idx="4">
                        <c:v>1078060</c:v>
                      </c:pt>
                      <c:pt idx="5">
                        <c:v>947844</c:v>
                      </c:pt>
                      <c:pt idx="6">
                        <c:v>642031</c:v>
                      </c:pt>
                      <c:pt idx="7">
                        <c:v>893575</c:v>
                      </c:pt>
                      <c:pt idx="8">
                        <c:v>1111473</c:v>
                      </c:pt>
                      <c:pt idx="9">
                        <c:v>1131186</c:v>
                      </c:pt>
                      <c:pt idx="10">
                        <c:v>1131000</c:v>
                      </c:pt>
                      <c:pt idx="11">
                        <c:v>887494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5E3-42F2-B6BC-91B1861F05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Colombia!$B$13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Colombia!$C$13:$N$13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1051833</c:v>
                      </c:pt>
                      <c:pt idx="1">
                        <c:v>1278603</c:v>
                      </c:pt>
                      <c:pt idx="2">
                        <c:v>1309000</c:v>
                      </c:pt>
                      <c:pt idx="3">
                        <c:v>1072000</c:v>
                      </c:pt>
                      <c:pt idx="4">
                        <c:v>1273640</c:v>
                      </c:pt>
                      <c:pt idx="5">
                        <c:v>1128007</c:v>
                      </c:pt>
                      <c:pt idx="6">
                        <c:v>1035027</c:v>
                      </c:pt>
                      <c:pt idx="7">
                        <c:v>918787.5</c:v>
                      </c:pt>
                      <c:pt idx="8">
                        <c:v>890284</c:v>
                      </c:pt>
                      <c:pt idx="9">
                        <c:v>1184276</c:v>
                      </c:pt>
                      <c:pt idx="10">
                        <c:v>1131000</c:v>
                      </c:pt>
                      <c:pt idx="11">
                        <c:v>1090000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5E3-42F2-B6BC-91B1861F05FD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72957158415765111"/>
          <c:h val="6.7098534198383797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Colombia!$A$66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Colombia!$B$65:$M$65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Colombia!$B$66:$M$66</c:f>
              <c:numCache>
                <c:formatCode>#,##0</c:formatCode>
                <c:ptCount val="12"/>
                <c:pt idx="0">
                  <c:v>1042000</c:v>
                </c:pt>
                <c:pt idx="1">
                  <c:v>1268000</c:v>
                </c:pt>
                <c:pt idx="2">
                  <c:v>1078000</c:v>
                </c:pt>
                <c:pt idx="3">
                  <c:v>910000</c:v>
                </c:pt>
                <c:pt idx="4">
                  <c:v>807000</c:v>
                </c:pt>
                <c:pt idx="5">
                  <c:v>843000</c:v>
                </c:pt>
                <c:pt idx="6">
                  <c:v>682000</c:v>
                </c:pt>
                <c:pt idx="7">
                  <c:v>894000</c:v>
                </c:pt>
                <c:pt idx="8">
                  <c:v>1094000</c:v>
                </c:pt>
                <c:pt idx="9">
                  <c:v>992000</c:v>
                </c:pt>
                <c:pt idx="10">
                  <c:v>1055555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25-4B5D-93EF-82CA3EA52E5C}"/>
            </c:ext>
          </c:extLst>
        </c:ser>
        <c:ser>
          <c:idx val="1"/>
          <c:order val="1"/>
          <c:tx>
            <c:strRef>
              <c:f>Colombia!$A$67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Colombia!$B$65:$M$65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Colombia!$B$67:$M$67</c:f>
              <c:numCache>
                <c:formatCode>#,##0</c:formatCode>
                <c:ptCount val="12"/>
                <c:pt idx="0">
                  <c:v>906000</c:v>
                </c:pt>
                <c:pt idx="1">
                  <c:v>854000</c:v>
                </c:pt>
                <c:pt idx="2">
                  <c:v>1030000</c:v>
                </c:pt>
                <c:pt idx="3">
                  <c:v>835000</c:v>
                </c:pt>
                <c:pt idx="4">
                  <c:v>928000</c:v>
                </c:pt>
                <c:pt idx="5">
                  <c:v>785648</c:v>
                </c:pt>
                <c:pt idx="6">
                  <c:v>642031</c:v>
                </c:pt>
                <c:pt idx="7">
                  <c:v>833873</c:v>
                </c:pt>
                <c:pt idx="8">
                  <c:v>748000</c:v>
                </c:pt>
                <c:pt idx="9">
                  <c:v>846000</c:v>
                </c:pt>
                <c:pt idx="10">
                  <c:v>817000</c:v>
                </c:pt>
                <c:pt idx="11">
                  <c:v>820000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25-4B5D-93EF-82CA3EA52E5C}"/>
            </c:ext>
          </c:extLst>
        </c:ser>
        <c:ser>
          <c:idx val="2"/>
          <c:order val="2"/>
          <c:tx>
            <c:strRef>
              <c:f>Colombia!$A$68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Colombia!$B$65:$M$65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Colombia!$B$68:$M$68</c:f>
              <c:numCache>
                <c:formatCode>#,##0</c:formatCode>
                <c:ptCount val="12"/>
                <c:pt idx="0">
                  <c:v>1230160</c:v>
                </c:pt>
                <c:pt idx="1">
                  <c:v>1329710</c:v>
                </c:pt>
                <c:pt idx="2">
                  <c:v>1449959</c:v>
                </c:pt>
                <c:pt idx="3">
                  <c:v>1166335</c:v>
                </c:pt>
                <c:pt idx="4">
                  <c:v>1273640</c:v>
                </c:pt>
                <c:pt idx="5">
                  <c:v>1268000</c:v>
                </c:pt>
                <c:pt idx="6">
                  <c:v>1035027</c:v>
                </c:pt>
                <c:pt idx="7">
                  <c:v>1028036</c:v>
                </c:pt>
                <c:pt idx="8">
                  <c:v>1111473</c:v>
                </c:pt>
                <c:pt idx="9">
                  <c:v>1200539</c:v>
                </c:pt>
                <c:pt idx="10">
                  <c:v>1273220</c:v>
                </c:pt>
                <c:pt idx="11">
                  <c:v>1112403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25-4B5D-93EF-82CA3EA52E5C}"/>
            </c:ext>
          </c:extLst>
        </c:ser>
        <c:ser>
          <c:idx val="3"/>
          <c:order val="3"/>
          <c:tx>
            <c:strRef>
              <c:f>Colombia!$A$69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Colombia!$B$65:$M$65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Colombia!$B$69:$M$69</c:f>
              <c:numCache>
                <c:formatCode>#,##0</c:formatCode>
                <c:ptCount val="12"/>
                <c:pt idx="0">
                  <c:v>1024539.6666666666</c:v>
                </c:pt>
                <c:pt idx="1">
                  <c:v>1119802</c:v>
                </c:pt>
                <c:pt idx="2">
                  <c:v>1205716.1666666667</c:v>
                </c:pt>
                <c:pt idx="3">
                  <c:v>1015313.1666666666</c:v>
                </c:pt>
                <c:pt idx="4">
                  <c:v>1082616.6666666667</c:v>
                </c:pt>
                <c:pt idx="5">
                  <c:v>1063475.1666666667</c:v>
                </c:pt>
                <c:pt idx="6">
                  <c:v>805509.66666666663</c:v>
                </c:pt>
                <c:pt idx="7">
                  <c:v>907893.75</c:v>
                </c:pt>
                <c:pt idx="8">
                  <c:v>966792.83333333337</c:v>
                </c:pt>
                <c:pt idx="9">
                  <c:v>1058577</c:v>
                </c:pt>
                <c:pt idx="10">
                  <c:v>1024139.8148148148</c:v>
                </c:pt>
                <c:pt idx="11">
                  <c:v>947915.66666666663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25-4B5D-93EF-82CA3EA52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Colombia!$I$84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Colombia!$H$85:$H$214</c:f>
              <c:strCache>
                <c:ptCount val="130"/>
                <c:pt idx="0">
                  <c:v>Sep'14/15</c:v>
                </c:pt>
                <c:pt idx="1">
                  <c:v>Oct'15/16</c:v>
                </c:pt>
                <c:pt idx="2">
                  <c:v>Nov'15/16</c:v>
                </c:pt>
                <c:pt idx="3">
                  <c:v>Dec'15/16</c:v>
                </c:pt>
                <c:pt idx="4">
                  <c:v>Jan'15/16</c:v>
                </c:pt>
                <c:pt idx="5">
                  <c:v>Feb'15/16</c:v>
                </c:pt>
                <c:pt idx="6">
                  <c:v>Mar'15/16</c:v>
                </c:pt>
                <c:pt idx="7">
                  <c:v>Apr'15/16</c:v>
                </c:pt>
                <c:pt idx="8">
                  <c:v>May'15/16</c:v>
                </c:pt>
                <c:pt idx="9">
                  <c:v>Jun'15/16</c:v>
                </c:pt>
                <c:pt idx="10">
                  <c:v>Jul'15/16</c:v>
                </c:pt>
                <c:pt idx="11">
                  <c:v>Aug'15/16</c:v>
                </c:pt>
                <c:pt idx="12">
                  <c:v>Sep'15/16</c:v>
                </c:pt>
                <c:pt idx="13">
                  <c:v>Oct'16/17</c:v>
                </c:pt>
                <c:pt idx="14">
                  <c:v>Nov'16/17</c:v>
                </c:pt>
                <c:pt idx="15">
                  <c:v>Dec'16/17</c:v>
                </c:pt>
                <c:pt idx="16">
                  <c:v>Jan'16/17</c:v>
                </c:pt>
                <c:pt idx="17">
                  <c:v>Feb'16/17</c:v>
                </c:pt>
                <c:pt idx="18">
                  <c:v>Mar'16/17</c:v>
                </c:pt>
                <c:pt idx="19">
                  <c:v>Apr'16/17</c:v>
                </c:pt>
                <c:pt idx="20">
                  <c:v>May'16/17</c:v>
                </c:pt>
                <c:pt idx="21">
                  <c:v>Jun'16/17</c:v>
                </c:pt>
                <c:pt idx="22">
                  <c:v>Jul'16/17</c:v>
                </c:pt>
                <c:pt idx="23">
                  <c:v>Aug'16/17</c:v>
                </c:pt>
                <c:pt idx="24">
                  <c:v>Sep'16/17</c:v>
                </c:pt>
                <c:pt idx="25">
                  <c:v>Oct'17/18</c:v>
                </c:pt>
                <c:pt idx="26">
                  <c:v>Nov'17/18</c:v>
                </c:pt>
                <c:pt idx="27">
                  <c:v>Dec'17/18</c:v>
                </c:pt>
                <c:pt idx="28">
                  <c:v>Jan'17/18</c:v>
                </c:pt>
                <c:pt idx="29">
                  <c:v>Feb'17/18</c:v>
                </c:pt>
                <c:pt idx="30">
                  <c:v>Mar'17/18</c:v>
                </c:pt>
                <c:pt idx="31">
                  <c:v>Apr'17/18</c:v>
                </c:pt>
                <c:pt idx="32">
                  <c:v>May'17/18</c:v>
                </c:pt>
                <c:pt idx="33">
                  <c:v>Jun'17/18</c:v>
                </c:pt>
                <c:pt idx="34">
                  <c:v>Jul'17/18</c:v>
                </c:pt>
                <c:pt idx="35">
                  <c:v>Aug'17/18</c:v>
                </c:pt>
                <c:pt idx="36">
                  <c:v>Sep'17/18</c:v>
                </c:pt>
                <c:pt idx="37">
                  <c:v>Oct'18/19</c:v>
                </c:pt>
                <c:pt idx="38">
                  <c:v>Nov'18/19</c:v>
                </c:pt>
                <c:pt idx="39">
                  <c:v>Dec'18/19</c:v>
                </c:pt>
                <c:pt idx="40">
                  <c:v>Jan'18/19</c:v>
                </c:pt>
                <c:pt idx="41">
                  <c:v>Feb'18/19</c:v>
                </c:pt>
                <c:pt idx="42">
                  <c:v>Mar'18/19</c:v>
                </c:pt>
                <c:pt idx="43">
                  <c:v>Apr'18/19</c:v>
                </c:pt>
                <c:pt idx="44">
                  <c:v>May'18/19</c:v>
                </c:pt>
                <c:pt idx="45">
                  <c:v>Jun'18/19</c:v>
                </c:pt>
                <c:pt idx="46">
                  <c:v>Jul'18/19</c:v>
                </c:pt>
                <c:pt idx="47">
                  <c:v>Aug'18/19</c:v>
                </c:pt>
                <c:pt idx="48">
                  <c:v>Sep'18/19</c:v>
                </c:pt>
                <c:pt idx="49">
                  <c:v>Oct'19/20</c:v>
                </c:pt>
                <c:pt idx="50">
                  <c:v>Nov'19/20</c:v>
                </c:pt>
                <c:pt idx="51">
                  <c:v>Dec'19/20</c:v>
                </c:pt>
                <c:pt idx="52">
                  <c:v>Jan'19/20</c:v>
                </c:pt>
                <c:pt idx="53">
                  <c:v>Feb'19/20</c:v>
                </c:pt>
                <c:pt idx="54">
                  <c:v>Mar'19/20</c:v>
                </c:pt>
                <c:pt idx="55">
                  <c:v>Apr'19/20</c:v>
                </c:pt>
                <c:pt idx="56">
                  <c:v>May'19/20</c:v>
                </c:pt>
                <c:pt idx="57">
                  <c:v>Jun'19/20</c:v>
                </c:pt>
                <c:pt idx="58">
                  <c:v>Jul'19/20</c:v>
                </c:pt>
                <c:pt idx="59">
                  <c:v>Aug'19/20</c:v>
                </c:pt>
                <c:pt idx="60">
                  <c:v>Sep'19/20</c:v>
                </c:pt>
                <c:pt idx="61">
                  <c:v>Oct'20/21</c:v>
                </c:pt>
                <c:pt idx="62">
                  <c:v>Nov'20/21</c:v>
                </c:pt>
                <c:pt idx="63">
                  <c:v>Dec'20/21</c:v>
                </c:pt>
                <c:pt idx="64">
                  <c:v>Jan'20/21</c:v>
                </c:pt>
                <c:pt idx="65">
                  <c:v>Feb'20/21</c:v>
                </c:pt>
                <c:pt idx="66">
                  <c:v>Mar'20/21</c:v>
                </c:pt>
                <c:pt idx="67">
                  <c:v>Apr'20/21</c:v>
                </c:pt>
                <c:pt idx="68">
                  <c:v>May'20/21</c:v>
                </c:pt>
                <c:pt idx="69">
                  <c:v>Jun'20/21</c:v>
                </c:pt>
                <c:pt idx="70">
                  <c:v>Jul'20/21</c:v>
                </c:pt>
                <c:pt idx="71">
                  <c:v>Aug'20/21</c:v>
                </c:pt>
                <c:pt idx="72">
                  <c:v>Sep'20/21</c:v>
                </c:pt>
                <c:pt idx="73">
                  <c:v>Oct'21/22</c:v>
                </c:pt>
                <c:pt idx="74">
                  <c:v>Nov'21/22</c:v>
                </c:pt>
                <c:pt idx="75">
                  <c:v>Dec'21/22</c:v>
                </c:pt>
                <c:pt idx="76">
                  <c:v>Jan'21/22</c:v>
                </c:pt>
                <c:pt idx="77">
                  <c:v>Feb'21/22</c:v>
                </c:pt>
                <c:pt idx="78">
                  <c:v>Mar'21/22</c:v>
                </c:pt>
                <c:pt idx="79">
                  <c:v>Apr'21/22</c:v>
                </c:pt>
                <c:pt idx="80">
                  <c:v>May'21/22</c:v>
                </c:pt>
                <c:pt idx="81">
                  <c:v>Jun'21/22</c:v>
                </c:pt>
                <c:pt idx="82">
                  <c:v>Jul'21/22</c:v>
                </c:pt>
                <c:pt idx="83">
                  <c:v>Aug'21/22</c:v>
                </c:pt>
                <c:pt idx="84">
                  <c:v>Sep'21/22</c:v>
                </c:pt>
                <c:pt idx="85">
                  <c:v>Oct'22/23</c:v>
                </c:pt>
                <c:pt idx="86">
                  <c:v>Nov'22/23</c:v>
                </c:pt>
                <c:pt idx="87">
                  <c:v>Dec'22/23</c:v>
                </c:pt>
                <c:pt idx="88">
                  <c:v>Jan'22/23</c:v>
                </c:pt>
                <c:pt idx="89">
                  <c:v>Feb'22/23</c:v>
                </c:pt>
                <c:pt idx="90">
                  <c:v>Mar'22/23</c:v>
                </c:pt>
                <c:pt idx="91">
                  <c:v>Apr'22/23</c:v>
                </c:pt>
                <c:pt idx="92">
                  <c:v>May'22/23</c:v>
                </c:pt>
                <c:pt idx="93">
                  <c:v>Jun'22/23</c:v>
                </c:pt>
                <c:pt idx="94">
                  <c:v>Jul'22/23</c:v>
                </c:pt>
                <c:pt idx="95">
                  <c:v>Aug'22/23</c:v>
                </c:pt>
                <c:pt idx="96">
                  <c:v>Sep'22/23</c:v>
                </c:pt>
                <c:pt idx="97">
                  <c:v>Oct'23/24</c:v>
                </c:pt>
                <c:pt idx="98">
                  <c:v>Nov'23/24</c:v>
                </c:pt>
                <c:pt idx="99">
                  <c:v>Dec'23/24</c:v>
                </c:pt>
                <c:pt idx="100">
                  <c:v>Jan'23/24</c:v>
                </c:pt>
                <c:pt idx="101">
                  <c:v>Feb'23/24</c:v>
                </c:pt>
                <c:pt idx="102">
                  <c:v>Mar'23/24</c:v>
                </c:pt>
                <c:pt idx="103">
                  <c:v>Apr'23/24</c:v>
                </c:pt>
                <c:pt idx="104">
                  <c:v>May'23/24</c:v>
                </c:pt>
                <c:pt idx="105">
                  <c:v>Jun'23/24</c:v>
                </c:pt>
                <c:pt idx="106">
                  <c:v>Jul'23/24</c:v>
                </c:pt>
                <c:pt idx="107">
                  <c:v>Aug'23/24</c:v>
                </c:pt>
                <c:pt idx="108">
                  <c:v>Sep'23/24</c:v>
                </c:pt>
                <c:pt idx="109">
                  <c:v>Oct'24/25</c:v>
                </c:pt>
                <c:pt idx="110">
                  <c:v>Nov'24/25</c:v>
                </c:pt>
                <c:pt idx="111">
                  <c:v>Dec'24/25</c:v>
                </c:pt>
                <c:pt idx="112">
                  <c:v>Jan'24/25</c:v>
                </c:pt>
                <c:pt idx="113">
                  <c:v>Feb'24/25</c:v>
                </c:pt>
                <c:pt idx="114">
                  <c:v>Mar'24/25</c:v>
                </c:pt>
                <c:pt idx="115">
                  <c:v>Apr'24/25</c:v>
                </c:pt>
                <c:pt idx="116">
                  <c:v>May'24/25</c:v>
                </c:pt>
                <c:pt idx="117">
                  <c:v>Jun'24/25</c:v>
                </c:pt>
                <c:pt idx="118">
                  <c:v>Jul'24/25</c:v>
                </c:pt>
                <c:pt idx="119">
                  <c:v>Aug'24/25</c:v>
                </c:pt>
                <c:pt idx="120">
                  <c:v>Sep'24/25</c:v>
                </c:pt>
                <c:pt idx="121">
                  <c:v>Oct'25/26</c:v>
                </c:pt>
                <c:pt idx="122">
                  <c:v>Nov'25/26</c:v>
                </c:pt>
                <c:pt idx="123">
                  <c:v>Dec'25/26</c:v>
                </c:pt>
                <c:pt idx="124">
                  <c:v>Jan'25/26</c:v>
                </c:pt>
                <c:pt idx="125">
                  <c:v>Feb'25/26</c:v>
                </c:pt>
                <c:pt idx="126">
                  <c:v>Mar'25/26</c:v>
                </c:pt>
                <c:pt idx="127">
                  <c:v>Apr'25/26</c:v>
                </c:pt>
                <c:pt idx="128">
                  <c:v>May'25/26</c:v>
                </c:pt>
                <c:pt idx="129">
                  <c:v>Jun'25/26</c:v>
                </c:pt>
              </c:strCache>
            </c:strRef>
          </c:cat>
          <c:val>
            <c:numRef>
              <c:f>Colombia!$I$85:$I$214</c:f>
              <c:numCache>
                <c:formatCode>General</c:formatCode>
                <c:ptCount val="130"/>
                <c:pt idx="0">
                  <c:v>12.278027</c:v>
                </c:pt>
                <c:pt idx="1">
                  <c:v>12.481315</c:v>
                </c:pt>
                <c:pt idx="2">
                  <c:v>12.57352</c:v>
                </c:pt>
                <c:pt idx="3">
                  <c:v>12.713642999999999</c:v>
                </c:pt>
                <c:pt idx="4">
                  <c:v>12.754472</c:v>
                </c:pt>
                <c:pt idx="5">
                  <c:v>12.810444</c:v>
                </c:pt>
                <c:pt idx="6">
                  <c:v>13.116656000000001</c:v>
                </c:pt>
                <c:pt idx="7">
                  <c:v>13.090261999999999</c:v>
                </c:pt>
                <c:pt idx="8">
                  <c:v>12.975996</c:v>
                </c:pt>
                <c:pt idx="9">
                  <c:v>12.904941000000001</c:v>
                </c:pt>
                <c:pt idx="10">
                  <c:v>12.808671500000001</c:v>
                </c:pt>
                <c:pt idx="11">
                  <c:v>13.0035525</c:v>
                </c:pt>
                <c:pt idx="12">
                  <c:v>12.9301555</c:v>
                </c:pt>
                <c:pt idx="13">
                  <c:v>12.9868915</c:v>
                </c:pt>
                <c:pt idx="14">
                  <c:v>13.2056275</c:v>
                </c:pt>
                <c:pt idx="15">
                  <c:v>13.459865499999999</c:v>
                </c:pt>
                <c:pt idx="16">
                  <c:v>13.4992055</c:v>
                </c:pt>
                <c:pt idx="17">
                  <c:v>13.5687075</c:v>
                </c:pt>
                <c:pt idx="18">
                  <c:v>13.6368475</c:v>
                </c:pt>
                <c:pt idx="19">
                  <c:v>13.6039525</c:v>
                </c:pt>
                <c:pt idx="20">
                  <c:v>13.546628500000001</c:v>
                </c:pt>
                <c:pt idx="21">
                  <c:v>13.557947499999999</c:v>
                </c:pt>
                <c:pt idx="22">
                  <c:v>13.454262</c:v>
                </c:pt>
                <c:pt idx="23">
                  <c:v>13.385128999999999</c:v>
                </c:pt>
                <c:pt idx="24">
                  <c:v>13.48541</c:v>
                </c:pt>
                <c:pt idx="25">
                  <c:v>13.378676</c:v>
                </c:pt>
                <c:pt idx="26">
                  <c:v>13.210278000000001</c:v>
                </c:pt>
                <c:pt idx="27">
                  <c:v>12.982319</c:v>
                </c:pt>
                <c:pt idx="28">
                  <c:v>12.897579</c:v>
                </c:pt>
                <c:pt idx="29">
                  <c:v>12.813323</c:v>
                </c:pt>
                <c:pt idx="30">
                  <c:v>12.689159999999999</c:v>
                </c:pt>
                <c:pt idx="31">
                  <c:v>12.716086000000001</c:v>
                </c:pt>
                <c:pt idx="32">
                  <c:v>12.832978000000001</c:v>
                </c:pt>
                <c:pt idx="33">
                  <c:v>12.801441000000001</c:v>
                </c:pt>
                <c:pt idx="34">
                  <c:v>12.876766</c:v>
                </c:pt>
                <c:pt idx="35">
                  <c:v>12.697538</c:v>
                </c:pt>
                <c:pt idx="36">
                  <c:v>12.683541</c:v>
                </c:pt>
                <c:pt idx="37">
                  <c:v>12.617774000000001</c:v>
                </c:pt>
                <c:pt idx="38">
                  <c:v>12.689914</c:v>
                </c:pt>
                <c:pt idx="39">
                  <c:v>12.750909999999999</c:v>
                </c:pt>
                <c:pt idx="40">
                  <c:v>12.864245</c:v>
                </c:pt>
                <c:pt idx="41">
                  <c:v>13.011832999999999</c:v>
                </c:pt>
                <c:pt idx="42">
                  <c:v>13.116581</c:v>
                </c:pt>
                <c:pt idx="43">
                  <c:v>13.063997000000001</c:v>
                </c:pt>
                <c:pt idx="44">
                  <c:v>13.141268</c:v>
                </c:pt>
                <c:pt idx="45">
                  <c:v>13.336361999999999</c:v>
                </c:pt>
                <c:pt idx="46">
                  <c:v>13.382389999999999</c:v>
                </c:pt>
                <c:pt idx="47">
                  <c:v>13.571562</c:v>
                </c:pt>
                <c:pt idx="48">
                  <c:v>13.481828</c:v>
                </c:pt>
                <c:pt idx="49">
                  <c:v>13.635574</c:v>
                </c:pt>
                <c:pt idx="50">
                  <c:v>13.564330999999999</c:v>
                </c:pt>
                <c:pt idx="51">
                  <c:v>13.667631999999999</c:v>
                </c:pt>
                <c:pt idx="52">
                  <c:v>13.566176</c:v>
                </c:pt>
                <c:pt idx="53">
                  <c:v>13.398648</c:v>
                </c:pt>
                <c:pt idx="54">
                  <c:v>13.205907</c:v>
                </c:pt>
                <c:pt idx="55">
                  <c:v>12.975595999999999</c:v>
                </c:pt>
                <c:pt idx="56">
                  <c:v>12.841135</c:v>
                </c:pt>
                <c:pt idx="57">
                  <c:v>12.842413000000001</c:v>
                </c:pt>
                <c:pt idx="58">
                  <c:v>12.851661999999999</c:v>
                </c:pt>
                <c:pt idx="59">
                  <c:v>12.768630999999999</c:v>
                </c:pt>
                <c:pt idx="60">
                  <c:v>12.647453000000001</c:v>
                </c:pt>
                <c:pt idx="61">
                  <c:v>12.487881</c:v>
                </c:pt>
                <c:pt idx="62">
                  <c:v>12.604274999999999</c:v>
                </c:pt>
                <c:pt idx="63">
                  <c:v>12.526978</c:v>
                </c:pt>
                <c:pt idx="64">
                  <c:v>12.534098999999999</c:v>
                </c:pt>
                <c:pt idx="65">
                  <c:v>12.729679000000001</c:v>
                </c:pt>
                <c:pt idx="66">
                  <c:v>12.909841999999999</c:v>
                </c:pt>
                <c:pt idx="67">
                  <c:v>13.302837999999999</c:v>
                </c:pt>
                <c:pt idx="68">
                  <c:v>13.3280505</c:v>
                </c:pt>
                <c:pt idx="69">
                  <c:v>13.106861500000001</c:v>
                </c:pt>
                <c:pt idx="70">
                  <c:v>13.1599515</c:v>
                </c:pt>
                <c:pt idx="71">
                  <c:v>13.1599515</c:v>
                </c:pt>
                <c:pt idx="72">
                  <c:v>13.3624575</c:v>
                </c:pt>
                <c:pt idx="73">
                  <c:v>13.2976245</c:v>
                </c:pt>
                <c:pt idx="74">
                  <c:v>13.154021500000001</c:v>
                </c:pt>
                <c:pt idx="75">
                  <c:v>13.012021499999999</c:v>
                </c:pt>
                <c:pt idx="76">
                  <c:v>12.9720215</c:v>
                </c:pt>
                <c:pt idx="77">
                  <c:v>12.681381500000001</c:v>
                </c:pt>
                <c:pt idx="78">
                  <c:v>12.674374500000001</c:v>
                </c:pt>
                <c:pt idx="79">
                  <c:v>12.4843475</c:v>
                </c:pt>
                <c:pt idx="80">
                  <c:v>12.50956</c:v>
                </c:pt>
                <c:pt idx="81">
                  <c:v>12.558275999999999</c:v>
                </c:pt>
                <c:pt idx="82">
                  <c:v>12.394</c:v>
                </c:pt>
                <c:pt idx="83">
                  <c:v>12.135</c:v>
                </c:pt>
                <c:pt idx="84">
                  <c:v>11.865</c:v>
                </c:pt>
                <c:pt idx="85">
                  <c:v>11.821999999999999</c:v>
                </c:pt>
                <c:pt idx="86">
                  <c:v>11.541</c:v>
                </c:pt>
                <c:pt idx="87">
                  <c:v>11.404</c:v>
                </c:pt>
                <c:pt idx="88">
                  <c:v>11.207000000000001</c:v>
                </c:pt>
                <c:pt idx="89">
                  <c:v>11.151999999999999</c:v>
                </c:pt>
                <c:pt idx="90">
                  <c:v>10.936999999999999</c:v>
                </c:pt>
                <c:pt idx="91">
                  <c:v>10.815</c:v>
                </c:pt>
                <c:pt idx="92">
                  <c:v>10.717000000000001</c:v>
                </c:pt>
                <c:pt idx="93">
                  <c:v>10.526</c:v>
                </c:pt>
                <c:pt idx="94">
                  <c:v>10.352</c:v>
                </c:pt>
                <c:pt idx="95">
                  <c:v>10.297000000000001</c:v>
                </c:pt>
                <c:pt idx="96">
                  <c:v>10.317</c:v>
                </c:pt>
                <c:pt idx="97">
                  <c:v>10.279</c:v>
                </c:pt>
                <c:pt idx="98">
                  <c:v>10.525</c:v>
                </c:pt>
                <c:pt idx="99">
                  <c:v>10.555</c:v>
                </c:pt>
                <c:pt idx="100">
                  <c:v>10.657</c:v>
                </c:pt>
                <c:pt idx="101">
                  <c:v>10.775</c:v>
                </c:pt>
                <c:pt idx="102">
                  <c:v>10.879</c:v>
                </c:pt>
                <c:pt idx="103">
                  <c:v>10.948</c:v>
                </c:pt>
                <c:pt idx="104">
                  <c:v>11.037000000000001</c:v>
                </c:pt>
                <c:pt idx="105">
                  <c:v>11.315</c:v>
                </c:pt>
                <c:pt idx="106">
                  <c:v>11.468999999999999</c:v>
                </c:pt>
                <c:pt idx="107">
                  <c:v>11.673</c:v>
                </c:pt>
                <c:pt idx="108">
                  <c:v>11.82</c:v>
                </c:pt>
                <c:pt idx="109">
                  <c:v>11.961</c:v>
                </c:pt>
                <c:pt idx="110">
                  <c:v>12.05</c:v>
                </c:pt>
                <c:pt idx="111">
                  <c:v>12.272</c:v>
                </c:pt>
                <c:pt idx="112">
                  <c:v>12.486000000000001</c:v>
                </c:pt>
                <c:pt idx="113">
                  <c:v>12.627000000000001</c:v>
                </c:pt>
                <c:pt idx="114">
                  <c:v>12.885</c:v>
                </c:pt>
                <c:pt idx="115">
                  <c:v>12.888999999999999</c:v>
                </c:pt>
                <c:pt idx="116">
                  <c:v>12.864000000000001</c:v>
                </c:pt>
                <c:pt idx="117">
                  <c:v>12.923999999999999</c:v>
                </c:pt>
                <c:pt idx="118">
                  <c:v>13.093999999999999</c:v>
                </c:pt>
                <c:pt idx="119">
                  <c:v>13.245838888888889</c:v>
                </c:pt>
                <c:pt idx="120">
                  <c:v>13.321838888888887</c:v>
                </c:pt>
                <c:pt idx="121">
                  <c:v>13.316838888888888</c:v>
                </c:pt>
                <c:pt idx="122">
                  <c:v>13.395838888888887</c:v>
                </c:pt>
                <c:pt idx="123">
                  <c:v>13.191838888888888</c:v>
                </c:pt>
                <c:pt idx="124">
                  <c:v>12.950838888888889</c:v>
                </c:pt>
                <c:pt idx="125">
                  <c:v>12.570838888888888</c:v>
                </c:pt>
                <c:pt idx="126">
                  <c:v>12.145838888888887</c:v>
                </c:pt>
                <c:pt idx="127">
                  <c:v>12.031838888888888</c:v>
                </c:pt>
                <c:pt idx="128">
                  <c:v>12.015838888888888</c:v>
                </c:pt>
                <c:pt idx="129">
                  <c:v>12.023838888888887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C-4EAA-90EF-616EE9842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Colombia!$K$27</c:f>
          <c:strCache>
            <c:ptCount val="1"/>
            <c:pt idx="0">
              <c:v>Colombia : Arabica Exports | YTD : Oct-Aug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77569202082635"/>
          <c:y val="0.17069203885773798"/>
          <c:w val="0.78775471011888354"/>
          <c:h val="0.6889543689284783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Colombia!$S$7:$S$18</c:f>
              <c:strCache>
                <c:ptCount val="12"/>
                <c:pt idx="0">
                  <c:v>14/15</c:v>
                </c:pt>
                <c:pt idx="1">
                  <c:v>15/16</c:v>
                </c:pt>
                <c:pt idx="2">
                  <c:v>16/17</c:v>
                </c:pt>
                <c:pt idx="3">
                  <c:v>17/18</c:v>
                </c:pt>
                <c:pt idx="4">
                  <c:v>18/19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  <c:pt idx="10">
                  <c:v>24/25</c:v>
                </c:pt>
                <c:pt idx="11">
                  <c:v>25/26</c:v>
                </c:pt>
              </c:strCache>
            </c:strRef>
          </c:cat>
          <c:val>
            <c:numRef>
              <c:f>Colombia!$T$7:$T$18</c:f>
              <c:numCache>
                <c:formatCode>#,##0</c:formatCode>
                <c:ptCount val="12"/>
                <c:pt idx="0">
                  <c:v>11192508</c:v>
                </c:pt>
                <c:pt idx="1">
                  <c:v>11918033.5</c:v>
                </c:pt>
                <c:pt idx="2">
                  <c:v>12373007</c:v>
                </c:pt>
                <c:pt idx="3">
                  <c:v>11585135</c:v>
                </c:pt>
                <c:pt idx="4">
                  <c:v>12473156</c:v>
                </c:pt>
                <c:pt idx="5">
                  <c:v>11759959</c:v>
                </c:pt>
                <c:pt idx="6">
                  <c:v>12272457.5</c:v>
                </c:pt>
                <c:pt idx="7">
                  <c:v>11045000</c:v>
                </c:pt>
                <c:pt idx="8">
                  <c:v>9477000</c:v>
                </c:pt>
                <c:pt idx="9">
                  <c:v>10833000</c:v>
                </c:pt>
                <c:pt idx="10">
                  <c:v>12258838.888888888</c:v>
                </c:pt>
                <c:pt idx="11">
                  <c:v>10665555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9-40DC-95CA-8A4D56F60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Colombia!$Q$27</c:f>
          <c:strCache>
            <c:ptCount val="1"/>
            <c:pt idx="0">
              <c:v>Colombia : Arabica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Colombia!$M$83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Colombia!$N$75:$Y$75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Colombia!$N$83:$Y$83</c:f>
              <c:numCache>
                <c:formatCode>#,##0</c:formatCode>
                <c:ptCount val="12"/>
                <c:pt idx="0">
                  <c:v>987000</c:v>
                </c:pt>
                <c:pt idx="1">
                  <c:v>2122000</c:v>
                </c:pt>
                <c:pt idx="2">
                  <c:v>3289000</c:v>
                </c:pt>
                <c:pt idx="3">
                  <c:v>4321000</c:v>
                </c:pt>
                <c:pt idx="4">
                  <c:v>5304000</c:v>
                </c:pt>
                <c:pt idx="5">
                  <c:v>6425000</c:v>
                </c:pt>
                <c:pt idx="6">
                  <c:v>7270000</c:v>
                </c:pt>
                <c:pt idx="7">
                  <c:v>8214000</c:v>
                </c:pt>
                <c:pt idx="8">
                  <c:v>9153000</c:v>
                </c:pt>
                <c:pt idx="9">
                  <c:v>10173000</c:v>
                </c:pt>
                <c:pt idx="10">
                  <c:v>11045000</c:v>
                </c:pt>
                <c:pt idx="11">
                  <c:v>11865000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44-419F-96BA-672A2EE2E243}"/>
            </c:ext>
          </c:extLst>
        </c:ser>
        <c:ser>
          <c:idx val="3"/>
          <c:order val="3"/>
          <c:tx>
            <c:strRef>
              <c:f>Colombia!$M$84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Colombia!$N$75:$Y$75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Colombia!$N$84:$Y$84</c:f>
              <c:numCache>
                <c:formatCode>#,##0</c:formatCode>
                <c:ptCount val="12"/>
                <c:pt idx="0">
                  <c:v>944000</c:v>
                </c:pt>
                <c:pt idx="1">
                  <c:v>1798000</c:v>
                </c:pt>
                <c:pt idx="2">
                  <c:v>2828000</c:v>
                </c:pt>
                <c:pt idx="3">
                  <c:v>3663000</c:v>
                </c:pt>
                <c:pt idx="4">
                  <c:v>4591000</c:v>
                </c:pt>
                <c:pt idx="5">
                  <c:v>5497000</c:v>
                </c:pt>
                <c:pt idx="6">
                  <c:v>6220000</c:v>
                </c:pt>
                <c:pt idx="7">
                  <c:v>7066000</c:v>
                </c:pt>
                <c:pt idx="8">
                  <c:v>7814000</c:v>
                </c:pt>
                <c:pt idx="9">
                  <c:v>8660000</c:v>
                </c:pt>
                <c:pt idx="10">
                  <c:v>9477000</c:v>
                </c:pt>
                <c:pt idx="11">
                  <c:v>10317000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44-419F-96BA-672A2EE2E243}"/>
            </c:ext>
          </c:extLst>
        </c:ser>
        <c:ser>
          <c:idx val="4"/>
          <c:order val="4"/>
          <c:tx>
            <c:strRef>
              <c:f>Colombia!$M$85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Colombia!$N$75:$Y$75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Colombia!$N$85:$Y$85</c:f>
              <c:numCache>
                <c:formatCode>#,##0</c:formatCode>
                <c:ptCount val="12"/>
                <c:pt idx="0">
                  <c:v>906000</c:v>
                </c:pt>
                <c:pt idx="1">
                  <c:v>2006000</c:v>
                </c:pt>
                <c:pt idx="2">
                  <c:v>3066000</c:v>
                </c:pt>
                <c:pt idx="3">
                  <c:v>4003000</c:v>
                </c:pt>
                <c:pt idx="4">
                  <c:v>5049000</c:v>
                </c:pt>
                <c:pt idx="5">
                  <c:v>6059000</c:v>
                </c:pt>
                <c:pt idx="6">
                  <c:v>6851000</c:v>
                </c:pt>
                <c:pt idx="7">
                  <c:v>7786000</c:v>
                </c:pt>
                <c:pt idx="8">
                  <c:v>8812000</c:v>
                </c:pt>
                <c:pt idx="9">
                  <c:v>9812000</c:v>
                </c:pt>
                <c:pt idx="10">
                  <c:v>10833000</c:v>
                </c:pt>
                <c:pt idx="11">
                  <c:v>11820000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44-419F-96BA-672A2EE2E243}"/>
            </c:ext>
          </c:extLst>
        </c:ser>
        <c:ser>
          <c:idx val="5"/>
          <c:order val="5"/>
          <c:tx>
            <c:strRef>
              <c:f>Colombia!$M$86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Colombia!$N$75:$Y$75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Colombia!$N$86:$Y$86</c:f>
              <c:numCache>
                <c:formatCode>#,##0</c:formatCode>
                <c:ptCount val="12"/>
                <c:pt idx="0">
                  <c:v>1047000</c:v>
                </c:pt>
                <c:pt idx="1">
                  <c:v>2236000</c:v>
                </c:pt>
                <c:pt idx="2">
                  <c:v>3518000</c:v>
                </c:pt>
                <c:pt idx="3">
                  <c:v>4669000</c:v>
                </c:pt>
                <c:pt idx="4">
                  <c:v>5856000</c:v>
                </c:pt>
                <c:pt idx="5">
                  <c:v>7124000</c:v>
                </c:pt>
                <c:pt idx="6">
                  <c:v>7920000</c:v>
                </c:pt>
                <c:pt idx="7">
                  <c:v>8830000</c:v>
                </c:pt>
                <c:pt idx="8">
                  <c:v>9916000</c:v>
                </c:pt>
                <c:pt idx="9">
                  <c:v>11086000</c:v>
                </c:pt>
                <c:pt idx="10">
                  <c:v>12258838.888888888</c:v>
                </c:pt>
                <c:pt idx="11">
                  <c:v>13321838.888888888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44-419F-96BA-672A2EE2E243}"/>
            </c:ext>
          </c:extLst>
        </c:ser>
        <c:ser>
          <c:idx val="6"/>
          <c:order val="6"/>
          <c:tx>
            <c:strRef>
              <c:f>Colombia!$M$87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Colombia!$N$75:$Y$75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Colombia!$N$87:$Y$87</c:f>
              <c:numCache>
                <c:formatCode>#,##0</c:formatCode>
                <c:ptCount val="12"/>
                <c:pt idx="0">
                  <c:v>1042000</c:v>
                </c:pt>
                <c:pt idx="1">
                  <c:v>2310000</c:v>
                </c:pt>
                <c:pt idx="2">
                  <c:v>3388000</c:v>
                </c:pt>
                <c:pt idx="3">
                  <c:v>4298000</c:v>
                </c:pt>
                <c:pt idx="4">
                  <c:v>5105000</c:v>
                </c:pt>
                <c:pt idx="5">
                  <c:v>5948000</c:v>
                </c:pt>
                <c:pt idx="6">
                  <c:v>6630000</c:v>
                </c:pt>
                <c:pt idx="7">
                  <c:v>7524000</c:v>
                </c:pt>
                <c:pt idx="8">
                  <c:v>8618000</c:v>
                </c:pt>
                <c:pt idx="9">
                  <c:v>9610000</c:v>
                </c:pt>
                <c:pt idx="10">
                  <c:v>10665555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A-49ED-8160-E8AD78550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Colombia!$M$81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Colombia!$N$75:$Y$75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Colombia!$N$81:$Y$81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1211405</c:v>
                      </c:pt>
                      <c:pt idx="1">
                        <c:v>2373614</c:v>
                      </c:pt>
                      <c:pt idx="2">
                        <c:v>3759911</c:v>
                      </c:pt>
                      <c:pt idx="3">
                        <c:v>4824790</c:v>
                      </c:pt>
                      <c:pt idx="4">
                        <c:v>5902850</c:v>
                      </c:pt>
                      <c:pt idx="5">
                        <c:v>6850694</c:v>
                      </c:pt>
                      <c:pt idx="6">
                        <c:v>7492725</c:v>
                      </c:pt>
                      <c:pt idx="7">
                        <c:v>8386300</c:v>
                      </c:pt>
                      <c:pt idx="8">
                        <c:v>9497773</c:v>
                      </c:pt>
                      <c:pt idx="9">
                        <c:v>10628959</c:v>
                      </c:pt>
                      <c:pt idx="10">
                        <c:v>11759959</c:v>
                      </c:pt>
                      <c:pt idx="11">
                        <c:v>12647453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944-419F-96BA-672A2EE2E2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Colombia!$M$82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Colombia!$N$82:$Y$82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1051833</c:v>
                      </c:pt>
                      <c:pt idx="1">
                        <c:v>2330436</c:v>
                      </c:pt>
                      <c:pt idx="2">
                        <c:v>3639436</c:v>
                      </c:pt>
                      <c:pt idx="3">
                        <c:v>4711436</c:v>
                      </c:pt>
                      <c:pt idx="4">
                        <c:v>5985076</c:v>
                      </c:pt>
                      <c:pt idx="5">
                        <c:v>7113083</c:v>
                      </c:pt>
                      <c:pt idx="6">
                        <c:v>8148110</c:v>
                      </c:pt>
                      <c:pt idx="7">
                        <c:v>9066897.5</c:v>
                      </c:pt>
                      <c:pt idx="8">
                        <c:v>9957181.5</c:v>
                      </c:pt>
                      <c:pt idx="9">
                        <c:v>11141457.5</c:v>
                      </c:pt>
                      <c:pt idx="10">
                        <c:v>12272457.5</c:v>
                      </c:pt>
                      <c:pt idx="11">
                        <c:v>13362457.5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944-419F-96BA-672A2EE2E243}"/>
                  </c:ext>
                </c:extLst>
              </c15:ser>
            </c15:filteredLineSeries>
          </c:ext>
        </c:extLst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Honduras!$C$5</c:f>
          <c:strCache>
            <c:ptCount val="1"/>
            <c:pt idx="0">
              <c:v>Honduras : Arabica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Honduras!$B$14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Honduras!$C$6:$N$6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Honduras!$C$14:$N$14</c:f>
              <c:numCache>
                <c:formatCode>#,##0</c:formatCode>
                <c:ptCount val="12"/>
                <c:pt idx="0">
                  <c:v>80328</c:v>
                </c:pt>
                <c:pt idx="1">
                  <c:v>103948</c:v>
                </c:pt>
                <c:pt idx="2">
                  <c:v>296539</c:v>
                </c:pt>
                <c:pt idx="3">
                  <c:v>506462</c:v>
                </c:pt>
                <c:pt idx="4">
                  <c:v>502521</c:v>
                </c:pt>
                <c:pt idx="5">
                  <c:v>735246</c:v>
                </c:pt>
                <c:pt idx="6">
                  <c:v>584063</c:v>
                </c:pt>
                <c:pt idx="7">
                  <c:v>522847</c:v>
                </c:pt>
                <c:pt idx="8">
                  <c:v>563409</c:v>
                </c:pt>
                <c:pt idx="9">
                  <c:v>390617</c:v>
                </c:pt>
                <c:pt idx="10">
                  <c:v>245235</c:v>
                </c:pt>
                <c:pt idx="11">
                  <c:v>169391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46-4875-B967-EE5FAB0685E3}"/>
            </c:ext>
          </c:extLst>
        </c:ser>
        <c:ser>
          <c:idx val="8"/>
          <c:order val="8"/>
          <c:tx>
            <c:strRef>
              <c:f>Honduras!$B$15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Honduras!$C$6:$N$6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Honduras!$C$15:$N$15</c:f>
              <c:numCache>
                <c:formatCode>#,##0</c:formatCode>
                <c:ptCount val="12"/>
                <c:pt idx="0">
                  <c:v>40841.973999999995</c:v>
                </c:pt>
                <c:pt idx="1">
                  <c:v>52022.933333333334</c:v>
                </c:pt>
                <c:pt idx="2">
                  <c:v>196304.68566666666</c:v>
                </c:pt>
                <c:pt idx="3">
                  <c:v>520794.77300000004</c:v>
                </c:pt>
                <c:pt idx="4">
                  <c:v>567110.92333333346</c:v>
                </c:pt>
                <c:pt idx="5">
                  <c:v>633984.22833333339</c:v>
                </c:pt>
                <c:pt idx="6">
                  <c:v>745144.83833333338</c:v>
                </c:pt>
                <c:pt idx="7">
                  <c:v>826028.93833333335</c:v>
                </c:pt>
                <c:pt idx="8">
                  <c:v>617136.16099999996</c:v>
                </c:pt>
                <c:pt idx="9">
                  <c:v>528747.95833333314</c:v>
                </c:pt>
                <c:pt idx="10">
                  <c:v>398874.52533333341</c:v>
                </c:pt>
                <c:pt idx="11">
                  <c:v>215970.66699999999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46-4875-B967-EE5FAB0685E3}"/>
            </c:ext>
          </c:extLst>
        </c:ser>
        <c:ser>
          <c:idx val="9"/>
          <c:order val="9"/>
          <c:tx>
            <c:strRef>
              <c:f>Honduras!$B$16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Honduras!$C$6:$N$6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Honduras!$C$16:$N$16</c:f>
              <c:numCache>
                <c:formatCode>#,##0</c:formatCode>
                <c:ptCount val="12"/>
                <c:pt idx="0">
                  <c:v>24843.948333333337</c:v>
                </c:pt>
                <c:pt idx="1">
                  <c:v>67454.399999999994</c:v>
                </c:pt>
                <c:pt idx="2">
                  <c:v>213117.99233333333</c:v>
                </c:pt>
                <c:pt idx="3">
                  <c:v>342365.84833333333</c:v>
                </c:pt>
                <c:pt idx="4">
                  <c:v>578716.87666666671</c:v>
                </c:pt>
                <c:pt idx="5">
                  <c:v>717983</c:v>
                </c:pt>
                <c:pt idx="6">
                  <c:v>549097</c:v>
                </c:pt>
                <c:pt idx="7">
                  <c:v>773566</c:v>
                </c:pt>
                <c:pt idx="8">
                  <c:v>547206.34000000032</c:v>
                </c:pt>
                <c:pt idx="9">
                  <c:v>468179.66633333336</c:v>
                </c:pt>
                <c:pt idx="10">
                  <c:v>248441</c:v>
                </c:pt>
                <c:pt idx="11">
                  <c:v>268743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46-4875-B967-EE5FAB0685E3}"/>
            </c:ext>
          </c:extLst>
        </c:ser>
        <c:ser>
          <c:idx val="10"/>
          <c:order val="10"/>
          <c:tx>
            <c:strRef>
              <c:f>Honduras!$B$17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Honduras!$C$6:$N$6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Honduras!$C$17:$N$17</c:f>
              <c:numCache>
                <c:formatCode>#,##0</c:formatCode>
                <c:ptCount val="12"/>
                <c:pt idx="0">
                  <c:v>17311.517333333333</c:v>
                </c:pt>
                <c:pt idx="1">
                  <c:v>28782.567999999996</c:v>
                </c:pt>
                <c:pt idx="2">
                  <c:v>86258.785999999993</c:v>
                </c:pt>
                <c:pt idx="3">
                  <c:v>366043.94199999992</c:v>
                </c:pt>
                <c:pt idx="4">
                  <c:v>606124.19799999997</c:v>
                </c:pt>
                <c:pt idx="5">
                  <c:v>812470.7219999996</c:v>
                </c:pt>
                <c:pt idx="6">
                  <c:v>551756.49133333331</c:v>
                </c:pt>
                <c:pt idx="7">
                  <c:v>762032.85666666669</c:v>
                </c:pt>
                <c:pt idx="8">
                  <c:v>640853.46200000006</c:v>
                </c:pt>
                <c:pt idx="9">
                  <c:v>458718.19466666668</c:v>
                </c:pt>
                <c:pt idx="10">
                  <c:v>226720.60633333336</c:v>
                </c:pt>
                <c:pt idx="11">
                  <c:v>195595.74764705883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46-4875-B967-EE5FAB0685E3}"/>
            </c:ext>
          </c:extLst>
        </c:ser>
        <c:ser>
          <c:idx val="11"/>
          <c:order val="11"/>
          <c:tx>
            <c:strRef>
              <c:f>Honduras!$B$18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prstDash val="solid"/>
              <a:round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  <a:round/>
                <a:extLst>
                  <a:ext uri="{C807C97D-BFC1-408E-A445-0C87EB9F89A2}">
                    <ask:lineSketchStyleProps xmlns:ask="http://schemas.microsoft.com/office/drawing/2018/sketchyshapes">
                      <ask:type>
                        <ask:lineSketchNone/>
                      </ask:type>
                    </ask:lineSketchStyleProps>
                  </a:ext>
                </a:extLst>
              </a:ln>
              <a:effectLst/>
            </c:spPr>
          </c:marker>
          <c:dPt>
            <c:idx val="4"/>
            <c:marker>
              <c:symbol val="triangle"/>
              <c:size val="6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  <a:prstDash val="solid"/>
                  <a:round/>
                  <a:extLst>
                    <a:ext uri="{C807C97D-BFC1-408E-A445-0C87EB9F89A2}">
                      <ask:lineSketchStyleProps xmlns:ask="http://schemas.microsoft.com/office/drawing/2018/sketchyshapes">
                        <ask:type>
                          <ask:lineSketchNone/>
                        </ask:type>
                      </ask:lineSketchStyleProps>
                    </a:ext>
                  </a:extLst>
                </a:ln>
                <a:effectLst/>
              </c:spPr>
            </c:marker>
            <c:bubble3D val="0"/>
            <c:spPr>
              <a:ln w="22225" cap="rnd">
                <a:solidFill>
                  <a:schemeClr val="accent6">
                    <a:lumMod val="60000"/>
                  </a:schemeClr>
                </a:solidFill>
                <a:prstDash val="solid"/>
                <a:round/>
                <a:extLst>
                  <a:ext uri="{C807C97D-BFC1-408E-A445-0C87EB9F89A2}">
                    <ask:lineSketchStyleProps xmlns:ask="http://schemas.microsoft.com/office/drawing/2018/sketchyshapes">
                      <ask:type>
                        <ask:lineSketchNone/>
                      </ask:type>
                    </ask:lineSketchStyleProps>
                  </a:ext>
                </a:extLst>
              </a:ln>
              <a:effectLst/>
            </c:spPr>
            <c:extLst>
              <c:ext xmlns:c16="http://schemas.microsoft.com/office/drawing/2014/chart" uri="{C3380CC4-5D6E-409C-BE32-E72D297353CC}">
                <c16:uniqueId val="{00000000-F41E-4772-A5A6-C73D3AD3617F}"/>
              </c:ext>
            </c:extLst>
          </c:dPt>
          <c:dPt>
            <c:idx val="7"/>
            <c:marker>
              <c:symbol val="triangle"/>
              <c:size val="6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  <a:prstDash val="sysDot"/>
                  <a:round/>
                  <a:extLst>
                    <a:ext uri="{C807C97D-BFC1-408E-A445-0C87EB9F89A2}">
                      <ask:lineSketchStyleProps xmlns:ask="http://schemas.microsoft.com/office/drawing/2018/sketchyshapes">
                        <ask:type>
                          <ask:lineSketchNone/>
                        </ask:type>
                      </ask:lineSketchStyleProps>
                    </a:ext>
                  </a:extLst>
                </a:ln>
                <a:effectLst/>
              </c:spPr>
            </c:marker>
            <c:bubble3D val="0"/>
            <c:spPr>
              <a:ln w="22225" cap="rnd">
                <a:solidFill>
                  <a:schemeClr val="accent6">
                    <a:lumMod val="60000"/>
                  </a:schemeClr>
                </a:solidFill>
                <a:prstDash val="sysDot"/>
                <a:round/>
                <a:extLst>
                  <a:ext uri="{C807C97D-BFC1-408E-A445-0C87EB9F89A2}">
                    <ask:lineSketchStyleProps xmlns:ask="http://schemas.microsoft.com/office/drawing/2018/sketchyshapes">
                      <ask:type>
                        <ask:lineSketchNone/>
                      </ask:type>
                    </ask:lineSketchStyleProps>
                  </a:ext>
                </a:extLst>
              </a:ln>
              <a:effectLst/>
            </c:spPr>
            <c:extLst>
              <c:ext xmlns:c16="http://schemas.microsoft.com/office/drawing/2014/chart" uri="{C3380CC4-5D6E-409C-BE32-E72D297353CC}">
                <c16:uniqueId val="{00000002-DF14-4CEF-83D1-E9F84E5F930D}"/>
              </c:ext>
            </c:extLst>
          </c:dPt>
          <c:cat>
            <c:strRef>
              <c:f>Honduras!$C$6:$N$6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Honduras!$C$18:$N$18</c:f>
              <c:numCache>
                <c:formatCode>#,##0</c:formatCode>
                <c:ptCount val="12"/>
                <c:pt idx="0">
                  <c:v>29951.903333333332</c:v>
                </c:pt>
                <c:pt idx="1">
                  <c:v>60223.690666666669</c:v>
                </c:pt>
                <c:pt idx="2">
                  <c:v>271711.76499999996</c:v>
                </c:pt>
                <c:pt idx="3">
                  <c:v>640000</c:v>
                </c:pt>
                <c:pt idx="4">
                  <c:v>940000</c:v>
                </c:pt>
                <c:pt idx="5">
                  <c:v>970000</c:v>
                </c:pt>
                <c:pt idx="6">
                  <c:v>680000</c:v>
                </c:pt>
                <c:pt idx="7">
                  <c:v>760000</c:v>
                </c:pt>
                <c:pt idx="8">
                  <c:v>620000</c:v>
                </c:pt>
                <c:pt idx="9">
                  <c:v>370000</c:v>
                </c:pt>
                <c:pt idx="10">
                  <c:v>240000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3-4063-8749-B00915F89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Honduras!$B$7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Honduras!$C$6:$N$6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Honduras!$C$7:$N$7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F46-4875-B967-EE5FAB0685E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F46-4875-B967-EE5FAB0685E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F46-4875-B967-EE5FAB0685E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52017</c:v>
                      </c:pt>
                      <c:pt idx="1">
                        <c:v>165808</c:v>
                      </c:pt>
                      <c:pt idx="2">
                        <c:v>422141</c:v>
                      </c:pt>
                      <c:pt idx="3">
                        <c:v>887643</c:v>
                      </c:pt>
                      <c:pt idx="4">
                        <c:v>963774</c:v>
                      </c:pt>
                      <c:pt idx="5">
                        <c:v>856773</c:v>
                      </c:pt>
                      <c:pt idx="6">
                        <c:v>804573</c:v>
                      </c:pt>
                      <c:pt idx="7">
                        <c:v>747591</c:v>
                      </c:pt>
                      <c:pt idx="8">
                        <c:v>856001</c:v>
                      </c:pt>
                      <c:pt idx="9">
                        <c:v>688193</c:v>
                      </c:pt>
                      <c:pt idx="10">
                        <c:v>473626</c:v>
                      </c:pt>
                      <c:pt idx="11">
                        <c:v>296640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F46-4875-B967-EE5FAB0685E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101053</c:v>
                      </c:pt>
                      <c:pt idx="1">
                        <c:v>113896</c:v>
                      </c:pt>
                      <c:pt idx="2">
                        <c:v>354121</c:v>
                      </c:pt>
                      <c:pt idx="3">
                        <c:v>616091</c:v>
                      </c:pt>
                      <c:pt idx="4">
                        <c:v>822798</c:v>
                      </c:pt>
                      <c:pt idx="5">
                        <c:v>806252</c:v>
                      </c:pt>
                      <c:pt idx="6">
                        <c:v>933537</c:v>
                      </c:pt>
                      <c:pt idx="7">
                        <c:v>922397</c:v>
                      </c:pt>
                      <c:pt idx="8">
                        <c:v>926291</c:v>
                      </c:pt>
                      <c:pt idx="9">
                        <c:v>696659</c:v>
                      </c:pt>
                      <c:pt idx="10">
                        <c:v>272375</c:v>
                      </c:pt>
                      <c:pt idx="11">
                        <c:v>248636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F46-4875-B967-EE5FAB0685E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Honduras!$B$12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Honduras!$C$12:$N$12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74980</c:v>
                      </c:pt>
                      <c:pt idx="1">
                        <c:v>106823</c:v>
                      </c:pt>
                      <c:pt idx="2">
                        <c:v>339952</c:v>
                      </c:pt>
                      <c:pt idx="3">
                        <c:v>718886</c:v>
                      </c:pt>
                      <c:pt idx="4">
                        <c:v>759009</c:v>
                      </c:pt>
                      <c:pt idx="5">
                        <c:v>772693</c:v>
                      </c:pt>
                      <c:pt idx="6">
                        <c:v>657091</c:v>
                      </c:pt>
                      <c:pt idx="7">
                        <c:v>783271</c:v>
                      </c:pt>
                      <c:pt idx="8">
                        <c:v>644726</c:v>
                      </c:pt>
                      <c:pt idx="9">
                        <c:v>326817</c:v>
                      </c:pt>
                      <c:pt idx="10">
                        <c:v>183584</c:v>
                      </c:pt>
                      <c:pt idx="11">
                        <c:v>136492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F46-4875-B967-EE5FAB0685E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Honduras!$B$13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Honduras!$C$13:$N$13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20410</c:v>
                      </c:pt>
                      <c:pt idx="1">
                        <c:v>55551</c:v>
                      </c:pt>
                      <c:pt idx="2">
                        <c:v>202463</c:v>
                      </c:pt>
                      <c:pt idx="3">
                        <c:v>465476</c:v>
                      </c:pt>
                      <c:pt idx="4">
                        <c:v>641748</c:v>
                      </c:pt>
                      <c:pt idx="5">
                        <c:v>807506</c:v>
                      </c:pt>
                      <c:pt idx="6">
                        <c:v>749880</c:v>
                      </c:pt>
                      <c:pt idx="7">
                        <c:v>833453</c:v>
                      </c:pt>
                      <c:pt idx="8">
                        <c:v>782150</c:v>
                      </c:pt>
                      <c:pt idx="9">
                        <c:v>661437</c:v>
                      </c:pt>
                      <c:pt idx="10">
                        <c:v>418075</c:v>
                      </c:pt>
                      <c:pt idx="11">
                        <c:v>235050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F46-4875-B967-EE5FAB0685E3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66516829571116209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Honduras!$A$66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Honduras!$B$65:$M$65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Honduras!$B$66:$M$66</c:f>
              <c:numCache>
                <c:formatCode>#,##0</c:formatCode>
                <c:ptCount val="12"/>
                <c:pt idx="0">
                  <c:v>29951.903333333332</c:v>
                </c:pt>
                <c:pt idx="1">
                  <c:v>60223.690666666669</c:v>
                </c:pt>
                <c:pt idx="2">
                  <c:v>271711.76499999996</c:v>
                </c:pt>
                <c:pt idx="3">
                  <c:v>640000</c:v>
                </c:pt>
                <c:pt idx="4">
                  <c:v>940000</c:v>
                </c:pt>
                <c:pt idx="5">
                  <c:v>970000</c:v>
                </c:pt>
                <c:pt idx="6">
                  <c:v>680000</c:v>
                </c:pt>
                <c:pt idx="7">
                  <c:v>760000</c:v>
                </c:pt>
                <c:pt idx="8">
                  <c:v>620000</c:v>
                </c:pt>
                <c:pt idx="9">
                  <c:v>370000</c:v>
                </c:pt>
                <c:pt idx="10">
                  <c:v>240000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7B-4D2D-BAF4-86BF3619CC73}"/>
            </c:ext>
          </c:extLst>
        </c:ser>
        <c:ser>
          <c:idx val="1"/>
          <c:order val="1"/>
          <c:tx>
            <c:strRef>
              <c:f>Honduras!$A$67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Honduras!$B$65:$M$65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Honduras!$B$67:$M$67</c:f>
              <c:numCache>
                <c:formatCode>#,##0</c:formatCode>
                <c:ptCount val="12"/>
                <c:pt idx="0">
                  <c:v>17311.517333333333</c:v>
                </c:pt>
                <c:pt idx="1">
                  <c:v>28782.567999999996</c:v>
                </c:pt>
                <c:pt idx="2">
                  <c:v>86258.785999999993</c:v>
                </c:pt>
                <c:pt idx="3">
                  <c:v>342365.84833333333</c:v>
                </c:pt>
                <c:pt idx="4">
                  <c:v>502521</c:v>
                </c:pt>
                <c:pt idx="5">
                  <c:v>633984.22833333339</c:v>
                </c:pt>
                <c:pt idx="6">
                  <c:v>549097</c:v>
                </c:pt>
                <c:pt idx="7">
                  <c:v>522847</c:v>
                </c:pt>
                <c:pt idx="8">
                  <c:v>547206.34000000032</c:v>
                </c:pt>
                <c:pt idx="9">
                  <c:v>326817</c:v>
                </c:pt>
                <c:pt idx="10">
                  <c:v>183584</c:v>
                </c:pt>
                <c:pt idx="11">
                  <c:v>136492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7B-4D2D-BAF4-86BF3619CC73}"/>
            </c:ext>
          </c:extLst>
        </c:ser>
        <c:ser>
          <c:idx val="2"/>
          <c:order val="2"/>
          <c:tx>
            <c:strRef>
              <c:f>Honduras!$A$68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Honduras!$B$65:$M$65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Honduras!$B$68:$M$68</c:f>
              <c:numCache>
                <c:formatCode>#,##0</c:formatCode>
                <c:ptCount val="12"/>
                <c:pt idx="0">
                  <c:v>101053</c:v>
                </c:pt>
                <c:pt idx="1">
                  <c:v>165808</c:v>
                </c:pt>
                <c:pt idx="2">
                  <c:v>422141</c:v>
                </c:pt>
                <c:pt idx="3">
                  <c:v>887643</c:v>
                </c:pt>
                <c:pt idx="4">
                  <c:v>963774</c:v>
                </c:pt>
                <c:pt idx="5">
                  <c:v>856773</c:v>
                </c:pt>
                <c:pt idx="6">
                  <c:v>933537</c:v>
                </c:pt>
                <c:pt idx="7">
                  <c:v>922397</c:v>
                </c:pt>
                <c:pt idx="8">
                  <c:v>926291</c:v>
                </c:pt>
                <c:pt idx="9">
                  <c:v>696659</c:v>
                </c:pt>
                <c:pt idx="10">
                  <c:v>473626</c:v>
                </c:pt>
                <c:pt idx="11">
                  <c:v>296640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7B-4D2D-BAF4-86BF3619CC73}"/>
            </c:ext>
          </c:extLst>
        </c:ser>
        <c:ser>
          <c:idx val="3"/>
          <c:order val="3"/>
          <c:tx>
            <c:strRef>
              <c:f>Honduras!$A$69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Honduras!$B$65:$M$65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Honduras!$B$69:$M$69</c:f>
              <c:numCache>
                <c:formatCode>#,##0</c:formatCode>
                <c:ptCount val="12"/>
                <c:pt idx="0">
                  <c:v>36747.087933333329</c:v>
                </c:pt>
                <c:pt idx="1">
                  <c:v>61551.780266666668</c:v>
                </c:pt>
                <c:pt idx="2">
                  <c:v>198936.69279999999</c:v>
                </c:pt>
                <c:pt idx="3">
                  <c:v>440228.51266666671</c:v>
                </c:pt>
                <c:pt idx="4">
                  <c:v>579244.19959999993</c:v>
                </c:pt>
                <c:pt idx="5">
                  <c:v>741437.99006666662</c:v>
                </c:pt>
                <c:pt idx="6">
                  <c:v>635988.26593333331</c:v>
                </c:pt>
                <c:pt idx="7">
                  <c:v>743585.55900000001</c:v>
                </c:pt>
                <c:pt idx="8">
                  <c:v>630150.99260000011</c:v>
                </c:pt>
                <c:pt idx="9">
                  <c:v>501539.9638666666</c:v>
                </c:pt>
                <c:pt idx="10">
                  <c:v>307469.2263333333</c:v>
                </c:pt>
                <c:pt idx="11">
                  <c:v>216950.08292941176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7B-4D2D-BAF4-86BF3619C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Honduras!$I$84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Honduras!$H$121:$H$228</c:f>
              <c:strCache>
                <c:ptCount val="108"/>
                <c:pt idx="0">
                  <c:v>Sep'17/18</c:v>
                </c:pt>
                <c:pt idx="1">
                  <c:v>Oct'18/19</c:v>
                </c:pt>
                <c:pt idx="2">
                  <c:v>Nov'18/19</c:v>
                </c:pt>
                <c:pt idx="3">
                  <c:v>Dec'18/19</c:v>
                </c:pt>
                <c:pt idx="4">
                  <c:v>Jan'18/19</c:v>
                </c:pt>
                <c:pt idx="5">
                  <c:v>Feb'18/19</c:v>
                </c:pt>
                <c:pt idx="6">
                  <c:v>Mar'18/19</c:v>
                </c:pt>
                <c:pt idx="7">
                  <c:v>Apr'18/19</c:v>
                </c:pt>
                <c:pt idx="8">
                  <c:v>May'18/19</c:v>
                </c:pt>
                <c:pt idx="9">
                  <c:v>Jun'18/19</c:v>
                </c:pt>
                <c:pt idx="10">
                  <c:v>Jul'18/19</c:v>
                </c:pt>
                <c:pt idx="11">
                  <c:v>Aug'18/19</c:v>
                </c:pt>
                <c:pt idx="12">
                  <c:v>Sep'18/19</c:v>
                </c:pt>
                <c:pt idx="13">
                  <c:v>Oct'19/20</c:v>
                </c:pt>
                <c:pt idx="14">
                  <c:v>Nov'19/20</c:v>
                </c:pt>
                <c:pt idx="15">
                  <c:v>Dec'19/20</c:v>
                </c:pt>
                <c:pt idx="16">
                  <c:v>Jan'19/20</c:v>
                </c:pt>
                <c:pt idx="17">
                  <c:v>Feb'19/20</c:v>
                </c:pt>
                <c:pt idx="18">
                  <c:v>Mar'19/20</c:v>
                </c:pt>
                <c:pt idx="19">
                  <c:v>Apr'19/20</c:v>
                </c:pt>
                <c:pt idx="20">
                  <c:v>May'19/20</c:v>
                </c:pt>
                <c:pt idx="21">
                  <c:v>Jun'19/20</c:v>
                </c:pt>
                <c:pt idx="22">
                  <c:v>Jul'19/20</c:v>
                </c:pt>
                <c:pt idx="23">
                  <c:v>Aug'19/20</c:v>
                </c:pt>
                <c:pt idx="24">
                  <c:v>Sep'19/20</c:v>
                </c:pt>
                <c:pt idx="25">
                  <c:v>Oct'20/21</c:v>
                </c:pt>
                <c:pt idx="26">
                  <c:v>Nov'20/21</c:v>
                </c:pt>
                <c:pt idx="27">
                  <c:v>Dec'20/21</c:v>
                </c:pt>
                <c:pt idx="28">
                  <c:v>Jan'20/21</c:v>
                </c:pt>
                <c:pt idx="29">
                  <c:v>Feb'20/21</c:v>
                </c:pt>
                <c:pt idx="30">
                  <c:v>Mar'20/21</c:v>
                </c:pt>
                <c:pt idx="31">
                  <c:v>Apr'20/21</c:v>
                </c:pt>
                <c:pt idx="32">
                  <c:v>May'20/21</c:v>
                </c:pt>
                <c:pt idx="33">
                  <c:v>Jun'20/21</c:v>
                </c:pt>
                <c:pt idx="34">
                  <c:v>Jul'20/21</c:v>
                </c:pt>
                <c:pt idx="35">
                  <c:v>Aug'20/21</c:v>
                </c:pt>
                <c:pt idx="36">
                  <c:v>Sep'20/21</c:v>
                </c:pt>
                <c:pt idx="37">
                  <c:v>Oct'21/22</c:v>
                </c:pt>
                <c:pt idx="38">
                  <c:v>Nov'21/22</c:v>
                </c:pt>
                <c:pt idx="39">
                  <c:v>Dec'21/22</c:v>
                </c:pt>
                <c:pt idx="40">
                  <c:v>Jan'21/22</c:v>
                </c:pt>
                <c:pt idx="41">
                  <c:v>Feb'21/22</c:v>
                </c:pt>
                <c:pt idx="42">
                  <c:v>Mar'21/22</c:v>
                </c:pt>
                <c:pt idx="43">
                  <c:v>Apr'21/22</c:v>
                </c:pt>
                <c:pt idx="44">
                  <c:v>May'21/22</c:v>
                </c:pt>
                <c:pt idx="45">
                  <c:v>Jun'21/22</c:v>
                </c:pt>
                <c:pt idx="46">
                  <c:v>Jul'21/22</c:v>
                </c:pt>
                <c:pt idx="47">
                  <c:v>Aug'21/22</c:v>
                </c:pt>
                <c:pt idx="48">
                  <c:v>Sep'21/22</c:v>
                </c:pt>
                <c:pt idx="49">
                  <c:v>Oct'22/23</c:v>
                </c:pt>
                <c:pt idx="50">
                  <c:v>Nov'22/23</c:v>
                </c:pt>
                <c:pt idx="51">
                  <c:v>Dec'22/23</c:v>
                </c:pt>
                <c:pt idx="52">
                  <c:v>Jan'22/23</c:v>
                </c:pt>
                <c:pt idx="53">
                  <c:v>Feb'22/23</c:v>
                </c:pt>
                <c:pt idx="54">
                  <c:v>Mar'22/23</c:v>
                </c:pt>
                <c:pt idx="55">
                  <c:v>Apr'22/23</c:v>
                </c:pt>
                <c:pt idx="56">
                  <c:v>May'22/23</c:v>
                </c:pt>
                <c:pt idx="57">
                  <c:v>Jun'22/23</c:v>
                </c:pt>
                <c:pt idx="58">
                  <c:v>Jul'22/23</c:v>
                </c:pt>
                <c:pt idx="59">
                  <c:v>Aug'22/23</c:v>
                </c:pt>
                <c:pt idx="60">
                  <c:v>Sep'22/23</c:v>
                </c:pt>
                <c:pt idx="61">
                  <c:v>Oct'23/24</c:v>
                </c:pt>
                <c:pt idx="62">
                  <c:v>Nov'23/24</c:v>
                </c:pt>
                <c:pt idx="63">
                  <c:v>Dec'23/24</c:v>
                </c:pt>
                <c:pt idx="64">
                  <c:v>Jan'23/24</c:v>
                </c:pt>
                <c:pt idx="65">
                  <c:v>Feb'23/24</c:v>
                </c:pt>
                <c:pt idx="66">
                  <c:v>Mar'23/24</c:v>
                </c:pt>
                <c:pt idx="67">
                  <c:v>Apr'23/24</c:v>
                </c:pt>
                <c:pt idx="68">
                  <c:v>May'23/24</c:v>
                </c:pt>
                <c:pt idx="69">
                  <c:v>Jun'23/24</c:v>
                </c:pt>
                <c:pt idx="70">
                  <c:v>Jul'23/24</c:v>
                </c:pt>
                <c:pt idx="71">
                  <c:v>Aug'23/24</c:v>
                </c:pt>
                <c:pt idx="72">
                  <c:v>Sep'23/24</c:v>
                </c:pt>
                <c:pt idx="73">
                  <c:v>Oct'24/25</c:v>
                </c:pt>
                <c:pt idx="74">
                  <c:v>Nov'24/25</c:v>
                </c:pt>
                <c:pt idx="75">
                  <c:v>Dec'24/25</c:v>
                </c:pt>
                <c:pt idx="76">
                  <c:v>Jan'24/25</c:v>
                </c:pt>
                <c:pt idx="77">
                  <c:v>Feb'24/25</c:v>
                </c:pt>
                <c:pt idx="78">
                  <c:v>Mar'24/25</c:v>
                </c:pt>
                <c:pt idx="79">
                  <c:v>Apr'24/25</c:v>
                </c:pt>
                <c:pt idx="80">
                  <c:v>May'24/25</c:v>
                </c:pt>
                <c:pt idx="81">
                  <c:v>Jun'24/25</c:v>
                </c:pt>
                <c:pt idx="82">
                  <c:v>Jul'24/25</c:v>
                </c:pt>
                <c:pt idx="83">
                  <c:v>Aug'24/25</c:v>
                </c:pt>
                <c:pt idx="84">
                  <c:v>Sep'24/25</c:v>
                </c:pt>
                <c:pt idx="85">
                  <c:v>Oct'25/26</c:v>
                </c:pt>
                <c:pt idx="86">
                  <c:v>Nov'25/26</c:v>
                </c:pt>
                <c:pt idx="87">
                  <c:v>Dec'25/26</c:v>
                </c:pt>
                <c:pt idx="88">
                  <c:v>Jan'25/26</c:v>
                </c:pt>
                <c:pt idx="89">
                  <c:v>Feb'25/26</c:v>
                </c:pt>
                <c:pt idx="90">
                  <c:v>Mar'25/26</c:v>
                </c:pt>
                <c:pt idx="91">
                  <c:v>Apr'25/26</c:v>
                </c:pt>
                <c:pt idx="92">
                  <c:v>May'25/26</c:v>
                </c:pt>
                <c:pt idx="93">
                  <c:v>Jun'25/26</c:v>
                </c:pt>
                <c:pt idx="94">
                  <c:v>Jul'25/26</c:v>
                </c:pt>
                <c:pt idx="95">
                  <c:v>Aug'25/26</c:v>
                </c:pt>
                <c:pt idx="96">
                  <c:v>Sep'25/26</c:v>
                </c:pt>
                <c:pt idx="97">
                  <c:v>Oct'26/27</c:v>
                </c:pt>
                <c:pt idx="98">
                  <c:v>Nov'26/27</c:v>
                </c:pt>
                <c:pt idx="99">
                  <c:v>Dec'26/27</c:v>
                </c:pt>
                <c:pt idx="100">
                  <c:v>Jan'26/27</c:v>
                </c:pt>
                <c:pt idx="101">
                  <c:v>Feb'26/27</c:v>
                </c:pt>
                <c:pt idx="102">
                  <c:v>Mar'26/27</c:v>
                </c:pt>
                <c:pt idx="103">
                  <c:v>Apr'26/27</c:v>
                </c:pt>
                <c:pt idx="104">
                  <c:v>May'26/27</c:v>
                </c:pt>
                <c:pt idx="105">
                  <c:v>Jun'26/27</c:v>
                </c:pt>
                <c:pt idx="106">
                  <c:v>Jul'26/27</c:v>
                </c:pt>
                <c:pt idx="107">
                  <c:v>Aug'26/27</c:v>
                </c:pt>
              </c:strCache>
            </c:strRef>
          </c:cat>
          <c:val>
            <c:numRef>
              <c:f>Honduras!$I$121:$I$228</c:f>
              <c:numCache>
                <c:formatCode>General</c:formatCode>
                <c:ptCount val="108"/>
                <c:pt idx="0">
                  <c:v>7.2147800000000002</c:v>
                </c:pt>
                <c:pt idx="1">
                  <c:v>7.2638160000000003</c:v>
                </c:pt>
                <c:pt idx="2">
                  <c:v>7.2119039999999996</c:v>
                </c:pt>
                <c:pt idx="3">
                  <c:v>7.1438839999999999</c:v>
                </c:pt>
                <c:pt idx="4">
                  <c:v>6.8723320000000001</c:v>
                </c:pt>
                <c:pt idx="5">
                  <c:v>6.7313559999999999</c:v>
                </c:pt>
                <c:pt idx="6">
                  <c:v>6.6808350000000001</c:v>
                </c:pt>
                <c:pt idx="7">
                  <c:v>6.8097989999999999</c:v>
                </c:pt>
                <c:pt idx="8">
                  <c:v>6.9846050000000002</c:v>
                </c:pt>
                <c:pt idx="9">
                  <c:v>7.0548950000000001</c:v>
                </c:pt>
                <c:pt idx="10">
                  <c:v>7.0633609999999996</c:v>
                </c:pt>
                <c:pt idx="11">
                  <c:v>6.8621100000000004</c:v>
                </c:pt>
                <c:pt idx="12">
                  <c:v>6.8141059999999998</c:v>
                </c:pt>
                <c:pt idx="13">
                  <c:v>6.7880330000000004</c:v>
                </c:pt>
                <c:pt idx="14">
                  <c:v>6.7809600000000003</c:v>
                </c:pt>
                <c:pt idx="15">
                  <c:v>6.7667909999999996</c:v>
                </c:pt>
                <c:pt idx="16">
                  <c:v>6.869586</c:v>
                </c:pt>
                <c:pt idx="17">
                  <c:v>6.8057970000000001</c:v>
                </c:pt>
                <c:pt idx="18">
                  <c:v>6.7722379999999998</c:v>
                </c:pt>
                <c:pt idx="19">
                  <c:v>6.4957919999999998</c:v>
                </c:pt>
                <c:pt idx="20">
                  <c:v>6.3566659999999997</c:v>
                </c:pt>
                <c:pt idx="21">
                  <c:v>6.0751010000000001</c:v>
                </c:pt>
                <c:pt idx="22">
                  <c:v>5.7052589999999999</c:v>
                </c:pt>
                <c:pt idx="23">
                  <c:v>5.6164680000000002</c:v>
                </c:pt>
                <c:pt idx="24">
                  <c:v>5.5043240000000004</c:v>
                </c:pt>
                <c:pt idx="25">
                  <c:v>5.4497540000000004</c:v>
                </c:pt>
                <c:pt idx="26">
                  <c:v>5.3984819999999996</c:v>
                </c:pt>
                <c:pt idx="27">
                  <c:v>5.260993</c:v>
                </c:pt>
                <c:pt idx="28">
                  <c:v>5.0075830000000003</c:v>
                </c:pt>
                <c:pt idx="29">
                  <c:v>4.8903220000000003</c:v>
                </c:pt>
                <c:pt idx="30">
                  <c:v>4.925135</c:v>
                </c:pt>
                <c:pt idx="31">
                  <c:v>5.0179239999999998</c:v>
                </c:pt>
                <c:pt idx="32">
                  <c:v>5.0681060000000002</c:v>
                </c:pt>
                <c:pt idx="33">
                  <c:v>5.2055300000000004</c:v>
                </c:pt>
                <c:pt idx="34">
                  <c:v>5.5401499999999997</c:v>
                </c:pt>
                <c:pt idx="35">
                  <c:v>5.7746409999999999</c:v>
                </c:pt>
                <c:pt idx="36">
                  <c:v>5.8731989999999996</c:v>
                </c:pt>
                <c:pt idx="37">
                  <c:v>5.9331170000000002</c:v>
                </c:pt>
                <c:pt idx="38">
                  <c:v>5.9815139999999998</c:v>
                </c:pt>
                <c:pt idx="39">
                  <c:v>6.07559</c:v>
                </c:pt>
                <c:pt idx="40">
                  <c:v>6.1165760000000002</c:v>
                </c:pt>
                <c:pt idx="41">
                  <c:v>5.9773490000000002</c:v>
                </c:pt>
                <c:pt idx="42">
                  <c:v>5.9050890000000003</c:v>
                </c:pt>
                <c:pt idx="43">
                  <c:v>5.7392719999999997</c:v>
                </c:pt>
                <c:pt idx="44">
                  <c:v>5.4286659999999998</c:v>
                </c:pt>
                <c:pt idx="45">
                  <c:v>5.2099250000000001</c:v>
                </c:pt>
                <c:pt idx="46">
                  <c:v>4.9391049999999996</c:v>
                </c:pt>
                <c:pt idx="47">
                  <c:v>4.7662649999999998</c:v>
                </c:pt>
                <c:pt idx="48">
                  <c:v>4.7006059999999996</c:v>
                </c:pt>
                <c:pt idx="49">
                  <c:v>4.661119974</c:v>
                </c:pt>
                <c:pt idx="50">
                  <c:v>4.6091949073333343</c:v>
                </c:pt>
                <c:pt idx="51">
                  <c:v>4.5089605930000003</c:v>
                </c:pt>
                <c:pt idx="52">
                  <c:v>4.5232933660000008</c:v>
                </c:pt>
                <c:pt idx="53">
                  <c:v>4.587883289333333</c:v>
                </c:pt>
                <c:pt idx="54">
                  <c:v>4.4866215176666664</c:v>
                </c:pt>
                <c:pt idx="55">
                  <c:v>4.647703356000001</c:v>
                </c:pt>
                <c:pt idx="56">
                  <c:v>4.9508852943333332</c:v>
                </c:pt>
                <c:pt idx="57">
                  <c:v>5.0046124553333344</c:v>
                </c:pt>
                <c:pt idx="58">
                  <c:v>5.1427434136666665</c:v>
                </c:pt>
                <c:pt idx="59">
                  <c:v>5.2963829389999999</c:v>
                </c:pt>
                <c:pt idx="60">
                  <c:v>5.3429626060000004</c:v>
                </c:pt>
                <c:pt idx="61">
                  <c:v>5.3269645803333345</c:v>
                </c:pt>
                <c:pt idx="62">
                  <c:v>5.3423960470000011</c:v>
                </c:pt>
                <c:pt idx="63">
                  <c:v>5.3592093536666674</c:v>
                </c:pt>
                <c:pt idx="64">
                  <c:v>5.1807804290000004</c:v>
                </c:pt>
                <c:pt idx="65">
                  <c:v>5.1923863823333338</c:v>
                </c:pt>
                <c:pt idx="66">
                  <c:v>5.2763851539999989</c:v>
                </c:pt>
                <c:pt idx="67">
                  <c:v>5.0803373156666662</c:v>
                </c:pt>
                <c:pt idx="68">
                  <c:v>5.0278743773333332</c:v>
                </c:pt>
                <c:pt idx="69">
                  <c:v>4.9579445563333335</c:v>
                </c:pt>
                <c:pt idx="70">
                  <c:v>4.8973762643333352</c:v>
                </c:pt>
                <c:pt idx="71">
                  <c:v>4.7469427389999996</c:v>
                </c:pt>
                <c:pt idx="72">
                  <c:v>4.7997150720000006</c:v>
                </c:pt>
                <c:pt idx="73">
                  <c:v>4.792182641000001</c:v>
                </c:pt>
                <c:pt idx="74">
                  <c:v>4.7535108090000007</c:v>
                </c:pt>
                <c:pt idx="75">
                  <c:v>4.6266516026666675</c:v>
                </c:pt>
                <c:pt idx="76">
                  <c:v>4.6503296963333343</c:v>
                </c:pt>
                <c:pt idx="77">
                  <c:v>4.6777370176666668</c:v>
                </c:pt>
                <c:pt idx="78">
                  <c:v>4.7722247396666662</c:v>
                </c:pt>
                <c:pt idx="79">
                  <c:v>4.7748842309999988</c:v>
                </c:pt>
                <c:pt idx="80">
                  <c:v>4.763351087666666</c:v>
                </c:pt>
                <c:pt idx="81">
                  <c:v>4.8569982096666662</c:v>
                </c:pt>
                <c:pt idx="82">
                  <c:v>4.8475367379999996</c:v>
                </c:pt>
                <c:pt idx="83">
                  <c:v>4.8258163443333331</c:v>
                </c:pt>
                <c:pt idx="84">
                  <c:v>4.7526690919803922</c:v>
                </c:pt>
                <c:pt idx="85">
                  <c:v>4.7653094779803924</c:v>
                </c:pt>
                <c:pt idx="86">
                  <c:v>4.7967506006470586</c:v>
                </c:pt>
                <c:pt idx="87">
                  <c:v>4.9822035796470576</c:v>
                </c:pt>
                <c:pt idx="88">
                  <c:v>5.2561596376470581</c:v>
                </c:pt>
                <c:pt idx="89">
                  <c:v>5.5900354396470586</c:v>
                </c:pt>
                <c:pt idx="90">
                  <c:v>5.7475647176470588</c:v>
                </c:pt>
                <c:pt idx="91">
                  <c:v>5.8758082263137252</c:v>
                </c:pt>
                <c:pt idx="92">
                  <c:v>5.8737753696470589</c:v>
                </c:pt>
                <c:pt idx="93">
                  <c:v>5.8529219076470582</c:v>
                </c:pt>
                <c:pt idx="94">
                  <c:v>5.7642037129803922</c:v>
                </c:pt>
                <c:pt idx="95">
                  <c:v>5.7774831066470593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57-46B0-B82F-7A882E506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Honduras!$K$27</c:f>
          <c:strCache>
            <c:ptCount val="1"/>
            <c:pt idx="0">
              <c:v>Honduras : Arabica Exports | YTD : Oct-Aug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65045777447551"/>
          <c:y val="0.16757507662745516"/>
          <c:w val="0.803843048042442"/>
          <c:h val="0.7292115778382242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Honduras!$S$10:$S$18</c:f>
              <c:strCache>
                <c:ptCount val="9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Honduras!$T$10:$T$18</c:f>
              <c:numCache>
                <c:formatCode>#,##0</c:formatCode>
                <c:ptCount val="9"/>
                <c:pt idx="0">
                  <c:v>6918140</c:v>
                </c:pt>
                <c:pt idx="1">
                  <c:v>6565470</c:v>
                </c:pt>
                <c:pt idx="2">
                  <c:v>5367832</c:v>
                </c:pt>
                <c:pt idx="3">
                  <c:v>5638149</c:v>
                </c:pt>
                <c:pt idx="4">
                  <c:v>4531215</c:v>
                </c:pt>
                <c:pt idx="5">
                  <c:v>5126991.9390000002</c:v>
                </c:pt>
                <c:pt idx="6">
                  <c:v>4530972.0720000006</c:v>
                </c:pt>
                <c:pt idx="7">
                  <c:v>4557073.344333333</c:v>
                </c:pt>
                <c:pt idx="8">
                  <c:v>5581887.3590000002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8F-4D2F-999F-2B86888B0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Honduras!$Q$27</c:f>
          <c:strCache>
            <c:ptCount val="1"/>
            <c:pt idx="0">
              <c:v>Honduras : Arabica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Honduras!$M$83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2"/>
              </a:solidFill>
              <a:ln w="9525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marker>
          <c:cat>
            <c:strRef>
              <c:f>Honduras!$N$75:$Y$75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Honduras!$N$83:$Y$83</c:f>
              <c:numCache>
                <c:formatCode>#,##0</c:formatCode>
                <c:ptCount val="12"/>
                <c:pt idx="0">
                  <c:v>80328</c:v>
                </c:pt>
                <c:pt idx="1">
                  <c:v>184276</c:v>
                </c:pt>
                <c:pt idx="2">
                  <c:v>480815</c:v>
                </c:pt>
                <c:pt idx="3">
                  <c:v>987277</c:v>
                </c:pt>
                <c:pt idx="4">
                  <c:v>1489798</c:v>
                </c:pt>
                <c:pt idx="5">
                  <c:v>2225044</c:v>
                </c:pt>
                <c:pt idx="6">
                  <c:v>2809107</c:v>
                </c:pt>
                <c:pt idx="7">
                  <c:v>3331954</c:v>
                </c:pt>
                <c:pt idx="8">
                  <c:v>3895363</c:v>
                </c:pt>
                <c:pt idx="9">
                  <c:v>4285980</c:v>
                </c:pt>
                <c:pt idx="10">
                  <c:v>4531215</c:v>
                </c:pt>
                <c:pt idx="11">
                  <c:v>4700606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63-4B9E-9224-B815399717DB}"/>
            </c:ext>
          </c:extLst>
        </c:ser>
        <c:ser>
          <c:idx val="2"/>
          <c:order val="2"/>
          <c:tx>
            <c:strRef>
              <c:f>Honduras!$M$84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Honduras!$N$75:$Y$75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Honduras!$N$84:$Y$84</c:f>
              <c:numCache>
                <c:formatCode>#,##0</c:formatCode>
                <c:ptCount val="12"/>
                <c:pt idx="0">
                  <c:v>40841.973999999995</c:v>
                </c:pt>
                <c:pt idx="1">
                  <c:v>92864.907333333336</c:v>
                </c:pt>
                <c:pt idx="2">
                  <c:v>289169.59299999999</c:v>
                </c:pt>
                <c:pt idx="3">
                  <c:v>809964.36600000004</c:v>
                </c:pt>
                <c:pt idx="4">
                  <c:v>1377075.2893333335</c:v>
                </c:pt>
                <c:pt idx="5">
                  <c:v>2011059.5176666668</c:v>
                </c:pt>
                <c:pt idx="6">
                  <c:v>2756204.3560000001</c:v>
                </c:pt>
                <c:pt idx="7">
                  <c:v>3582233.2943333336</c:v>
                </c:pt>
                <c:pt idx="8">
                  <c:v>4199369.4553333335</c:v>
                </c:pt>
                <c:pt idx="9">
                  <c:v>4728117.4136666665</c:v>
                </c:pt>
                <c:pt idx="10">
                  <c:v>5126991.9390000002</c:v>
                </c:pt>
                <c:pt idx="11">
                  <c:v>5342962.6060000006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63-4B9E-9224-B815399717DB}"/>
            </c:ext>
          </c:extLst>
        </c:ser>
        <c:ser>
          <c:idx val="3"/>
          <c:order val="3"/>
          <c:tx>
            <c:strRef>
              <c:f>Honduras!$M$85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Honduras!$N$75:$Y$75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Honduras!$N$85:$Y$85</c:f>
              <c:numCache>
                <c:formatCode>#,##0</c:formatCode>
                <c:ptCount val="12"/>
                <c:pt idx="0">
                  <c:v>24843.948333333337</c:v>
                </c:pt>
                <c:pt idx="1">
                  <c:v>92298.348333333328</c:v>
                </c:pt>
                <c:pt idx="2">
                  <c:v>305416.34066666663</c:v>
                </c:pt>
                <c:pt idx="3">
                  <c:v>647782.18900000001</c:v>
                </c:pt>
                <c:pt idx="4">
                  <c:v>1226499.0656666667</c:v>
                </c:pt>
                <c:pt idx="5">
                  <c:v>1944482.0656666667</c:v>
                </c:pt>
                <c:pt idx="6">
                  <c:v>2493579.0656666667</c:v>
                </c:pt>
                <c:pt idx="7">
                  <c:v>3267145.0656666667</c:v>
                </c:pt>
                <c:pt idx="8">
                  <c:v>3814351.405666667</c:v>
                </c:pt>
                <c:pt idx="9">
                  <c:v>4282531.0720000006</c:v>
                </c:pt>
                <c:pt idx="10">
                  <c:v>4530972.0720000006</c:v>
                </c:pt>
                <c:pt idx="11">
                  <c:v>4799715.0720000006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63-4B9E-9224-B815399717DB}"/>
            </c:ext>
          </c:extLst>
        </c:ser>
        <c:ser>
          <c:idx val="4"/>
          <c:order val="4"/>
          <c:tx>
            <c:strRef>
              <c:f>Honduras!$M$86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Honduras!$N$75:$Y$75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Honduras!$N$86:$Y$86</c:f>
              <c:numCache>
                <c:formatCode>#,##0</c:formatCode>
                <c:ptCount val="12"/>
                <c:pt idx="0">
                  <c:v>17311.517333333333</c:v>
                </c:pt>
                <c:pt idx="1">
                  <c:v>46094.085333333329</c:v>
                </c:pt>
                <c:pt idx="2">
                  <c:v>132352.87133333331</c:v>
                </c:pt>
                <c:pt idx="3">
                  <c:v>498396.81333333324</c:v>
                </c:pt>
                <c:pt idx="4">
                  <c:v>1104521.0113333333</c:v>
                </c:pt>
                <c:pt idx="5">
                  <c:v>1916991.7333333329</c:v>
                </c:pt>
                <c:pt idx="6">
                  <c:v>2468748.2246666662</c:v>
                </c:pt>
                <c:pt idx="7">
                  <c:v>3230781.0813333327</c:v>
                </c:pt>
                <c:pt idx="8">
                  <c:v>3871634.543333333</c:v>
                </c:pt>
                <c:pt idx="9">
                  <c:v>4330352.7379999999</c:v>
                </c:pt>
                <c:pt idx="10">
                  <c:v>4557073.344333333</c:v>
                </c:pt>
                <c:pt idx="11">
                  <c:v>4752669.0919803921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63-4B9E-9224-B815399717DB}"/>
            </c:ext>
          </c:extLst>
        </c:ser>
        <c:ser>
          <c:idx val="5"/>
          <c:order val="5"/>
          <c:tx>
            <c:strRef>
              <c:f>Honduras!$M$87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rgbClr val="FF0000"/>
                </a:solidFill>
                <a:prstDash val="solid"/>
                <a:round/>
              </a:ln>
              <a:effectLst/>
            </c:spPr>
          </c:marker>
          <c:dPt>
            <c:idx val="4"/>
            <c:marker>
              <c:symbol val="circle"/>
              <c:size val="6"/>
              <c:spPr>
                <a:solidFill>
                  <a:schemeClr val="accent6"/>
                </a:solidFill>
                <a:ln w="9525">
                  <a:solidFill>
                    <a:srgbClr val="FF0000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532A-4CA1-A798-2E2433326B6D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chemeClr val="accent6"/>
                </a:solidFill>
                <a:ln w="9525">
                  <a:solidFill>
                    <a:srgbClr val="FF0000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95-4C6F-B99B-1EA1963B24B1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6"/>
                </a:solidFill>
                <a:ln w="9525">
                  <a:solidFill>
                    <a:srgbClr val="FF0000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E87-470E-9FDA-288B758BD34A}"/>
              </c:ext>
            </c:extLst>
          </c:dPt>
          <c:cat>
            <c:strRef>
              <c:f>Honduras!$N$75:$Y$75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Honduras!$N$87:$Y$87</c:f>
              <c:numCache>
                <c:formatCode>#,##0</c:formatCode>
                <c:ptCount val="12"/>
                <c:pt idx="0">
                  <c:v>29951.903333333332</c:v>
                </c:pt>
                <c:pt idx="1">
                  <c:v>90175.593999999997</c:v>
                </c:pt>
                <c:pt idx="2">
                  <c:v>361887.35899999994</c:v>
                </c:pt>
                <c:pt idx="3">
                  <c:v>1001887.3589999999</c:v>
                </c:pt>
                <c:pt idx="4">
                  <c:v>1941887.3589999999</c:v>
                </c:pt>
                <c:pt idx="5">
                  <c:v>2911887.3590000002</c:v>
                </c:pt>
                <c:pt idx="6">
                  <c:v>3591887.3590000002</c:v>
                </c:pt>
                <c:pt idx="7">
                  <c:v>4351887.3590000002</c:v>
                </c:pt>
                <c:pt idx="8">
                  <c:v>4971887.3590000002</c:v>
                </c:pt>
                <c:pt idx="9">
                  <c:v>5341887.3590000002</c:v>
                </c:pt>
                <c:pt idx="10">
                  <c:v>5581887.3590000002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D9-42E0-9449-53204D231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Honduras!$M$82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Honduras!$N$75:$Y$75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Honduras!$N$82:$Y$82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20410</c:v>
                      </c:pt>
                      <c:pt idx="1">
                        <c:v>75961</c:v>
                      </c:pt>
                      <c:pt idx="2">
                        <c:v>278424</c:v>
                      </c:pt>
                      <c:pt idx="3">
                        <c:v>743900</c:v>
                      </c:pt>
                      <c:pt idx="4">
                        <c:v>1385648</c:v>
                      </c:pt>
                      <c:pt idx="5">
                        <c:v>2193154</c:v>
                      </c:pt>
                      <c:pt idx="6">
                        <c:v>2943034</c:v>
                      </c:pt>
                      <c:pt idx="7">
                        <c:v>3776487</c:v>
                      </c:pt>
                      <c:pt idx="8">
                        <c:v>4558637</c:v>
                      </c:pt>
                      <c:pt idx="9">
                        <c:v>5220074</c:v>
                      </c:pt>
                      <c:pt idx="10">
                        <c:v>5638149</c:v>
                      </c:pt>
                      <c:pt idx="11">
                        <c:v>5873199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163-4B9E-9224-B815399717DB}"/>
                  </c:ext>
                </c:extLst>
              </c15:ser>
            </c15:filteredLineSeries>
          </c:ext>
        </c:extLst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Honduras Crop</a:t>
            </a:r>
            <a:r>
              <a:rPr lang="en-US" baseline="0"/>
              <a:t> vs Exports ( Jul-Jun Crop Year)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527257290663189E-2"/>
          <c:y val="9.2807851103297936E-2"/>
          <c:w val="0.94198017758897212"/>
          <c:h val="0.791905766269691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Honduras!$Y$10</c:f>
              <c:strCache>
                <c:ptCount val="1"/>
                <c:pt idx="0">
                  <c:v>Exports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Honduras!$X$11:$X$18</c:f>
              <c:strCache>
                <c:ptCount val="8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  <c:pt idx="4">
                  <c:v>22/23</c:v>
                </c:pt>
                <c:pt idx="5">
                  <c:v>23/24</c:v>
                </c:pt>
                <c:pt idx="6">
                  <c:v>24/25</c:v>
                </c:pt>
                <c:pt idx="7">
                  <c:v>25/26</c:v>
                </c:pt>
              </c:strCache>
            </c:strRef>
          </c:cat>
          <c:val>
            <c:numRef>
              <c:f>Honduras!$Y$11:$Y$18</c:f>
              <c:numCache>
                <c:formatCode>#,##0.00</c:formatCode>
                <c:ptCount val="8"/>
                <c:pt idx="0">
                  <c:v>7.0548950000000001</c:v>
                </c:pt>
                <c:pt idx="1">
                  <c:v>6.0751010000000001</c:v>
                </c:pt>
                <c:pt idx="2">
                  <c:v>5.2055300000000004</c:v>
                </c:pt>
                <c:pt idx="3">
                  <c:v>5.2099250000000001</c:v>
                </c:pt>
                <c:pt idx="4">
                  <c:v>5.0046124553333344</c:v>
                </c:pt>
                <c:pt idx="5">
                  <c:v>4.9579445563333335</c:v>
                </c:pt>
                <c:pt idx="6">
                  <c:v>4.8569982096666662</c:v>
                </c:pt>
                <c:pt idx="7">
                  <c:v>5.8529219076470582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8-40A6-AAD1-FE93FF323A8E}"/>
            </c:ext>
          </c:extLst>
        </c:ser>
        <c:ser>
          <c:idx val="1"/>
          <c:order val="1"/>
          <c:tx>
            <c:strRef>
              <c:f>Honduras!$Z$10</c:f>
              <c:strCache>
                <c:ptCount val="1"/>
                <c:pt idx="0">
                  <c:v> Crop 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6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028-40A6-AAD1-FE93FF323A8E}"/>
              </c:ext>
            </c:extLst>
          </c:dPt>
          <c:cat>
            <c:strRef>
              <c:f>Honduras!$X$11:$X$18</c:f>
              <c:strCache>
                <c:ptCount val="8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  <c:pt idx="4">
                  <c:v>22/23</c:v>
                </c:pt>
                <c:pt idx="5">
                  <c:v>23/24</c:v>
                </c:pt>
                <c:pt idx="6">
                  <c:v>24/25</c:v>
                </c:pt>
                <c:pt idx="7">
                  <c:v>25/26</c:v>
                </c:pt>
              </c:strCache>
            </c:strRef>
          </c:cat>
          <c:val>
            <c:numRef>
              <c:f>Honduras!$Z$11:$Z$18</c:f>
              <c:numCache>
                <c:formatCode>#,##0.0</c:formatCode>
                <c:ptCount val="8"/>
                <c:pt idx="0">
                  <c:v>7.4</c:v>
                </c:pt>
                <c:pt idx="1">
                  <c:v>6.1</c:v>
                </c:pt>
                <c:pt idx="2">
                  <c:v>6.5</c:v>
                </c:pt>
                <c:pt idx="3">
                  <c:v>4.9000000000000004</c:v>
                </c:pt>
                <c:pt idx="4">
                  <c:v>5.5</c:v>
                </c:pt>
                <c:pt idx="5">
                  <c:v>4.9000000000000004</c:v>
                </c:pt>
                <c:pt idx="6">
                  <c:v>5.3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28-40A6-AAD1-FE93FF323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574159"/>
        <c:axId val="1520535887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Honduras!$AA$10</c15:sqref>
                        </c15:formulaRef>
                      </c:ext>
                    </c:extLst>
                    <c:strCache>
                      <c:ptCount val="1"/>
                      <c:pt idx="0">
                        <c:v>Crop-Exports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Honduras!$X$11:$X$18</c15:sqref>
                        </c15:formulaRef>
                      </c:ext>
                    </c:extLst>
                    <c:strCache>
                      <c:ptCount val="8"/>
                      <c:pt idx="0">
                        <c:v>18/19</c:v>
                      </c:pt>
                      <c:pt idx="1">
                        <c:v>19/20</c:v>
                      </c:pt>
                      <c:pt idx="2">
                        <c:v>20/21</c:v>
                      </c:pt>
                      <c:pt idx="3">
                        <c:v>21/22</c:v>
                      </c:pt>
                      <c:pt idx="4">
                        <c:v>22/23</c:v>
                      </c:pt>
                      <c:pt idx="5">
                        <c:v>23/24</c:v>
                      </c:pt>
                      <c:pt idx="6">
                        <c:v>24/25</c:v>
                      </c:pt>
                      <c:pt idx="7">
                        <c:v>25/26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Honduras!$AA$11:$AA$18</c15:sqref>
                        </c15:formulaRef>
                      </c:ext>
                    </c:extLst>
                    <c:numCache>
                      <c:formatCode>#,##0.0</c:formatCode>
                      <c:ptCount val="8"/>
                      <c:pt idx="0">
                        <c:v>0.34510500000000022</c:v>
                      </c:pt>
                      <c:pt idx="1">
                        <c:v>2.489899999999956E-2</c:v>
                      </c:pt>
                      <c:pt idx="2">
                        <c:v>1.2944699999999996</c:v>
                      </c:pt>
                      <c:pt idx="3">
                        <c:v>-0.30992499999999978</c:v>
                      </c:pt>
                      <c:pt idx="4">
                        <c:v>0.49538754466666557</c:v>
                      </c:pt>
                      <c:pt idx="5">
                        <c:v>-5.7944556333333175E-2</c:v>
                      </c:pt>
                      <c:pt idx="6">
                        <c:v>0.44300179033333364</c:v>
                      </c:pt>
                      <c:pt idx="7">
                        <c:v>0.14707809235294178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028-40A6-AAD1-FE93FF323A8E}"/>
                  </c:ext>
                </c:extLst>
              </c15:ser>
            </c15:filteredBarSeries>
          </c:ext>
        </c:extLst>
      </c:barChart>
      <c:catAx>
        <c:axId val="54257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35887"/>
        <c:crosses val="autoZero"/>
        <c:auto val="1"/>
        <c:lblAlgn val="ctr"/>
        <c:lblOffset val="100"/>
        <c:noMultiLvlLbl val="0"/>
      </c:catAx>
      <c:valAx>
        <c:axId val="152053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57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Ethiopia!$C$5</c:f>
          <c:strCache>
            <c:ptCount val="1"/>
            <c:pt idx="0">
              <c:v>Ethiopia : Arabica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Ethiopia!$B$14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Ethiopia!$C$6:$N$6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Ethiopia!$C$14:$N$14</c:f>
              <c:numCache>
                <c:formatCode>#,##0</c:formatCode>
                <c:ptCount val="12"/>
                <c:pt idx="0">
                  <c:v>374367.72562500014</c:v>
                </c:pt>
                <c:pt idx="1">
                  <c:v>408703.38972499996</c:v>
                </c:pt>
                <c:pt idx="2">
                  <c:v>346964.20533333335</c:v>
                </c:pt>
                <c:pt idx="3">
                  <c:v>233724.64324999999</c:v>
                </c:pt>
                <c:pt idx="4">
                  <c:v>291172.25706333329</c:v>
                </c:pt>
                <c:pt idx="5">
                  <c:v>475487.96781833324</c:v>
                </c:pt>
                <c:pt idx="6">
                  <c:v>451860.4696833333</c:v>
                </c:pt>
                <c:pt idx="7">
                  <c:v>506522.97771666665</c:v>
                </c:pt>
                <c:pt idx="8">
                  <c:v>581891.54049999989</c:v>
                </c:pt>
                <c:pt idx="9">
                  <c:v>606587.96103333309</c:v>
                </c:pt>
                <c:pt idx="10">
                  <c:v>455477.44433333329</c:v>
                </c:pt>
                <c:pt idx="11">
                  <c:v>345080.23366666667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4F-4F8E-8B63-5EC5DCDE5987}"/>
            </c:ext>
          </c:extLst>
        </c:ser>
        <c:ser>
          <c:idx val="8"/>
          <c:order val="8"/>
          <c:tx>
            <c:strRef>
              <c:f>Ethiopia!$B$15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Ethiopia!$C$6:$N$6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Ethiopia!$C$15:$N$15</c:f>
              <c:numCache>
                <c:formatCode>#,##0</c:formatCode>
                <c:ptCount val="12"/>
                <c:pt idx="0">
                  <c:v>352960.74426666682</c:v>
                </c:pt>
                <c:pt idx="1">
                  <c:v>313914.70183333335</c:v>
                </c:pt>
                <c:pt idx="2">
                  <c:v>188482.8512083333</c:v>
                </c:pt>
                <c:pt idx="3">
                  <c:v>132991.4194466667</c:v>
                </c:pt>
                <c:pt idx="4">
                  <c:v>254698.62294166666</c:v>
                </c:pt>
                <c:pt idx="5">
                  <c:v>354397.70031666663</c:v>
                </c:pt>
                <c:pt idx="6">
                  <c:v>340150.44466666668</c:v>
                </c:pt>
                <c:pt idx="7">
                  <c:v>442953.15233333333</c:v>
                </c:pt>
                <c:pt idx="8">
                  <c:v>533786.76904166664</c:v>
                </c:pt>
                <c:pt idx="9">
                  <c:v>466477.17291666678</c:v>
                </c:pt>
                <c:pt idx="10">
                  <c:v>421368.52874999994</c:v>
                </c:pt>
                <c:pt idx="11">
                  <c:v>311336.73988333339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4F-4F8E-8B63-5EC5DCDE5987}"/>
            </c:ext>
          </c:extLst>
        </c:ser>
        <c:ser>
          <c:idx val="9"/>
          <c:order val="9"/>
          <c:tx>
            <c:strRef>
              <c:f>Ethiopia!$B$16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Ethiopia!$C$6:$N$6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Ethiopia!$C$16:$N$16</c:f>
              <c:numCache>
                <c:formatCode>#,##0</c:formatCode>
                <c:ptCount val="12"/>
                <c:pt idx="0">
                  <c:v>360453.73706666677</c:v>
                </c:pt>
                <c:pt idx="1">
                  <c:v>302398.71216666664</c:v>
                </c:pt>
                <c:pt idx="2">
                  <c:v>252290.43070000003</c:v>
                </c:pt>
                <c:pt idx="3">
                  <c:v>215003.64350000003</c:v>
                </c:pt>
                <c:pt idx="4">
                  <c:v>321740.86825</c:v>
                </c:pt>
                <c:pt idx="5">
                  <c:v>398293.6241666667</c:v>
                </c:pt>
                <c:pt idx="6">
                  <c:v>600354.61762500019</c:v>
                </c:pt>
                <c:pt idx="7">
                  <c:v>725307.72642499988</c:v>
                </c:pt>
                <c:pt idx="8">
                  <c:v>757506.68666666676</c:v>
                </c:pt>
                <c:pt idx="9">
                  <c:v>761758.56338333362</c:v>
                </c:pt>
                <c:pt idx="10">
                  <c:v>640817.96462499991</c:v>
                </c:pt>
                <c:pt idx="11">
                  <c:v>576746.28574999992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4F-4F8E-8B63-5EC5DCDE5987}"/>
            </c:ext>
          </c:extLst>
        </c:ser>
        <c:ser>
          <c:idx val="10"/>
          <c:order val="10"/>
          <c:tx>
            <c:strRef>
              <c:f>Ethiopia!$B$17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Ethiopia!$C$6:$N$6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Ethiopia!$C$17:$N$17</c:f>
              <c:numCache>
                <c:formatCode>#,##0</c:formatCode>
                <c:ptCount val="12"/>
                <c:pt idx="0">
                  <c:v>615643.94782500004</c:v>
                </c:pt>
                <c:pt idx="1">
                  <c:v>511985.18040000007</c:v>
                </c:pt>
                <c:pt idx="2">
                  <c:v>496538.89433333348</c:v>
                </c:pt>
                <c:pt idx="3">
                  <c:v>345167.64532500005</c:v>
                </c:pt>
                <c:pt idx="4">
                  <c:v>462975.67166666669</c:v>
                </c:pt>
                <c:pt idx="5">
                  <c:v>710116</c:v>
                </c:pt>
                <c:pt idx="6">
                  <c:v>818616.66666666674</c:v>
                </c:pt>
                <c:pt idx="7">
                  <c:v>982716.66666666674</c:v>
                </c:pt>
                <c:pt idx="8">
                  <c:v>831216.66666666674</c:v>
                </c:pt>
                <c:pt idx="9">
                  <c:v>815050</c:v>
                </c:pt>
                <c:pt idx="10">
                  <c:v>594383.33333333337</c:v>
                </c:pt>
                <c:pt idx="11">
                  <c:v>438116.66666666669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4F-4F8E-8B63-5EC5DCDE5987}"/>
            </c:ext>
          </c:extLst>
        </c:ser>
        <c:ser>
          <c:idx val="11"/>
          <c:order val="11"/>
          <c:tx>
            <c:strRef>
              <c:f>Ethiopia!$B$18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Ethiopia!$C$6:$N$6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Ethiopia!$C$18:$N$18</c:f>
              <c:numCache>
                <c:formatCode>#,##0</c:formatCode>
                <c:ptCount val="12"/>
                <c:pt idx="0">
                  <c:v>622033.33333333337</c:v>
                </c:pt>
                <c:pt idx="1">
                  <c:v>463166.66666666669</c:v>
                </c:pt>
                <c:pt idx="2">
                  <c:v>436116.66666666669</c:v>
                </c:pt>
                <c:pt idx="3">
                  <c:v>287116.66666666669</c:v>
                </c:pt>
                <c:pt idx="4">
                  <c:v>325883.33333333337</c:v>
                </c:pt>
                <c:pt idx="5">
                  <c:v>442700</c:v>
                </c:pt>
                <c:pt idx="6">
                  <c:v>702633.33333333337</c:v>
                </c:pt>
                <c:pt idx="7">
                  <c:v>694150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2-4134-832B-7788EF066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Ethiopia!$B$7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Ethiopia!$C$6:$N$6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Ethiopia!$C$7:$N$7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262825.72750000004</c:v>
                      </c:pt>
                      <c:pt idx="1">
                        <c:v>181919.37</c:v>
                      </c:pt>
                      <c:pt idx="2">
                        <c:v>345283.9933333334</c:v>
                      </c:pt>
                      <c:pt idx="3">
                        <c:v>89769.722333333339</c:v>
                      </c:pt>
                      <c:pt idx="4">
                        <c:v>203923.38833333334</c:v>
                      </c:pt>
                      <c:pt idx="5">
                        <c:v>305775.4408333333</c:v>
                      </c:pt>
                      <c:pt idx="6">
                        <c:v>392680.61150000006</c:v>
                      </c:pt>
                      <c:pt idx="7">
                        <c:v>383173.58150000003</c:v>
                      </c:pt>
                      <c:pt idx="8">
                        <c:v>478321.03690500004</c:v>
                      </c:pt>
                      <c:pt idx="9">
                        <c:v>341526.56103333336</c:v>
                      </c:pt>
                      <c:pt idx="10">
                        <c:v>282757.94245000003</c:v>
                      </c:pt>
                      <c:pt idx="11">
                        <c:v>252556.35666666675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94F-4F8E-8B63-5EC5DCDE598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275210.12416666676</c:v>
                      </c:pt>
                      <c:pt idx="1">
                        <c:v>249314.15316666671</c:v>
                      </c:pt>
                      <c:pt idx="2">
                        <c:v>217533.41380833334</c:v>
                      </c:pt>
                      <c:pt idx="3">
                        <c:v>172684.52833333332</c:v>
                      </c:pt>
                      <c:pt idx="4">
                        <c:v>240670.77566666671</c:v>
                      </c:pt>
                      <c:pt idx="5">
                        <c:v>308738.80100000009</c:v>
                      </c:pt>
                      <c:pt idx="6">
                        <c:v>309486.36775000009</c:v>
                      </c:pt>
                      <c:pt idx="7">
                        <c:v>410365.65208333335</c:v>
                      </c:pt>
                      <c:pt idx="8">
                        <c:v>443128.38533333334</c:v>
                      </c:pt>
                      <c:pt idx="9">
                        <c:v>319078.05713333341</c:v>
                      </c:pt>
                      <c:pt idx="10">
                        <c:v>298904.78858333337</c:v>
                      </c:pt>
                      <c:pt idx="11">
                        <c:v>256372.36691666665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94F-4F8E-8B63-5EC5DCDE598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220080.36833333332</c:v>
                      </c:pt>
                      <c:pt idx="1">
                        <c:v>236826.76375000001</c:v>
                      </c:pt>
                      <c:pt idx="2">
                        <c:v>206062.21000000002</c:v>
                      </c:pt>
                      <c:pt idx="3">
                        <c:v>184018.45666666667</c:v>
                      </c:pt>
                      <c:pt idx="4">
                        <c:v>243564.15300000002</c:v>
                      </c:pt>
                      <c:pt idx="5">
                        <c:v>425598.48133333336</c:v>
                      </c:pt>
                      <c:pt idx="6">
                        <c:v>504733.58333333331</c:v>
                      </c:pt>
                      <c:pt idx="7">
                        <c:v>505595.26020833332</c:v>
                      </c:pt>
                      <c:pt idx="8">
                        <c:v>554298.59120833338</c:v>
                      </c:pt>
                      <c:pt idx="9">
                        <c:v>343344.73333333334</c:v>
                      </c:pt>
                      <c:pt idx="10">
                        <c:v>334113.51050000003</c:v>
                      </c:pt>
                      <c:pt idx="11">
                        <c:v>294207.57158333337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94F-4F8E-8B63-5EC5DCDE598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303913.66741666669</c:v>
                      </c:pt>
                      <c:pt idx="1">
                        <c:v>324333.90271333337</c:v>
                      </c:pt>
                      <c:pt idx="2">
                        <c:v>311326.32665833342</c:v>
                      </c:pt>
                      <c:pt idx="3">
                        <c:v>202246.61250000002</c:v>
                      </c:pt>
                      <c:pt idx="4">
                        <c:v>303186.01575833338</c:v>
                      </c:pt>
                      <c:pt idx="5">
                        <c:v>69743.040208333347</c:v>
                      </c:pt>
                      <c:pt idx="6">
                        <c:v>455500.49023333337</c:v>
                      </c:pt>
                      <c:pt idx="7">
                        <c:v>459656.91887500009</c:v>
                      </c:pt>
                      <c:pt idx="8">
                        <c:v>436685.09134166664</c:v>
                      </c:pt>
                      <c:pt idx="9">
                        <c:v>372197.75655666675</c:v>
                      </c:pt>
                      <c:pt idx="10">
                        <c:v>387922.59298000002</c:v>
                      </c:pt>
                      <c:pt idx="11">
                        <c:v>289574.05174999998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94F-4F8E-8B63-5EC5DCDE598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317967.64272500004</c:v>
                      </c:pt>
                      <c:pt idx="1">
                        <c:v>288869.13979166665</c:v>
                      </c:pt>
                      <c:pt idx="2">
                        <c:v>221547.89524999997</c:v>
                      </c:pt>
                      <c:pt idx="3">
                        <c:v>197245.59793666669</c:v>
                      </c:pt>
                      <c:pt idx="4">
                        <c:v>246321.36260000002</c:v>
                      </c:pt>
                      <c:pt idx="5">
                        <c:v>356131.01562499994</c:v>
                      </c:pt>
                      <c:pt idx="6">
                        <c:v>377594.88133333344</c:v>
                      </c:pt>
                      <c:pt idx="7">
                        <c:v>535344.50266666675</c:v>
                      </c:pt>
                      <c:pt idx="8">
                        <c:v>446520.77929166675</c:v>
                      </c:pt>
                      <c:pt idx="9">
                        <c:v>513133.67570833338</c:v>
                      </c:pt>
                      <c:pt idx="10">
                        <c:v>491786.12901666661</c:v>
                      </c:pt>
                      <c:pt idx="11">
                        <c:v>392564.34583333344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94F-4F8E-8B63-5EC5DCDE598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Ethiopia!$B$12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Ethiopia!$C$12:$N$12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384383.8949666667</c:v>
                      </c:pt>
                      <c:pt idx="1">
                        <c:v>343100.56999999995</c:v>
                      </c:pt>
                      <c:pt idx="2">
                        <c:v>268278.00291666668</c:v>
                      </c:pt>
                      <c:pt idx="3">
                        <c:v>265632.78409333335</c:v>
                      </c:pt>
                      <c:pt idx="4">
                        <c:v>316358.41338333342</c:v>
                      </c:pt>
                      <c:pt idx="5">
                        <c:v>445262.3977083335</c:v>
                      </c:pt>
                      <c:pt idx="6">
                        <c:v>445704.0373333334</c:v>
                      </c:pt>
                      <c:pt idx="7">
                        <c:v>448553.27683333331</c:v>
                      </c:pt>
                      <c:pt idx="8">
                        <c:v>487813.41716666677</c:v>
                      </c:pt>
                      <c:pt idx="9">
                        <c:v>365417.00422500004</c:v>
                      </c:pt>
                      <c:pt idx="10">
                        <c:v>296168.21774166665</c:v>
                      </c:pt>
                      <c:pt idx="11">
                        <c:v>275233.95433333341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94F-4F8E-8B63-5EC5DCDE598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Ethiopia!$B$13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Ethiopia!$C$13:$N$13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260519.19343333336</c:v>
                      </c:pt>
                      <c:pt idx="1">
                        <c:v>240579.56199999998</c:v>
                      </c:pt>
                      <c:pt idx="2">
                        <c:v>215648.73162500001</c:v>
                      </c:pt>
                      <c:pt idx="3">
                        <c:v>185235.87615833333</c:v>
                      </c:pt>
                      <c:pt idx="4">
                        <c:v>251442.07583333337</c:v>
                      </c:pt>
                      <c:pt idx="5">
                        <c:v>420680.98441666667</c:v>
                      </c:pt>
                      <c:pt idx="6">
                        <c:v>532429.58583333343</c:v>
                      </c:pt>
                      <c:pt idx="7">
                        <c:v>554637.22516666679</c:v>
                      </c:pt>
                      <c:pt idx="8">
                        <c:v>702815.55324166676</c:v>
                      </c:pt>
                      <c:pt idx="9">
                        <c:v>590243.39109166677</c:v>
                      </c:pt>
                      <c:pt idx="10">
                        <c:v>506498.86800000013</c:v>
                      </c:pt>
                      <c:pt idx="11">
                        <c:v>457426.87100000004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94F-4F8E-8B63-5EC5DCDE5987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89727951630537017"/>
          <c:h val="7.0159908121792111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Ethiopia!$A$66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Ethiopia!$B$65:$M$65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Ethiopia!$B$66:$M$66</c:f>
              <c:numCache>
                <c:formatCode>#,##0</c:formatCode>
                <c:ptCount val="12"/>
                <c:pt idx="0">
                  <c:v>622033.33333333337</c:v>
                </c:pt>
                <c:pt idx="1">
                  <c:v>463166.66666666669</c:v>
                </c:pt>
                <c:pt idx="2">
                  <c:v>436116.66666666669</c:v>
                </c:pt>
                <c:pt idx="3">
                  <c:v>287116.66666666669</c:v>
                </c:pt>
                <c:pt idx="4">
                  <c:v>325883.33333333337</c:v>
                </c:pt>
                <c:pt idx="5">
                  <c:v>442700</c:v>
                </c:pt>
                <c:pt idx="6">
                  <c:v>702633.33333333337</c:v>
                </c:pt>
                <c:pt idx="7">
                  <c:v>694150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9-41DB-BF15-B6662CB24884}"/>
            </c:ext>
          </c:extLst>
        </c:ser>
        <c:ser>
          <c:idx val="1"/>
          <c:order val="1"/>
          <c:tx>
            <c:strRef>
              <c:f>Ethiopia!$A$67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Ethiopia!$B$65:$M$65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Ethiopia!$B$67:$M$67</c:f>
              <c:numCache>
                <c:formatCode>#,##0</c:formatCode>
                <c:ptCount val="12"/>
                <c:pt idx="0">
                  <c:v>220080.36833333332</c:v>
                </c:pt>
                <c:pt idx="1">
                  <c:v>181919.37</c:v>
                </c:pt>
                <c:pt idx="2">
                  <c:v>188482.8512083333</c:v>
                </c:pt>
                <c:pt idx="3">
                  <c:v>89769.722333333339</c:v>
                </c:pt>
                <c:pt idx="4">
                  <c:v>203923.38833333334</c:v>
                </c:pt>
                <c:pt idx="5">
                  <c:v>69743.040208333347</c:v>
                </c:pt>
                <c:pt idx="6">
                  <c:v>309486.36775000009</c:v>
                </c:pt>
                <c:pt idx="7">
                  <c:v>383173.58150000003</c:v>
                </c:pt>
                <c:pt idx="8">
                  <c:v>436685.09134166664</c:v>
                </c:pt>
                <c:pt idx="9">
                  <c:v>319078.05713333341</c:v>
                </c:pt>
                <c:pt idx="10">
                  <c:v>282757.94245000003</c:v>
                </c:pt>
                <c:pt idx="11">
                  <c:v>252556.35666666675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79-41DB-BF15-B6662CB24884}"/>
            </c:ext>
          </c:extLst>
        </c:ser>
        <c:ser>
          <c:idx val="2"/>
          <c:order val="2"/>
          <c:tx>
            <c:strRef>
              <c:f>Ethiopia!$A$68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Ethiopia!$B$65:$M$65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Ethiopia!$B$68:$M$68</c:f>
              <c:numCache>
                <c:formatCode>#,##0</c:formatCode>
                <c:ptCount val="12"/>
                <c:pt idx="0">
                  <c:v>615643.94782500004</c:v>
                </c:pt>
                <c:pt idx="1">
                  <c:v>511985.18040000007</c:v>
                </c:pt>
                <c:pt idx="2">
                  <c:v>496538.89433333348</c:v>
                </c:pt>
                <c:pt idx="3">
                  <c:v>345167.64532500005</c:v>
                </c:pt>
                <c:pt idx="4">
                  <c:v>462975.67166666669</c:v>
                </c:pt>
                <c:pt idx="5">
                  <c:v>710116</c:v>
                </c:pt>
                <c:pt idx="6">
                  <c:v>818616.66666666674</c:v>
                </c:pt>
                <c:pt idx="7">
                  <c:v>982716.66666666674</c:v>
                </c:pt>
                <c:pt idx="8">
                  <c:v>831216.66666666674</c:v>
                </c:pt>
                <c:pt idx="9">
                  <c:v>815050</c:v>
                </c:pt>
                <c:pt idx="10">
                  <c:v>640817.96462499991</c:v>
                </c:pt>
                <c:pt idx="11">
                  <c:v>576746.28574999992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79-41DB-BF15-B6662CB24884}"/>
            </c:ext>
          </c:extLst>
        </c:ser>
        <c:ser>
          <c:idx val="3"/>
          <c:order val="3"/>
          <c:tx>
            <c:strRef>
              <c:f>Ethiopia!$A$69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Ethiopia!$B$65:$M$65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Ethiopia!$B$69:$M$69</c:f>
              <c:numCache>
                <c:formatCode>#,##0</c:formatCode>
                <c:ptCount val="12"/>
                <c:pt idx="0">
                  <c:v>346537.05907166679</c:v>
                </c:pt>
                <c:pt idx="1">
                  <c:v>321739.38714499993</c:v>
                </c:pt>
                <c:pt idx="2">
                  <c:v>254332.8443566667</c:v>
                </c:pt>
                <c:pt idx="3">
                  <c:v>206517.67328966668</c:v>
                </c:pt>
                <c:pt idx="4">
                  <c:v>287082.44749433338</c:v>
                </c:pt>
                <c:pt idx="5">
                  <c:v>418824.53488533339</c:v>
                </c:pt>
                <c:pt idx="6">
                  <c:v>474099.8310283334</c:v>
                </c:pt>
                <c:pt idx="7">
                  <c:v>535594.87169499998</c:v>
                </c:pt>
                <c:pt idx="8">
                  <c:v>612762.79332333338</c:v>
                </c:pt>
                <c:pt idx="9">
                  <c:v>558096.81853000005</c:v>
                </c:pt>
                <c:pt idx="10">
                  <c:v>464066.20469000004</c:v>
                </c:pt>
                <c:pt idx="11">
                  <c:v>393164.81692666671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79-41DB-BF15-B6662CB24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Ethiopia!$I$84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Ethiopia!$H$85:$H$208</c:f>
              <c:strCache>
                <c:ptCount val="124"/>
                <c:pt idx="0">
                  <c:v>Sep'14/15</c:v>
                </c:pt>
                <c:pt idx="1">
                  <c:v>Oct'15/16</c:v>
                </c:pt>
                <c:pt idx="2">
                  <c:v>Nov'15/16</c:v>
                </c:pt>
                <c:pt idx="3">
                  <c:v>Dec'15/16</c:v>
                </c:pt>
                <c:pt idx="4">
                  <c:v>Jan'15/16</c:v>
                </c:pt>
                <c:pt idx="5">
                  <c:v>Feb'15/16</c:v>
                </c:pt>
                <c:pt idx="6">
                  <c:v>Mar'15/16</c:v>
                </c:pt>
                <c:pt idx="7">
                  <c:v>Apr'15/16</c:v>
                </c:pt>
                <c:pt idx="8">
                  <c:v>May'15/16</c:v>
                </c:pt>
                <c:pt idx="9">
                  <c:v>Jun'15/16</c:v>
                </c:pt>
                <c:pt idx="10">
                  <c:v>Jul'15/16</c:v>
                </c:pt>
                <c:pt idx="11">
                  <c:v>Aug'15/16</c:v>
                </c:pt>
                <c:pt idx="12">
                  <c:v>Sep'15/16</c:v>
                </c:pt>
                <c:pt idx="13">
                  <c:v>Oct'16/17</c:v>
                </c:pt>
                <c:pt idx="14">
                  <c:v>Nov'16/17</c:v>
                </c:pt>
                <c:pt idx="15">
                  <c:v>Dec'16/17</c:v>
                </c:pt>
                <c:pt idx="16">
                  <c:v>Jan'16/17</c:v>
                </c:pt>
                <c:pt idx="17">
                  <c:v>Feb'16/17</c:v>
                </c:pt>
                <c:pt idx="18">
                  <c:v>Mar'16/17</c:v>
                </c:pt>
                <c:pt idx="19">
                  <c:v>Apr'16/17</c:v>
                </c:pt>
                <c:pt idx="20">
                  <c:v>May'16/17</c:v>
                </c:pt>
                <c:pt idx="21">
                  <c:v>Jun'16/17</c:v>
                </c:pt>
                <c:pt idx="22">
                  <c:v>Jul'16/17</c:v>
                </c:pt>
                <c:pt idx="23">
                  <c:v>Aug'16/17</c:v>
                </c:pt>
                <c:pt idx="24">
                  <c:v>Sep'16/17</c:v>
                </c:pt>
                <c:pt idx="25">
                  <c:v>Oct'17/18</c:v>
                </c:pt>
                <c:pt idx="26">
                  <c:v>Nov'17/18</c:v>
                </c:pt>
                <c:pt idx="27">
                  <c:v>Dec'17/18</c:v>
                </c:pt>
                <c:pt idx="28">
                  <c:v>Jan'17/18</c:v>
                </c:pt>
                <c:pt idx="29">
                  <c:v>Feb'17/18</c:v>
                </c:pt>
                <c:pt idx="30">
                  <c:v>Mar'17/18</c:v>
                </c:pt>
                <c:pt idx="31">
                  <c:v>Apr'17/18</c:v>
                </c:pt>
                <c:pt idx="32">
                  <c:v>May'17/18</c:v>
                </c:pt>
                <c:pt idx="33">
                  <c:v>Jun'17/18</c:v>
                </c:pt>
                <c:pt idx="34">
                  <c:v>Jul'17/18</c:v>
                </c:pt>
                <c:pt idx="35">
                  <c:v>Aug'17/18</c:v>
                </c:pt>
                <c:pt idx="36">
                  <c:v>Sep'17/18</c:v>
                </c:pt>
                <c:pt idx="37">
                  <c:v>Oct'18/19</c:v>
                </c:pt>
                <c:pt idx="38">
                  <c:v>Nov'18/19</c:v>
                </c:pt>
                <c:pt idx="39">
                  <c:v>Dec'18/19</c:v>
                </c:pt>
                <c:pt idx="40">
                  <c:v>Jan'18/19</c:v>
                </c:pt>
                <c:pt idx="41">
                  <c:v>Feb'18/19</c:v>
                </c:pt>
                <c:pt idx="42">
                  <c:v>Mar'18/19</c:v>
                </c:pt>
                <c:pt idx="43">
                  <c:v>Apr'18/19</c:v>
                </c:pt>
                <c:pt idx="44">
                  <c:v>May'18/19</c:v>
                </c:pt>
                <c:pt idx="45">
                  <c:v>Jun'18/19</c:v>
                </c:pt>
                <c:pt idx="46">
                  <c:v>Jul'18/19</c:v>
                </c:pt>
                <c:pt idx="47">
                  <c:v>Aug'18/19</c:v>
                </c:pt>
                <c:pt idx="48">
                  <c:v>Sep'18/19</c:v>
                </c:pt>
                <c:pt idx="49">
                  <c:v>Oct'19/20</c:v>
                </c:pt>
                <c:pt idx="50">
                  <c:v>Nov'19/20</c:v>
                </c:pt>
                <c:pt idx="51">
                  <c:v>Dec'19/20</c:v>
                </c:pt>
                <c:pt idx="52">
                  <c:v>Jan'19/20</c:v>
                </c:pt>
                <c:pt idx="53">
                  <c:v>Feb'19/20</c:v>
                </c:pt>
                <c:pt idx="54">
                  <c:v>Mar'19/20</c:v>
                </c:pt>
                <c:pt idx="55">
                  <c:v>Apr'19/20</c:v>
                </c:pt>
                <c:pt idx="56">
                  <c:v>May'19/20</c:v>
                </c:pt>
                <c:pt idx="57">
                  <c:v>Jun'19/20</c:v>
                </c:pt>
                <c:pt idx="58">
                  <c:v>Jul'19/20</c:v>
                </c:pt>
                <c:pt idx="59">
                  <c:v>Aug'19/20</c:v>
                </c:pt>
                <c:pt idx="60">
                  <c:v>Sep'19/20</c:v>
                </c:pt>
                <c:pt idx="61">
                  <c:v>Oct'20/21</c:v>
                </c:pt>
                <c:pt idx="62">
                  <c:v>Nov'20/21</c:v>
                </c:pt>
                <c:pt idx="63">
                  <c:v>Dec'20/21</c:v>
                </c:pt>
                <c:pt idx="64">
                  <c:v>Jan'20/21</c:v>
                </c:pt>
                <c:pt idx="65">
                  <c:v>Feb'20/21</c:v>
                </c:pt>
                <c:pt idx="66">
                  <c:v>Mar'20/21</c:v>
                </c:pt>
                <c:pt idx="67">
                  <c:v>Apr'20/21</c:v>
                </c:pt>
                <c:pt idx="68">
                  <c:v>May'20/21</c:v>
                </c:pt>
                <c:pt idx="69">
                  <c:v>Jun'20/21</c:v>
                </c:pt>
                <c:pt idx="70">
                  <c:v>Jul'20/21</c:v>
                </c:pt>
                <c:pt idx="71">
                  <c:v>Aug'20/21</c:v>
                </c:pt>
                <c:pt idx="72">
                  <c:v>Sep'20/21</c:v>
                </c:pt>
                <c:pt idx="73">
                  <c:v>Oct'21/22</c:v>
                </c:pt>
                <c:pt idx="74">
                  <c:v>Nov'21/22</c:v>
                </c:pt>
                <c:pt idx="75">
                  <c:v>Dec'21/22</c:v>
                </c:pt>
                <c:pt idx="76">
                  <c:v>Jan'21/22</c:v>
                </c:pt>
                <c:pt idx="77">
                  <c:v>Feb'21/22</c:v>
                </c:pt>
                <c:pt idx="78">
                  <c:v>Mar'21/22</c:v>
                </c:pt>
                <c:pt idx="79">
                  <c:v>Apr'21/22</c:v>
                </c:pt>
                <c:pt idx="80">
                  <c:v>May'21/22</c:v>
                </c:pt>
                <c:pt idx="81">
                  <c:v>Jun'21/22</c:v>
                </c:pt>
                <c:pt idx="82">
                  <c:v>Jul'21/22</c:v>
                </c:pt>
                <c:pt idx="83">
                  <c:v>Aug'21/22</c:v>
                </c:pt>
                <c:pt idx="84">
                  <c:v>Sep'21/22</c:v>
                </c:pt>
                <c:pt idx="85">
                  <c:v>Oct'22/23</c:v>
                </c:pt>
                <c:pt idx="86">
                  <c:v>Nov'22/23</c:v>
                </c:pt>
                <c:pt idx="87">
                  <c:v>Dec'22/23</c:v>
                </c:pt>
                <c:pt idx="88">
                  <c:v>Jan'22/23</c:v>
                </c:pt>
                <c:pt idx="89">
                  <c:v>Feb'22/23</c:v>
                </c:pt>
                <c:pt idx="90">
                  <c:v>Mar'22/23</c:v>
                </c:pt>
                <c:pt idx="91">
                  <c:v>Apr'22/23</c:v>
                </c:pt>
                <c:pt idx="92">
                  <c:v>May'22/23</c:v>
                </c:pt>
                <c:pt idx="93">
                  <c:v>Jun'22/23</c:v>
                </c:pt>
                <c:pt idx="94">
                  <c:v>Jul'22/23</c:v>
                </c:pt>
                <c:pt idx="95">
                  <c:v>Aug'22/23</c:v>
                </c:pt>
                <c:pt idx="96">
                  <c:v>Sep'22/23</c:v>
                </c:pt>
                <c:pt idx="97">
                  <c:v>Oct'23/24</c:v>
                </c:pt>
                <c:pt idx="98">
                  <c:v>Nov'23/24</c:v>
                </c:pt>
                <c:pt idx="99">
                  <c:v>Dec'23/24</c:v>
                </c:pt>
                <c:pt idx="100">
                  <c:v>Jan'23/24</c:v>
                </c:pt>
                <c:pt idx="101">
                  <c:v>Feb'23/24</c:v>
                </c:pt>
                <c:pt idx="102">
                  <c:v>Mar'23/24</c:v>
                </c:pt>
                <c:pt idx="103">
                  <c:v>Apr'23/24</c:v>
                </c:pt>
                <c:pt idx="104">
                  <c:v>May'23/24</c:v>
                </c:pt>
                <c:pt idx="105">
                  <c:v>Jun'23/24</c:v>
                </c:pt>
                <c:pt idx="106">
                  <c:v>Jul'23/24</c:v>
                </c:pt>
                <c:pt idx="107">
                  <c:v>Aug'23/24</c:v>
                </c:pt>
                <c:pt idx="108">
                  <c:v>Sep'23/24</c:v>
                </c:pt>
                <c:pt idx="109">
                  <c:v>Oct'24/25</c:v>
                </c:pt>
                <c:pt idx="110">
                  <c:v>Nov'24/25</c:v>
                </c:pt>
                <c:pt idx="111">
                  <c:v>Dec'24/25</c:v>
                </c:pt>
                <c:pt idx="112">
                  <c:v>Jan'24/25</c:v>
                </c:pt>
                <c:pt idx="113">
                  <c:v>Feb'24/25</c:v>
                </c:pt>
                <c:pt idx="114">
                  <c:v>Mar'24/25</c:v>
                </c:pt>
                <c:pt idx="115">
                  <c:v>Apr'24/25</c:v>
                </c:pt>
                <c:pt idx="116">
                  <c:v>May'24/25</c:v>
                </c:pt>
                <c:pt idx="117">
                  <c:v>Jun'24/25</c:v>
                </c:pt>
                <c:pt idx="118">
                  <c:v>Jul'24/25</c:v>
                </c:pt>
                <c:pt idx="119">
                  <c:v>Aug'24/25</c:v>
                </c:pt>
                <c:pt idx="120">
                  <c:v>Sep'24/25</c:v>
                </c:pt>
                <c:pt idx="121">
                  <c:v>Oct'25/26</c:v>
                </c:pt>
                <c:pt idx="122">
                  <c:v>Nov'25/26</c:v>
                </c:pt>
                <c:pt idx="123">
                  <c:v>Dec'25/26</c:v>
                </c:pt>
              </c:strCache>
            </c:strRef>
          </c:cat>
          <c:val>
            <c:numRef>
              <c:f>Ethiopia!$I$85:$I$208</c:f>
              <c:numCache>
                <c:formatCode>General</c:formatCode>
                <c:ptCount val="124"/>
                <c:pt idx="0">
                  <c:v>3.5205137323883333</c:v>
                </c:pt>
                <c:pt idx="1">
                  <c:v>3.5328981290550008</c:v>
                </c:pt>
                <c:pt idx="2">
                  <c:v>3.6002929122216671</c:v>
                </c:pt>
                <c:pt idx="3">
                  <c:v>3.4725423326966665</c:v>
                </c:pt>
                <c:pt idx="4">
                  <c:v>3.5554571386966671</c:v>
                </c:pt>
                <c:pt idx="5">
                  <c:v>3.5922045260300002</c:v>
                </c:pt>
                <c:pt idx="6">
                  <c:v>3.5951678861966672</c:v>
                </c:pt>
                <c:pt idx="7">
                  <c:v>3.5119736424466668</c:v>
                </c:pt>
                <c:pt idx="8">
                  <c:v>3.53916571303</c:v>
                </c:pt>
                <c:pt idx="9">
                  <c:v>3.5039730614583333</c:v>
                </c:pt>
                <c:pt idx="10">
                  <c:v>3.481524557558334</c:v>
                </c:pt>
                <c:pt idx="11">
                  <c:v>3.4976714036916672</c:v>
                </c:pt>
                <c:pt idx="12">
                  <c:v>3.5014874139416663</c:v>
                </c:pt>
                <c:pt idx="13">
                  <c:v>3.4463576581083339</c:v>
                </c:pt>
                <c:pt idx="14">
                  <c:v>3.4338702686916664</c:v>
                </c:pt>
                <c:pt idx="15">
                  <c:v>3.4223990648833338</c:v>
                </c:pt>
                <c:pt idx="16">
                  <c:v>3.4337329932166667</c:v>
                </c:pt>
                <c:pt idx="17">
                  <c:v>3.4366263705499995</c:v>
                </c:pt>
                <c:pt idx="18">
                  <c:v>3.5534860508833335</c:v>
                </c:pt>
                <c:pt idx="19">
                  <c:v>3.748733266466667</c:v>
                </c:pt>
                <c:pt idx="20">
                  <c:v>3.8439628745916674</c:v>
                </c:pt>
                <c:pt idx="21">
                  <c:v>3.9551330804666671</c:v>
                </c:pt>
                <c:pt idx="22">
                  <c:v>3.979399756666667</c:v>
                </c:pt>
                <c:pt idx="23">
                  <c:v>4.0146084785833329</c:v>
                </c:pt>
                <c:pt idx="24">
                  <c:v>4.0524436832499999</c:v>
                </c:pt>
                <c:pt idx="25">
                  <c:v>4.1362769823333334</c:v>
                </c:pt>
                <c:pt idx="26">
                  <c:v>4.2237841212966662</c:v>
                </c:pt>
                <c:pt idx="27">
                  <c:v>4.3290482379549999</c:v>
                </c:pt>
                <c:pt idx="28">
                  <c:v>4.3472763937883334</c:v>
                </c:pt>
                <c:pt idx="29">
                  <c:v>4.4068982565466666</c:v>
                </c:pt>
                <c:pt idx="30">
                  <c:v>4.0510428154216669</c:v>
                </c:pt>
                <c:pt idx="31">
                  <c:v>4.0018097223216671</c:v>
                </c:pt>
                <c:pt idx="32">
                  <c:v>3.955871380988333</c:v>
                </c:pt>
                <c:pt idx="33">
                  <c:v>3.8382578811216663</c:v>
                </c:pt>
                <c:pt idx="34">
                  <c:v>3.8671109043450005</c:v>
                </c:pt>
                <c:pt idx="35">
                  <c:v>3.9209199868250009</c:v>
                </c:pt>
                <c:pt idx="36">
                  <c:v>3.9162864669916675</c:v>
                </c:pt>
                <c:pt idx="37">
                  <c:v>3.9303404423000012</c:v>
                </c:pt>
                <c:pt idx="38">
                  <c:v>3.8948756793783343</c:v>
                </c:pt>
                <c:pt idx="39">
                  <c:v>3.8050972479700005</c:v>
                </c:pt>
                <c:pt idx="40">
                  <c:v>3.8000962334066672</c:v>
                </c:pt>
                <c:pt idx="41">
                  <c:v>3.7432315802483336</c:v>
                </c:pt>
                <c:pt idx="42">
                  <c:v>4.0296195556650005</c:v>
                </c:pt>
                <c:pt idx="43">
                  <c:v>3.9517139467650004</c:v>
                </c:pt>
                <c:pt idx="44">
                  <c:v>4.0274015305566664</c:v>
                </c:pt>
                <c:pt idx="45">
                  <c:v>4.0372372185066672</c:v>
                </c:pt>
                <c:pt idx="46">
                  <c:v>4.1781731376583338</c:v>
                </c:pt>
                <c:pt idx="47">
                  <c:v>4.282036673695</c:v>
                </c:pt>
                <c:pt idx="48">
                  <c:v>4.3850269677783338</c:v>
                </c:pt>
                <c:pt idx="49">
                  <c:v>4.4514432200199998</c:v>
                </c:pt>
                <c:pt idx="50">
                  <c:v>4.5056746502283334</c:v>
                </c:pt>
                <c:pt idx="51">
                  <c:v>4.5524047578950002</c:v>
                </c:pt>
                <c:pt idx="52">
                  <c:v>4.6207919440516658</c:v>
                </c:pt>
                <c:pt idx="53">
                  <c:v>4.6908289948349999</c:v>
                </c:pt>
                <c:pt idx="54">
                  <c:v>4.7799603769183339</c:v>
                </c:pt>
                <c:pt idx="55">
                  <c:v>4.8480695329183341</c:v>
                </c:pt>
                <c:pt idx="56">
                  <c:v>4.761278307085</c:v>
                </c:pt>
                <c:pt idx="57">
                  <c:v>4.8025709449600011</c:v>
                </c:pt>
                <c:pt idx="58">
                  <c:v>4.6548542734766674</c:v>
                </c:pt>
                <c:pt idx="59">
                  <c:v>4.4592363622016675</c:v>
                </c:pt>
                <c:pt idx="60">
                  <c:v>4.3419059707016672</c:v>
                </c:pt>
                <c:pt idx="61">
                  <c:v>4.2180412691683342</c:v>
                </c:pt>
                <c:pt idx="62">
                  <c:v>4.1155202611683341</c:v>
                </c:pt>
                <c:pt idx="63">
                  <c:v>4.0628909898766663</c:v>
                </c:pt>
                <c:pt idx="64">
                  <c:v>3.9824940819416677</c:v>
                </c:pt>
                <c:pt idx="65">
                  <c:v>3.9175777443916666</c:v>
                </c:pt>
                <c:pt idx="66">
                  <c:v>3.8929963311</c:v>
                </c:pt>
                <c:pt idx="67">
                  <c:v>3.9797218795999996</c:v>
                </c:pt>
                <c:pt idx="68">
                  <c:v>4.085805827933334</c:v>
                </c:pt>
                <c:pt idx="69">
                  <c:v>4.3008079640083343</c:v>
                </c:pt>
                <c:pt idx="70">
                  <c:v>4.5256343508750012</c:v>
                </c:pt>
                <c:pt idx="71">
                  <c:v>4.7359650011333336</c:v>
                </c:pt>
                <c:pt idx="72">
                  <c:v>4.9181579178000012</c:v>
                </c:pt>
                <c:pt idx="73">
                  <c:v>5.0320064499916679</c:v>
                </c:pt>
                <c:pt idx="74">
                  <c:v>5.2001302777166671</c:v>
                </c:pt>
                <c:pt idx="75">
                  <c:v>5.3314457514250009</c:v>
                </c:pt>
                <c:pt idx="76">
                  <c:v>5.3799345185166674</c:v>
                </c:pt>
                <c:pt idx="77">
                  <c:v>5.4196646997466669</c:v>
                </c:pt>
                <c:pt idx="78">
                  <c:v>5.4744716831483329</c:v>
                </c:pt>
                <c:pt idx="79">
                  <c:v>5.3939025669983334</c:v>
                </c:pt>
                <c:pt idx="80">
                  <c:v>5.3457883195483342</c:v>
                </c:pt>
                <c:pt idx="81">
                  <c:v>5.2248643068066674</c:v>
                </c:pt>
                <c:pt idx="82">
                  <c:v>5.2412088767483338</c:v>
                </c:pt>
                <c:pt idx="83">
                  <c:v>5.1901874530816663</c:v>
                </c:pt>
                <c:pt idx="84">
                  <c:v>5.077840815748333</c:v>
                </c:pt>
                <c:pt idx="85">
                  <c:v>5.0564338343899999</c:v>
                </c:pt>
                <c:pt idx="86">
                  <c:v>4.9616451464983333</c:v>
                </c:pt>
                <c:pt idx="87">
                  <c:v>4.8031637923733328</c:v>
                </c:pt>
                <c:pt idx="88">
                  <c:v>4.7024305685699987</c:v>
                </c:pt>
                <c:pt idx="89">
                  <c:v>4.6659569344483325</c:v>
                </c:pt>
                <c:pt idx="90">
                  <c:v>4.5448666669466675</c:v>
                </c:pt>
                <c:pt idx="91">
                  <c:v>4.4331566419300001</c:v>
                </c:pt>
                <c:pt idx="92">
                  <c:v>4.3695868165466667</c:v>
                </c:pt>
                <c:pt idx="93">
                  <c:v>4.3214820450883327</c:v>
                </c:pt>
                <c:pt idx="94">
                  <c:v>4.1813712569716666</c:v>
                </c:pt>
                <c:pt idx="95">
                  <c:v>4.1472623413883332</c:v>
                </c:pt>
                <c:pt idx="96">
                  <c:v>4.1135188476050004</c:v>
                </c:pt>
                <c:pt idx="97">
                  <c:v>4.121011840405</c:v>
                </c:pt>
                <c:pt idx="98">
                  <c:v>4.109495850738333</c:v>
                </c:pt>
                <c:pt idx="99">
                  <c:v>4.1733034302299998</c:v>
                </c:pt>
                <c:pt idx="100">
                  <c:v>4.2553156542833328</c:v>
                </c:pt>
                <c:pt idx="101">
                  <c:v>4.3223578995916663</c:v>
                </c:pt>
                <c:pt idx="102">
                  <c:v>4.3662538234416663</c:v>
                </c:pt>
                <c:pt idx="103">
                  <c:v>4.6264579963999992</c:v>
                </c:pt>
                <c:pt idx="104">
                  <c:v>4.9088125704916665</c:v>
                </c:pt>
                <c:pt idx="105">
                  <c:v>5.1325324881166665</c:v>
                </c:pt>
                <c:pt idx="106">
                  <c:v>5.4278138785833336</c:v>
                </c:pt>
                <c:pt idx="107">
                  <c:v>5.6472633144583337</c:v>
                </c:pt>
                <c:pt idx="108">
                  <c:v>5.9126728603250003</c:v>
                </c:pt>
                <c:pt idx="109">
                  <c:v>6.1678630710833335</c:v>
                </c:pt>
                <c:pt idx="110">
                  <c:v>6.3774495393166664</c:v>
                </c:pt>
                <c:pt idx="111">
                  <c:v>6.6216980029500006</c:v>
                </c:pt>
                <c:pt idx="112">
                  <c:v>6.7518620047750009</c:v>
                </c:pt>
                <c:pt idx="113">
                  <c:v>6.8930968081916673</c:v>
                </c:pt>
                <c:pt idx="114">
                  <c:v>7.2049191840250009</c:v>
                </c:pt>
                <c:pt idx="115">
                  <c:v>7.4231812330666687</c:v>
                </c:pt>
                <c:pt idx="116">
                  <c:v>7.6805901733083353</c:v>
                </c:pt>
                <c:pt idx="117">
                  <c:v>7.7543001533083338</c:v>
                </c:pt>
                <c:pt idx="118">
                  <c:v>7.8075915899250017</c:v>
                </c:pt>
                <c:pt idx="119">
                  <c:v>7.7611569586333333</c:v>
                </c:pt>
                <c:pt idx="120">
                  <c:v>7.6225273395500013</c:v>
                </c:pt>
                <c:pt idx="121">
                  <c:v>7.6289167250583336</c:v>
                </c:pt>
                <c:pt idx="122">
                  <c:v>7.5800982113250006</c:v>
                </c:pt>
                <c:pt idx="123">
                  <c:v>7.5196759836583347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D1C-B393-635748CA0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Ethiopia!$K$27</c:f>
          <c:strCache>
            <c:ptCount val="1"/>
            <c:pt idx="0">
              <c:v>Ethiopia : Arabica Exports | YTD : Oct-May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Ethiopia!$S$7:$S$18</c:f>
              <c:strCache>
                <c:ptCount val="12"/>
                <c:pt idx="0">
                  <c:v>14/15</c:v>
                </c:pt>
                <c:pt idx="1">
                  <c:v>15/16</c:v>
                </c:pt>
                <c:pt idx="2">
                  <c:v>16/17</c:v>
                </c:pt>
                <c:pt idx="3">
                  <c:v>17/18</c:v>
                </c:pt>
                <c:pt idx="4">
                  <c:v>18/19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  <c:pt idx="10">
                  <c:v>24/25</c:v>
                </c:pt>
                <c:pt idx="11">
                  <c:v>25/26</c:v>
                </c:pt>
              </c:strCache>
            </c:strRef>
          </c:cat>
          <c:val>
            <c:numRef>
              <c:f>Ethiopia!$T$7:$T$18</c:f>
              <c:numCache>
                <c:formatCode>#,##0</c:formatCode>
                <c:ptCount val="12"/>
                <c:pt idx="0">
                  <c:v>2165351.8353333334</c:v>
                </c:pt>
                <c:pt idx="1">
                  <c:v>2184003.8159750002</c:v>
                </c:pt>
                <c:pt idx="2">
                  <c:v>2526479.2766249999</c:v>
                </c:pt>
                <c:pt idx="3">
                  <c:v>2429906.974363334</c:v>
                </c:pt>
                <c:pt idx="4">
                  <c:v>2541022.0379283335</c:v>
                </c:pt>
                <c:pt idx="5">
                  <c:v>2917273.377235</c:v>
                </c:pt>
                <c:pt idx="6">
                  <c:v>2661173.2344666668</c:v>
                </c:pt>
                <c:pt idx="7">
                  <c:v>3088803.6362149999</c:v>
                </c:pt>
                <c:pt idx="8">
                  <c:v>2380549.6370133334</c:v>
                </c:pt>
                <c:pt idx="9">
                  <c:v>3175843.3599000005</c:v>
                </c:pt>
                <c:pt idx="10">
                  <c:v>4943760.6728833346</c:v>
                </c:pt>
                <c:pt idx="11">
                  <c:v>3973800.0000000005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1-494C-A999-1ED007EDF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Ethiopia!$Q$27</c:f>
          <c:strCache>
            <c:ptCount val="1"/>
            <c:pt idx="0">
              <c:v>Ethiopia : Arabica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Ethiopia!$M$81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Ethiopia!$N$75:$Y$75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Ethiopia!$N$81:$Y$81</c:f>
              <c:numCache>
                <c:formatCode>#,##0</c:formatCode>
                <c:ptCount val="12"/>
                <c:pt idx="0">
                  <c:v>384383.8949666667</c:v>
                </c:pt>
                <c:pt idx="1">
                  <c:v>727484.46496666665</c:v>
                </c:pt>
                <c:pt idx="2">
                  <c:v>995762.46788333333</c:v>
                </c:pt>
                <c:pt idx="3">
                  <c:v>1261395.2519766667</c:v>
                </c:pt>
                <c:pt idx="4">
                  <c:v>1577753.6653600002</c:v>
                </c:pt>
                <c:pt idx="5">
                  <c:v>2023016.0630683338</c:v>
                </c:pt>
                <c:pt idx="6">
                  <c:v>2468720.1004016669</c:v>
                </c:pt>
                <c:pt idx="7">
                  <c:v>2917273.377235</c:v>
                </c:pt>
                <c:pt idx="8">
                  <c:v>3405086.7944016666</c:v>
                </c:pt>
                <c:pt idx="9">
                  <c:v>3770503.7986266669</c:v>
                </c:pt>
                <c:pt idx="10">
                  <c:v>4066672.0163683337</c:v>
                </c:pt>
                <c:pt idx="11">
                  <c:v>4341905.9707016675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F-471A-BCBC-C07925DE82C9}"/>
            </c:ext>
          </c:extLst>
        </c:ser>
        <c:ser>
          <c:idx val="1"/>
          <c:order val="1"/>
          <c:tx>
            <c:strRef>
              <c:f>Ethiopia!$M$82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Ethiopia!$N$75:$Y$75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Ethiopia!$N$82:$Y$82</c:f>
              <c:numCache>
                <c:formatCode>#,##0</c:formatCode>
                <c:ptCount val="12"/>
                <c:pt idx="0">
                  <c:v>260519.19343333336</c:v>
                </c:pt>
                <c:pt idx="1">
                  <c:v>501098.75543333334</c:v>
                </c:pt>
                <c:pt idx="2">
                  <c:v>716747.48705833335</c:v>
                </c:pt>
                <c:pt idx="3">
                  <c:v>901983.36321666674</c:v>
                </c:pt>
                <c:pt idx="4">
                  <c:v>1153425.4390500002</c:v>
                </c:pt>
                <c:pt idx="5">
                  <c:v>1574106.4234666668</c:v>
                </c:pt>
                <c:pt idx="6">
                  <c:v>2106536.0093</c:v>
                </c:pt>
                <c:pt idx="7">
                  <c:v>2661173.2344666668</c:v>
                </c:pt>
                <c:pt idx="8">
                  <c:v>3363988.7877083337</c:v>
                </c:pt>
                <c:pt idx="9">
                  <c:v>3954232.1788000003</c:v>
                </c:pt>
                <c:pt idx="10">
                  <c:v>4460731.0468000006</c:v>
                </c:pt>
                <c:pt idx="11">
                  <c:v>4918157.9178000009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0F-471A-BCBC-C07925DE82C9}"/>
            </c:ext>
          </c:extLst>
        </c:ser>
        <c:ser>
          <c:idx val="2"/>
          <c:order val="2"/>
          <c:tx>
            <c:strRef>
              <c:f>Ethiopia!$M$83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Ethiopia!$N$75:$Y$75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Ethiopia!$N$83:$Y$83</c:f>
              <c:numCache>
                <c:formatCode>#,##0</c:formatCode>
                <c:ptCount val="12"/>
                <c:pt idx="0">
                  <c:v>374367.72562500014</c:v>
                </c:pt>
                <c:pt idx="1">
                  <c:v>783071.11535000009</c:v>
                </c:pt>
                <c:pt idx="2">
                  <c:v>1130035.3206833336</c:v>
                </c:pt>
                <c:pt idx="3">
                  <c:v>1363759.9639333335</c:v>
                </c:pt>
                <c:pt idx="4">
                  <c:v>1654932.2209966667</c:v>
                </c:pt>
                <c:pt idx="5">
                  <c:v>2130420.188815</c:v>
                </c:pt>
                <c:pt idx="6">
                  <c:v>2582280.6584983333</c:v>
                </c:pt>
                <c:pt idx="7">
                  <c:v>3088803.6362149999</c:v>
                </c:pt>
                <c:pt idx="8">
                  <c:v>3670695.1767149996</c:v>
                </c:pt>
                <c:pt idx="9">
                  <c:v>4277283.1377483327</c:v>
                </c:pt>
                <c:pt idx="10">
                  <c:v>4732760.5820816662</c:v>
                </c:pt>
                <c:pt idx="11">
                  <c:v>5077840.815748333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0F-471A-BCBC-C07925DE82C9}"/>
            </c:ext>
          </c:extLst>
        </c:ser>
        <c:ser>
          <c:idx val="3"/>
          <c:order val="3"/>
          <c:tx>
            <c:strRef>
              <c:f>Ethiopia!$M$84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Ethiopia!$N$75:$Y$75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Ethiopia!$N$84:$Y$84</c:f>
              <c:numCache>
                <c:formatCode>#,##0</c:formatCode>
                <c:ptCount val="12"/>
                <c:pt idx="0">
                  <c:v>352960.74426666682</c:v>
                </c:pt>
                <c:pt idx="1">
                  <c:v>666875.44610000018</c:v>
                </c:pt>
                <c:pt idx="2">
                  <c:v>855358.29730833345</c:v>
                </c:pt>
                <c:pt idx="3">
                  <c:v>988349.71675500018</c:v>
                </c:pt>
                <c:pt idx="4">
                  <c:v>1243048.3396966669</c:v>
                </c:pt>
                <c:pt idx="5">
                  <c:v>1597446.0400133335</c:v>
                </c:pt>
                <c:pt idx="6">
                  <c:v>1937596.4846800002</c:v>
                </c:pt>
                <c:pt idx="7">
                  <c:v>2380549.6370133334</c:v>
                </c:pt>
                <c:pt idx="8">
                  <c:v>2914336.4060550001</c:v>
                </c:pt>
                <c:pt idx="9">
                  <c:v>3380813.5789716667</c:v>
                </c:pt>
                <c:pt idx="10">
                  <c:v>3802182.1077216668</c:v>
                </c:pt>
                <c:pt idx="11">
                  <c:v>4113518.8476050003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0F-471A-BCBC-C07925DE82C9}"/>
            </c:ext>
          </c:extLst>
        </c:ser>
        <c:ser>
          <c:idx val="4"/>
          <c:order val="4"/>
          <c:tx>
            <c:strRef>
              <c:f>Ethiopia!$M$85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Ethiopia!$N$75:$Y$75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Ethiopia!$N$85:$Y$85</c:f>
              <c:numCache>
                <c:formatCode>#,##0</c:formatCode>
                <c:ptCount val="12"/>
                <c:pt idx="0">
                  <c:v>360453.73706666677</c:v>
                </c:pt>
                <c:pt idx="1">
                  <c:v>662852.44923333335</c:v>
                </c:pt>
                <c:pt idx="2">
                  <c:v>915142.87993333337</c:v>
                </c:pt>
                <c:pt idx="3">
                  <c:v>1130146.5234333335</c:v>
                </c:pt>
                <c:pt idx="4">
                  <c:v>1451887.3916833336</c:v>
                </c:pt>
                <c:pt idx="5">
                  <c:v>1850181.0158500003</c:v>
                </c:pt>
                <c:pt idx="6">
                  <c:v>2450535.6334750005</c:v>
                </c:pt>
                <c:pt idx="7">
                  <c:v>3175843.3599000005</c:v>
                </c:pt>
                <c:pt idx="8">
                  <c:v>3933350.046566667</c:v>
                </c:pt>
                <c:pt idx="9">
                  <c:v>4695108.6099500004</c:v>
                </c:pt>
                <c:pt idx="10">
                  <c:v>5335926.5745750004</c:v>
                </c:pt>
                <c:pt idx="11">
                  <c:v>5912672.8603250002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0F-471A-BCBC-C07925DE82C9}"/>
            </c:ext>
          </c:extLst>
        </c:ser>
        <c:ser>
          <c:idx val="5"/>
          <c:order val="5"/>
          <c:tx>
            <c:strRef>
              <c:f>Ethiopia!$M$86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Ethiopia!$N$75:$Y$75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Ethiopia!$N$86:$Y$86</c:f>
              <c:numCache>
                <c:formatCode>#,##0</c:formatCode>
                <c:ptCount val="12"/>
                <c:pt idx="0">
                  <c:v>615643.94782500004</c:v>
                </c:pt>
                <c:pt idx="1">
                  <c:v>1127629.1282250001</c:v>
                </c:pt>
                <c:pt idx="2">
                  <c:v>1624168.0225583336</c:v>
                </c:pt>
                <c:pt idx="3">
                  <c:v>1969335.6678833338</c:v>
                </c:pt>
                <c:pt idx="4">
                  <c:v>2432311.3395500006</c:v>
                </c:pt>
                <c:pt idx="5">
                  <c:v>3142427.3395500006</c:v>
                </c:pt>
                <c:pt idx="6">
                  <c:v>3961044.0062166676</c:v>
                </c:pt>
                <c:pt idx="7">
                  <c:v>4943760.6728833346</c:v>
                </c:pt>
                <c:pt idx="8">
                  <c:v>5774977.3395500015</c:v>
                </c:pt>
                <c:pt idx="9">
                  <c:v>6590027.3395500015</c:v>
                </c:pt>
                <c:pt idx="10">
                  <c:v>7184410.6728833346</c:v>
                </c:pt>
                <c:pt idx="11">
                  <c:v>7622527.3395500015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0F-471A-BCBC-C07925DE82C9}"/>
            </c:ext>
          </c:extLst>
        </c:ser>
        <c:ser>
          <c:idx val="6"/>
          <c:order val="6"/>
          <c:tx>
            <c:strRef>
              <c:f>Ethiopia!$M$87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Ethiopia!$N$75:$Y$75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Ethiopia!$N$87:$Y$87</c:f>
              <c:numCache>
                <c:formatCode>#,##0</c:formatCode>
                <c:ptCount val="12"/>
                <c:pt idx="0">
                  <c:v>622033.33333333337</c:v>
                </c:pt>
                <c:pt idx="1">
                  <c:v>1085200</c:v>
                </c:pt>
                <c:pt idx="2">
                  <c:v>1521316.6666666667</c:v>
                </c:pt>
                <c:pt idx="3">
                  <c:v>1808433.3333333335</c:v>
                </c:pt>
                <c:pt idx="4">
                  <c:v>2134316.666666667</c:v>
                </c:pt>
                <c:pt idx="5">
                  <c:v>2577016.666666667</c:v>
                </c:pt>
                <c:pt idx="6">
                  <c:v>3279650.0000000005</c:v>
                </c:pt>
                <c:pt idx="7">
                  <c:v>3973800.0000000005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01-4C3D-A09F-836F876D8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Peru!$C$5</c:f>
          <c:strCache>
            <c:ptCount val="1"/>
            <c:pt idx="0">
              <c:v>Peru : Coffee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Peru!$B$12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5">
                    <a:lumMod val="20000"/>
                    <a:lumOff val="80000"/>
                  </a:schemeClr>
                </a:solidFill>
                <a:round/>
              </a:ln>
              <a:effectLst/>
            </c:spPr>
          </c:marker>
          <c:cat>
            <c:strRef>
              <c:f>Peru!$C$6:$N$6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Peru!$C$12:$N$12</c:f>
              <c:numCache>
                <c:formatCode>#,##0</c:formatCode>
                <c:ptCount val="12"/>
                <c:pt idx="0">
                  <c:v>590875.85678000015</c:v>
                </c:pt>
                <c:pt idx="1">
                  <c:v>549207.16330333345</c:v>
                </c:pt>
                <c:pt idx="2">
                  <c:v>528813.00895666669</c:v>
                </c:pt>
                <c:pt idx="3">
                  <c:v>169885.44611666669</c:v>
                </c:pt>
                <c:pt idx="4">
                  <c:v>80773.137660000008</c:v>
                </c:pt>
                <c:pt idx="5">
                  <c:v>36993.123366666674</c:v>
                </c:pt>
                <c:pt idx="6">
                  <c:v>57443.824316666665</c:v>
                </c:pt>
                <c:pt idx="7">
                  <c:v>108056.32600000002</c:v>
                </c:pt>
                <c:pt idx="8">
                  <c:v>151061.63267500003</c:v>
                </c:pt>
                <c:pt idx="9">
                  <c:v>364494.27547500003</c:v>
                </c:pt>
                <c:pt idx="10">
                  <c:v>526501.2222983333</c:v>
                </c:pt>
                <c:pt idx="11">
                  <c:v>587162.04218166659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C-4589-BFB4-3517F3218C10}"/>
            </c:ext>
          </c:extLst>
        </c:ser>
        <c:ser>
          <c:idx val="6"/>
          <c:order val="6"/>
          <c:tx>
            <c:strRef>
              <c:f>Peru!$B$13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Peru!$C$6:$N$6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Peru!$C$13:$N$13</c:f>
              <c:numCache>
                <c:formatCode>#,##0</c:formatCode>
                <c:ptCount val="12"/>
                <c:pt idx="0">
                  <c:v>415830.10040833341</c:v>
                </c:pt>
                <c:pt idx="1">
                  <c:v>523156.57553666673</c:v>
                </c:pt>
                <c:pt idx="2">
                  <c:v>431296.28165000014</c:v>
                </c:pt>
                <c:pt idx="3">
                  <c:v>183926.68382833331</c:v>
                </c:pt>
                <c:pt idx="4">
                  <c:v>87231.137755000003</c:v>
                </c:pt>
                <c:pt idx="5">
                  <c:v>62817.280278333354</c:v>
                </c:pt>
                <c:pt idx="6">
                  <c:v>50258.801296666665</c:v>
                </c:pt>
                <c:pt idx="7">
                  <c:v>64758.744708333354</c:v>
                </c:pt>
                <c:pt idx="8">
                  <c:v>149565.91969333333</c:v>
                </c:pt>
                <c:pt idx="9">
                  <c:v>262698.34537666669</c:v>
                </c:pt>
                <c:pt idx="10">
                  <c:v>319354.37449666671</c:v>
                </c:pt>
                <c:pt idx="11">
                  <c:v>554616.97728166659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FC-4589-BFB4-3517F3218C10}"/>
            </c:ext>
          </c:extLst>
        </c:ser>
        <c:ser>
          <c:idx val="7"/>
          <c:order val="7"/>
          <c:tx>
            <c:strRef>
              <c:f>Peru!$B$14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Peru!$C$6:$N$6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Peru!$C$14:$N$14</c:f>
              <c:numCache>
                <c:formatCode>#,##0</c:formatCode>
                <c:ptCount val="12"/>
                <c:pt idx="0">
                  <c:v>564680.24459833337</c:v>
                </c:pt>
                <c:pt idx="1">
                  <c:v>555440.44521999999</c:v>
                </c:pt>
                <c:pt idx="2">
                  <c:v>566724.26891666662</c:v>
                </c:pt>
                <c:pt idx="3">
                  <c:v>510481.16436000005</c:v>
                </c:pt>
                <c:pt idx="4">
                  <c:v>438364.25685500004</c:v>
                </c:pt>
                <c:pt idx="5">
                  <c:v>246661.72353333337</c:v>
                </c:pt>
                <c:pt idx="6">
                  <c:v>107259.33783333335</c:v>
                </c:pt>
                <c:pt idx="7">
                  <c:v>111980.52214333335</c:v>
                </c:pt>
                <c:pt idx="8">
                  <c:v>214516.54013333336</c:v>
                </c:pt>
                <c:pt idx="9">
                  <c:v>345258.15669666673</c:v>
                </c:pt>
                <c:pt idx="10">
                  <c:v>519200.5262333334</c:v>
                </c:pt>
                <c:pt idx="11">
                  <c:v>588587.19122166641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FC-4589-BFB4-3517F3218C10}"/>
            </c:ext>
          </c:extLst>
        </c:ser>
        <c:ser>
          <c:idx val="8"/>
          <c:order val="8"/>
          <c:tx>
            <c:strRef>
              <c:f>Peru!$B$15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Peru!$C$6:$N$6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Peru!$C$15:$N$15</c:f>
              <c:numCache>
                <c:formatCode>#,##0</c:formatCode>
                <c:ptCount val="12"/>
                <c:pt idx="0">
                  <c:v>541563.56504833337</c:v>
                </c:pt>
                <c:pt idx="1">
                  <c:v>405447.31863000011</c:v>
                </c:pt>
                <c:pt idx="2">
                  <c:v>322485.72636166669</c:v>
                </c:pt>
                <c:pt idx="3">
                  <c:v>215112.87460666668</c:v>
                </c:pt>
                <c:pt idx="4">
                  <c:v>78429.481545000017</c:v>
                </c:pt>
                <c:pt idx="5">
                  <c:v>48724.747341666669</c:v>
                </c:pt>
                <c:pt idx="6">
                  <c:v>42621.237365000001</c:v>
                </c:pt>
                <c:pt idx="7">
                  <c:v>95305.505829999995</c:v>
                </c:pt>
                <c:pt idx="8">
                  <c:v>133636.19315499999</c:v>
                </c:pt>
                <c:pt idx="9">
                  <c:v>258092.01020166665</c:v>
                </c:pt>
                <c:pt idx="10">
                  <c:v>422734.1767333335</c:v>
                </c:pt>
                <c:pt idx="11">
                  <c:v>542129.49399166682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FC-4589-BFB4-3517F3218C10}"/>
            </c:ext>
          </c:extLst>
        </c:ser>
        <c:ser>
          <c:idx val="9"/>
          <c:order val="9"/>
          <c:tx>
            <c:strRef>
              <c:f>Peru!$B$16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Peru!$C$6:$N$6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Peru!$C$16:$N$16</c:f>
              <c:numCache>
                <c:formatCode>#,##0</c:formatCode>
                <c:ptCount val="12"/>
                <c:pt idx="0">
                  <c:v>620676.35617666668</c:v>
                </c:pt>
                <c:pt idx="1">
                  <c:v>596656.71766000008</c:v>
                </c:pt>
                <c:pt idx="2">
                  <c:v>584573.8697116666</c:v>
                </c:pt>
                <c:pt idx="3">
                  <c:v>411682.3474150002</c:v>
                </c:pt>
                <c:pt idx="4">
                  <c:v>278457.02482166671</c:v>
                </c:pt>
                <c:pt idx="5">
                  <c:v>150369.85980499999</c:v>
                </c:pt>
                <c:pt idx="6">
                  <c:v>79183.843096666649</c:v>
                </c:pt>
                <c:pt idx="7">
                  <c:v>135214.87912166666</c:v>
                </c:pt>
                <c:pt idx="8">
                  <c:v>261699.04462166666</c:v>
                </c:pt>
                <c:pt idx="9">
                  <c:v>529329.54235999996</c:v>
                </c:pt>
                <c:pt idx="10">
                  <c:v>593063.0255333333</c:v>
                </c:pt>
                <c:pt idx="11">
                  <c:v>662615.65399000002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FC-4589-BFB4-3517F3218C10}"/>
            </c:ext>
          </c:extLst>
        </c:ser>
        <c:ser>
          <c:idx val="10"/>
          <c:order val="10"/>
          <c:tx>
            <c:strRef>
              <c:f>Peru!$B$17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Peru!$C$6:$N$6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Peru!$C$17:$N$17</c:f>
              <c:numCache>
                <c:formatCode>#,##0</c:formatCode>
                <c:ptCount val="12"/>
                <c:pt idx="0">
                  <c:v>533490.74623000005</c:v>
                </c:pt>
                <c:pt idx="1">
                  <c:v>331077.30253333336</c:v>
                </c:pt>
                <c:pt idx="2">
                  <c:v>254404.96045833331</c:v>
                </c:pt>
                <c:pt idx="3">
                  <c:v>107175.89665333334</c:v>
                </c:pt>
                <c:pt idx="4">
                  <c:v>69778.167696666686</c:v>
                </c:pt>
                <c:pt idx="5">
                  <c:v>61298.947940000005</c:v>
                </c:pt>
                <c:pt idx="6">
                  <c:v>68371.173429999995</c:v>
                </c:pt>
                <c:pt idx="7">
                  <c:v>149008.51452333332</c:v>
                </c:pt>
                <c:pt idx="8">
                  <c:v>342255.83606666664</c:v>
                </c:pt>
                <c:pt idx="9">
                  <c:v>461718.47051666665</c:v>
                </c:pt>
                <c:pt idx="10">
                  <c:v>597290.36733166664</c:v>
                </c:pt>
                <c:pt idx="11">
                  <c:v>789835.01484000019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FC-4589-BFB4-3517F3218C10}"/>
            </c:ext>
          </c:extLst>
        </c:ser>
        <c:ser>
          <c:idx val="11"/>
          <c:order val="11"/>
          <c:tx>
            <c:strRef>
              <c:f>Peru!$B$18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Peru!$C$6:$N$6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Peru!$C$18:$N$18</c:f>
              <c:numCache>
                <c:formatCode>#,##0</c:formatCode>
                <c:ptCount val="12"/>
                <c:pt idx="0">
                  <c:v>659483.33333333337</c:v>
                </c:pt>
                <c:pt idx="1">
                  <c:v>530433.33333333337</c:v>
                </c:pt>
                <c:pt idx="2">
                  <c:v>393000</c:v>
                </c:pt>
                <c:pt idx="3">
                  <c:v>189683.33333333334</c:v>
                </c:pt>
                <c:pt idx="4">
                  <c:v>74916.666666666672</c:v>
                </c:pt>
                <c:pt idx="5">
                  <c:v>51533.333333333336</c:v>
                </c:pt>
                <c:pt idx="6">
                  <c:v>66550</c:v>
                </c:pt>
                <c:pt idx="7">
                  <c:v>167633.33333333334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A-4FF3-9E1A-BD7309FE6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Peru!$B$7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Peru!$C$6:$N$6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Peru!$C$7:$N$7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DFC-4589-BFB4-3517F3218C1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603273.10225766664</c:v>
                      </c:pt>
                      <c:pt idx="1">
                        <c:v>564025.26750866673</c:v>
                      </c:pt>
                      <c:pt idx="2">
                        <c:v>476711.90327933338</c:v>
                      </c:pt>
                      <c:pt idx="3">
                        <c:v>159607.81213333333</c:v>
                      </c:pt>
                      <c:pt idx="4">
                        <c:v>120958.64244833334</c:v>
                      </c:pt>
                      <c:pt idx="5">
                        <c:v>111177.12384000001</c:v>
                      </c:pt>
                      <c:pt idx="6">
                        <c:v>58556.828700000005</c:v>
                      </c:pt>
                      <c:pt idx="7">
                        <c:v>79056.154968333343</c:v>
                      </c:pt>
                      <c:pt idx="8">
                        <c:v>165547.15692499999</c:v>
                      </c:pt>
                      <c:pt idx="9">
                        <c:v>368095.81802000001</c:v>
                      </c:pt>
                      <c:pt idx="10">
                        <c:v>624792.59302999999</c:v>
                      </c:pt>
                      <c:pt idx="11">
                        <c:v>621104.52845833346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DFC-4589-BFB4-3517F3218C1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620866.99886833341</c:v>
                      </c:pt>
                      <c:pt idx="1">
                        <c:v>621166.82231999992</c:v>
                      </c:pt>
                      <c:pt idx="2">
                        <c:v>549223.00270166667</c:v>
                      </c:pt>
                      <c:pt idx="3">
                        <c:v>242434.6610133333</c:v>
                      </c:pt>
                      <c:pt idx="4">
                        <c:v>109199.21389333333</c:v>
                      </c:pt>
                      <c:pt idx="5">
                        <c:v>84514.888988333332</c:v>
                      </c:pt>
                      <c:pt idx="6">
                        <c:v>45929.146191666667</c:v>
                      </c:pt>
                      <c:pt idx="7">
                        <c:v>152535.308915</c:v>
                      </c:pt>
                      <c:pt idx="8">
                        <c:v>225889.03268333332</c:v>
                      </c:pt>
                      <c:pt idx="9">
                        <c:v>386324.83864999999</c:v>
                      </c:pt>
                      <c:pt idx="10">
                        <c:v>558038.96962833346</c:v>
                      </c:pt>
                      <c:pt idx="11">
                        <c:v>663082.19926333346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DFC-4589-BFB4-3517F3218C1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699246.32441500016</c:v>
                      </c:pt>
                      <c:pt idx="1">
                        <c:v>654609.22124666686</c:v>
                      </c:pt>
                      <c:pt idx="2">
                        <c:v>496709.52524833323</c:v>
                      </c:pt>
                      <c:pt idx="3">
                        <c:v>272265.70384166669</c:v>
                      </c:pt>
                      <c:pt idx="4">
                        <c:v>165377.17074999999</c:v>
                      </c:pt>
                      <c:pt idx="5">
                        <c:v>79043.812028333341</c:v>
                      </c:pt>
                      <c:pt idx="6">
                        <c:v>55530.932896666673</c:v>
                      </c:pt>
                      <c:pt idx="7">
                        <c:v>115480.89510833332</c:v>
                      </c:pt>
                      <c:pt idx="8">
                        <c:v>238385.15624499999</c:v>
                      </c:pt>
                      <c:pt idx="9">
                        <c:v>376277.48863166664</c:v>
                      </c:pt>
                      <c:pt idx="10">
                        <c:v>617224.07692000002</c:v>
                      </c:pt>
                      <c:pt idx="11">
                        <c:v>686246.56855166657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DFC-4589-BFB4-3517F3218C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845049.62895000004</c:v>
                      </c:pt>
                      <c:pt idx="1">
                        <c:v>622059.97213333321</c:v>
                      </c:pt>
                      <c:pt idx="2">
                        <c:v>501910.39634499996</c:v>
                      </c:pt>
                      <c:pt idx="3">
                        <c:v>274622.19322500005</c:v>
                      </c:pt>
                      <c:pt idx="4">
                        <c:v>119046.78180333333</c:v>
                      </c:pt>
                      <c:pt idx="5">
                        <c:v>58865.133566666671</c:v>
                      </c:pt>
                      <c:pt idx="6">
                        <c:v>61703.694438333354</c:v>
                      </c:pt>
                      <c:pt idx="7">
                        <c:v>86927.433518333346</c:v>
                      </c:pt>
                      <c:pt idx="8">
                        <c:v>182657.76676666667</c:v>
                      </c:pt>
                      <c:pt idx="9">
                        <c:v>417948.33043166675</c:v>
                      </c:pt>
                      <c:pt idx="10">
                        <c:v>530291.88400000008</c:v>
                      </c:pt>
                      <c:pt idx="11">
                        <c:v>676803.92444166681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DFC-4589-BFB4-3517F3218C10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8972795006720049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Peru!$A$66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Peru!$B$65:$M$65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Peru!$B$66:$M$66</c:f>
              <c:numCache>
                <c:formatCode>#,##0</c:formatCode>
                <c:ptCount val="12"/>
                <c:pt idx="0">
                  <c:v>659483.33333333337</c:v>
                </c:pt>
                <c:pt idx="1">
                  <c:v>530433.33333333337</c:v>
                </c:pt>
                <c:pt idx="2">
                  <c:v>393000</c:v>
                </c:pt>
                <c:pt idx="3">
                  <c:v>189683.33333333334</c:v>
                </c:pt>
                <c:pt idx="4">
                  <c:v>74916.666666666672</c:v>
                </c:pt>
                <c:pt idx="5">
                  <c:v>51533.333333333336</c:v>
                </c:pt>
                <c:pt idx="6">
                  <c:v>66550</c:v>
                </c:pt>
                <c:pt idx="7">
                  <c:v>167633.33333333334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A-41EB-BE5E-ED89F82A1A35}"/>
            </c:ext>
          </c:extLst>
        </c:ser>
        <c:ser>
          <c:idx val="1"/>
          <c:order val="1"/>
          <c:tx>
            <c:strRef>
              <c:f>Peru!$A$67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Peru!$B$65:$M$65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Peru!$B$67:$M$67</c:f>
              <c:numCache>
                <c:formatCode>#,##0</c:formatCode>
                <c:ptCount val="12"/>
                <c:pt idx="0">
                  <c:v>415830.10040833341</c:v>
                </c:pt>
                <c:pt idx="1">
                  <c:v>331077.30253333336</c:v>
                </c:pt>
                <c:pt idx="2">
                  <c:v>254404.96045833331</c:v>
                </c:pt>
                <c:pt idx="3">
                  <c:v>107175.89665333334</c:v>
                </c:pt>
                <c:pt idx="4">
                  <c:v>69778.167696666686</c:v>
                </c:pt>
                <c:pt idx="5">
                  <c:v>36993.123366666674</c:v>
                </c:pt>
                <c:pt idx="6">
                  <c:v>42621.237365000001</c:v>
                </c:pt>
                <c:pt idx="7">
                  <c:v>64758.744708333354</c:v>
                </c:pt>
                <c:pt idx="8">
                  <c:v>133636.19315499999</c:v>
                </c:pt>
                <c:pt idx="9">
                  <c:v>258092.01020166665</c:v>
                </c:pt>
                <c:pt idx="10">
                  <c:v>319354.37449666671</c:v>
                </c:pt>
                <c:pt idx="11">
                  <c:v>542129.49399166682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2A-41EB-BE5E-ED89F82A1A35}"/>
            </c:ext>
          </c:extLst>
        </c:ser>
        <c:ser>
          <c:idx val="2"/>
          <c:order val="2"/>
          <c:tx>
            <c:strRef>
              <c:f>Peru!$A$68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Peru!$B$65:$M$65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Peru!$B$68:$M$68</c:f>
              <c:numCache>
                <c:formatCode>#,##0</c:formatCode>
                <c:ptCount val="12"/>
                <c:pt idx="0">
                  <c:v>845049.62895000004</c:v>
                </c:pt>
                <c:pt idx="1">
                  <c:v>654609.22124666686</c:v>
                </c:pt>
                <c:pt idx="2">
                  <c:v>584573.8697116666</c:v>
                </c:pt>
                <c:pt idx="3">
                  <c:v>510481.16436000005</c:v>
                </c:pt>
                <c:pt idx="4">
                  <c:v>438364.25685500004</c:v>
                </c:pt>
                <c:pt idx="5">
                  <c:v>246661.72353333337</c:v>
                </c:pt>
                <c:pt idx="6">
                  <c:v>107259.33783333335</c:v>
                </c:pt>
                <c:pt idx="7">
                  <c:v>152535.308915</c:v>
                </c:pt>
                <c:pt idx="8">
                  <c:v>342255.83606666664</c:v>
                </c:pt>
                <c:pt idx="9">
                  <c:v>529329.54235999996</c:v>
                </c:pt>
                <c:pt idx="10">
                  <c:v>624792.59302999999</c:v>
                </c:pt>
                <c:pt idx="11">
                  <c:v>789835.01484000019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2A-41EB-BE5E-ED89F82A1A35}"/>
            </c:ext>
          </c:extLst>
        </c:ser>
        <c:ser>
          <c:idx val="3"/>
          <c:order val="3"/>
          <c:tx>
            <c:strRef>
              <c:f>Peru!$A$69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Peru!$B$65:$M$65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Peru!$B$69:$M$69</c:f>
              <c:numCache>
                <c:formatCode>#,##0</c:formatCode>
                <c:ptCount val="12"/>
                <c:pt idx="0">
                  <c:v>544519.47820694454</c:v>
                </c:pt>
                <c:pt idx="1">
                  <c:v>493497.58714722231</c:v>
                </c:pt>
                <c:pt idx="2">
                  <c:v>448049.6860091667</c:v>
                </c:pt>
                <c:pt idx="3">
                  <c:v>266377.40216333338</c:v>
                </c:pt>
                <c:pt idx="4">
                  <c:v>172172.20105555558</c:v>
                </c:pt>
                <c:pt idx="5">
                  <c:v>101144.28037750001</c:v>
                </c:pt>
                <c:pt idx="6">
                  <c:v>67523.036223055562</c:v>
                </c:pt>
                <c:pt idx="7">
                  <c:v>110720.74872111111</c:v>
                </c:pt>
                <c:pt idx="8">
                  <c:v>208789.19439083329</c:v>
                </c:pt>
                <c:pt idx="9">
                  <c:v>370265.13343777781</c:v>
                </c:pt>
                <c:pt idx="10">
                  <c:v>496357.28210444452</c:v>
                </c:pt>
                <c:pt idx="11">
                  <c:v>620824.39558444452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2A-41EB-BE5E-ED89F82A1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Peru!$I$84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Peru!$H$99:$H$208</c:f>
              <c:strCache>
                <c:ptCount val="110"/>
                <c:pt idx="0">
                  <c:v>Nov'16/17</c:v>
                </c:pt>
                <c:pt idx="1">
                  <c:v>Dec'16/17</c:v>
                </c:pt>
                <c:pt idx="2">
                  <c:v>Jan'16/17</c:v>
                </c:pt>
                <c:pt idx="3">
                  <c:v>Feb'16/17</c:v>
                </c:pt>
                <c:pt idx="4">
                  <c:v>Mar'16/17</c:v>
                </c:pt>
                <c:pt idx="5">
                  <c:v>Apr'16/17</c:v>
                </c:pt>
                <c:pt idx="6">
                  <c:v>May'16/17</c:v>
                </c:pt>
                <c:pt idx="7">
                  <c:v>Jun'16/17</c:v>
                </c:pt>
                <c:pt idx="8">
                  <c:v>Jul'16/17</c:v>
                </c:pt>
                <c:pt idx="9">
                  <c:v>Aug'16/17</c:v>
                </c:pt>
                <c:pt idx="10">
                  <c:v>Sep'16/17</c:v>
                </c:pt>
                <c:pt idx="11">
                  <c:v>Oct'17/18</c:v>
                </c:pt>
                <c:pt idx="12">
                  <c:v>Nov'17/18</c:v>
                </c:pt>
                <c:pt idx="13">
                  <c:v>Dec'17/18</c:v>
                </c:pt>
                <c:pt idx="14">
                  <c:v>Jan'17/18</c:v>
                </c:pt>
                <c:pt idx="15">
                  <c:v>Feb'17/18</c:v>
                </c:pt>
                <c:pt idx="16">
                  <c:v>Mar'17/18</c:v>
                </c:pt>
                <c:pt idx="17">
                  <c:v>Apr'17/18</c:v>
                </c:pt>
                <c:pt idx="18">
                  <c:v>May'17/18</c:v>
                </c:pt>
                <c:pt idx="19">
                  <c:v>Jun'17/18</c:v>
                </c:pt>
                <c:pt idx="20">
                  <c:v>Jul'17/18</c:v>
                </c:pt>
                <c:pt idx="21">
                  <c:v>Aug'17/18</c:v>
                </c:pt>
                <c:pt idx="22">
                  <c:v>Sep'17/18</c:v>
                </c:pt>
                <c:pt idx="23">
                  <c:v>Oct'18/19</c:v>
                </c:pt>
                <c:pt idx="24">
                  <c:v>Nov'18/19</c:v>
                </c:pt>
                <c:pt idx="25">
                  <c:v>Dec'18/19</c:v>
                </c:pt>
                <c:pt idx="26">
                  <c:v>Jan'18/19</c:v>
                </c:pt>
                <c:pt idx="27">
                  <c:v>Feb'18/19</c:v>
                </c:pt>
                <c:pt idx="28">
                  <c:v>Mar'18/19</c:v>
                </c:pt>
                <c:pt idx="29">
                  <c:v>Apr'18/19</c:v>
                </c:pt>
                <c:pt idx="30">
                  <c:v>May'18/19</c:v>
                </c:pt>
                <c:pt idx="31">
                  <c:v>Jun'18/19</c:v>
                </c:pt>
                <c:pt idx="32">
                  <c:v>Jul'18/19</c:v>
                </c:pt>
                <c:pt idx="33">
                  <c:v>Aug'18/19</c:v>
                </c:pt>
                <c:pt idx="34">
                  <c:v>Sep'18/19</c:v>
                </c:pt>
                <c:pt idx="35">
                  <c:v>Oct'19/20</c:v>
                </c:pt>
                <c:pt idx="36">
                  <c:v>Nov'19/20</c:v>
                </c:pt>
                <c:pt idx="37">
                  <c:v>Dec'19/20</c:v>
                </c:pt>
                <c:pt idx="38">
                  <c:v>Jan'19/20</c:v>
                </c:pt>
                <c:pt idx="39">
                  <c:v>Feb'19/20</c:v>
                </c:pt>
                <c:pt idx="40">
                  <c:v>Mar'19/20</c:v>
                </c:pt>
                <c:pt idx="41">
                  <c:v>Apr'19/20</c:v>
                </c:pt>
                <c:pt idx="42">
                  <c:v>May'19/20</c:v>
                </c:pt>
                <c:pt idx="43">
                  <c:v>Jun'19/20</c:v>
                </c:pt>
                <c:pt idx="44">
                  <c:v>Jul'19/20</c:v>
                </c:pt>
                <c:pt idx="45">
                  <c:v>Aug'19/20</c:v>
                </c:pt>
                <c:pt idx="46">
                  <c:v>Sep'19/20</c:v>
                </c:pt>
                <c:pt idx="47">
                  <c:v>Oct'20/21</c:v>
                </c:pt>
                <c:pt idx="48">
                  <c:v>Nov'20/21</c:v>
                </c:pt>
                <c:pt idx="49">
                  <c:v>Dec'20/21</c:v>
                </c:pt>
                <c:pt idx="50">
                  <c:v>Jan'20/21</c:v>
                </c:pt>
                <c:pt idx="51">
                  <c:v>Feb'20/21</c:v>
                </c:pt>
                <c:pt idx="52">
                  <c:v>Mar'20/21</c:v>
                </c:pt>
                <c:pt idx="53">
                  <c:v>Apr'20/21</c:v>
                </c:pt>
                <c:pt idx="54">
                  <c:v>May'20/21</c:v>
                </c:pt>
                <c:pt idx="55">
                  <c:v>Jun'20/21</c:v>
                </c:pt>
                <c:pt idx="56">
                  <c:v>Jul'20/21</c:v>
                </c:pt>
                <c:pt idx="57">
                  <c:v>Aug'20/21</c:v>
                </c:pt>
                <c:pt idx="58">
                  <c:v>Sep'20/21</c:v>
                </c:pt>
                <c:pt idx="59">
                  <c:v>Oct'21/22</c:v>
                </c:pt>
                <c:pt idx="60">
                  <c:v>Nov'21/22</c:v>
                </c:pt>
                <c:pt idx="61">
                  <c:v>Dec'21/22</c:v>
                </c:pt>
                <c:pt idx="62">
                  <c:v>Jan'21/22</c:v>
                </c:pt>
                <c:pt idx="63">
                  <c:v>Feb'21/22</c:v>
                </c:pt>
                <c:pt idx="64">
                  <c:v>Mar'21/22</c:v>
                </c:pt>
                <c:pt idx="65">
                  <c:v>Apr'21/22</c:v>
                </c:pt>
                <c:pt idx="66">
                  <c:v>May'21/22</c:v>
                </c:pt>
                <c:pt idx="67">
                  <c:v>Jun'21/22</c:v>
                </c:pt>
                <c:pt idx="68">
                  <c:v>Jul'21/22</c:v>
                </c:pt>
                <c:pt idx="69">
                  <c:v>Aug'21/22</c:v>
                </c:pt>
                <c:pt idx="70">
                  <c:v>Sep'21/22</c:v>
                </c:pt>
                <c:pt idx="71">
                  <c:v>Oct'22/23</c:v>
                </c:pt>
                <c:pt idx="72">
                  <c:v>Nov'22/23</c:v>
                </c:pt>
                <c:pt idx="73">
                  <c:v>Dec'22/23</c:v>
                </c:pt>
                <c:pt idx="74">
                  <c:v>Jan'22/23</c:v>
                </c:pt>
                <c:pt idx="75">
                  <c:v>Feb'22/23</c:v>
                </c:pt>
                <c:pt idx="76">
                  <c:v>Mar'22/23</c:v>
                </c:pt>
                <c:pt idx="77">
                  <c:v>Apr'22/23</c:v>
                </c:pt>
                <c:pt idx="78">
                  <c:v>May'22/23</c:v>
                </c:pt>
                <c:pt idx="79">
                  <c:v>Jun'22/23</c:v>
                </c:pt>
                <c:pt idx="80">
                  <c:v>Jul'22/23</c:v>
                </c:pt>
                <c:pt idx="81">
                  <c:v>Aug'22/23</c:v>
                </c:pt>
                <c:pt idx="82">
                  <c:v>Sep'22/23</c:v>
                </c:pt>
                <c:pt idx="83">
                  <c:v>Oct'23/24</c:v>
                </c:pt>
                <c:pt idx="84">
                  <c:v>Nov'23/24</c:v>
                </c:pt>
                <c:pt idx="85">
                  <c:v>Dec'23/24</c:v>
                </c:pt>
                <c:pt idx="86">
                  <c:v>Jan'23/24</c:v>
                </c:pt>
                <c:pt idx="87">
                  <c:v>Feb'23/24</c:v>
                </c:pt>
                <c:pt idx="88">
                  <c:v>Mar'23/24</c:v>
                </c:pt>
                <c:pt idx="89">
                  <c:v>Apr'23/24</c:v>
                </c:pt>
                <c:pt idx="90">
                  <c:v>May'23/24</c:v>
                </c:pt>
                <c:pt idx="91">
                  <c:v>Jun'23/24</c:v>
                </c:pt>
                <c:pt idx="92">
                  <c:v>Jul'23/24</c:v>
                </c:pt>
                <c:pt idx="93">
                  <c:v>Aug'23/24</c:v>
                </c:pt>
                <c:pt idx="94">
                  <c:v>Sep'23/24</c:v>
                </c:pt>
                <c:pt idx="95">
                  <c:v>Oct'24/25</c:v>
                </c:pt>
                <c:pt idx="96">
                  <c:v>Nov'24/25</c:v>
                </c:pt>
                <c:pt idx="97">
                  <c:v>Dec'24/25</c:v>
                </c:pt>
                <c:pt idx="98">
                  <c:v>Jan'24/25</c:v>
                </c:pt>
                <c:pt idx="99">
                  <c:v>Feb'24/25</c:v>
                </c:pt>
                <c:pt idx="100">
                  <c:v>Mar'24/25</c:v>
                </c:pt>
                <c:pt idx="101">
                  <c:v>Apr'24/25</c:v>
                </c:pt>
                <c:pt idx="102">
                  <c:v>May'24/25</c:v>
                </c:pt>
                <c:pt idx="103">
                  <c:v>Jun'24/25</c:v>
                </c:pt>
                <c:pt idx="104">
                  <c:v>Jul'24/25</c:v>
                </c:pt>
                <c:pt idx="105">
                  <c:v>Aug'24/25</c:v>
                </c:pt>
                <c:pt idx="106">
                  <c:v>Sep'24/25</c:v>
                </c:pt>
                <c:pt idx="107">
                  <c:v>Oct'25/26</c:v>
                </c:pt>
                <c:pt idx="108">
                  <c:v>Nov'25/26</c:v>
                </c:pt>
                <c:pt idx="109">
                  <c:v>Dec'25/26</c:v>
                </c:pt>
              </c:strCache>
            </c:strRef>
          </c:cat>
          <c:val>
            <c:numRef>
              <c:f>Peru!$I$99:$I$208</c:f>
              <c:numCache>
                <c:formatCode>General</c:formatCode>
                <c:ptCount val="110"/>
                <c:pt idx="0">
                  <c:v>4.0276423829910009</c:v>
                </c:pt>
                <c:pt idx="1">
                  <c:v>4.1001534824133339</c:v>
                </c:pt>
                <c:pt idx="2">
                  <c:v>4.1829803312933329</c:v>
                </c:pt>
                <c:pt idx="3">
                  <c:v>4.1712209027383338</c:v>
                </c:pt>
                <c:pt idx="4">
                  <c:v>4.1445586678866668</c:v>
                </c:pt>
                <c:pt idx="5">
                  <c:v>4.1319309853783341</c:v>
                </c:pt>
                <c:pt idx="6">
                  <c:v>4.2054101393250001</c:v>
                </c:pt>
                <c:pt idx="7">
                  <c:v>4.2657520150833337</c:v>
                </c:pt>
                <c:pt idx="8">
                  <c:v>4.2839810357133334</c:v>
                </c:pt>
                <c:pt idx="9">
                  <c:v>4.2172274123116669</c:v>
                </c:pt>
                <c:pt idx="10">
                  <c:v>4.259205083116667</c:v>
                </c:pt>
                <c:pt idx="11">
                  <c:v>4.3375844086633331</c:v>
                </c:pt>
                <c:pt idx="12">
                  <c:v>4.3710268075900007</c:v>
                </c:pt>
                <c:pt idx="13">
                  <c:v>4.3185133301366667</c:v>
                </c:pt>
                <c:pt idx="14">
                  <c:v>4.3483443729650002</c:v>
                </c:pt>
                <c:pt idx="15">
                  <c:v>4.4045223298216669</c:v>
                </c:pt>
                <c:pt idx="16">
                  <c:v>4.3990512528616676</c:v>
                </c:pt>
                <c:pt idx="17">
                  <c:v>4.4086530395666665</c:v>
                </c:pt>
                <c:pt idx="18">
                  <c:v>4.3715986257599999</c:v>
                </c:pt>
                <c:pt idx="19">
                  <c:v>4.3840947493216671</c:v>
                </c:pt>
                <c:pt idx="20">
                  <c:v>4.3740473993033335</c:v>
                </c:pt>
                <c:pt idx="21">
                  <c:v>4.4332325065950009</c:v>
                </c:pt>
                <c:pt idx="22">
                  <c:v>4.4563968758833337</c:v>
                </c:pt>
                <c:pt idx="23">
                  <c:v>4.6022001804183335</c:v>
                </c:pt>
                <c:pt idx="24">
                  <c:v>4.5696509313049996</c:v>
                </c:pt>
                <c:pt idx="25">
                  <c:v>4.5748518024016667</c:v>
                </c:pt>
                <c:pt idx="26">
                  <c:v>4.5772082917850003</c:v>
                </c:pt>
                <c:pt idx="27">
                  <c:v>4.5308779028383332</c:v>
                </c:pt>
                <c:pt idx="28">
                  <c:v>4.5106992243766664</c:v>
                </c:pt>
                <c:pt idx="29">
                  <c:v>4.5168719859183337</c:v>
                </c:pt>
                <c:pt idx="30">
                  <c:v>4.4883185243283332</c:v>
                </c:pt>
                <c:pt idx="31">
                  <c:v>4.4325911348499991</c:v>
                </c:pt>
                <c:pt idx="32">
                  <c:v>4.4742619766500002</c:v>
                </c:pt>
                <c:pt idx="33">
                  <c:v>4.3873297837299994</c:v>
                </c:pt>
                <c:pt idx="34">
                  <c:v>4.3778871396200003</c:v>
                </c:pt>
                <c:pt idx="35">
                  <c:v>4.1237133674500006</c:v>
                </c:pt>
                <c:pt idx="36">
                  <c:v>4.0508605586200002</c:v>
                </c:pt>
                <c:pt idx="37">
                  <c:v>4.0777631712316671</c:v>
                </c:pt>
                <c:pt idx="38">
                  <c:v>3.9730264241233337</c:v>
                </c:pt>
                <c:pt idx="39">
                  <c:v>3.9347527799800006</c:v>
                </c:pt>
                <c:pt idx="40">
                  <c:v>3.9128807697800001</c:v>
                </c:pt>
                <c:pt idx="41">
                  <c:v>3.9086208996583336</c:v>
                </c:pt>
                <c:pt idx="42">
                  <c:v>3.92974979214</c:v>
                </c:pt>
                <c:pt idx="43">
                  <c:v>3.8981536580483329</c:v>
                </c:pt>
                <c:pt idx="44">
                  <c:v>3.8446996030916667</c:v>
                </c:pt>
                <c:pt idx="45">
                  <c:v>3.8409089413899999</c:v>
                </c:pt>
                <c:pt idx="46">
                  <c:v>3.7512670591300004</c:v>
                </c:pt>
                <c:pt idx="47">
                  <c:v>3.5762213027583338</c:v>
                </c:pt>
                <c:pt idx="48">
                  <c:v>3.5501707149916668</c:v>
                </c:pt>
                <c:pt idx="49">
                  <c:v>3.4526539876850006</c:v>
                </c:pt>
                <c:pt idx="50">
                  <c:v>3.4666952253966672</c:v>
                </c:pt>
                <c:pt idx="51">
                  <c:v>3.4731532254916671</c:v>
                </c:pt>
                <c:pt idx="52">
                  <c:v>3.4989773824033343</c:v>
                </c:pt>
                <c:pt idx="53">
                  <c:v>3.491792359383334</c:v>
                </c:pt>
                <c:pt idx="54">
                  <c:v>3.4484947780916673</c:v>
                </c:pt>
                <c:pt idx="55">
                  <c:v>3.4469990651100009</c:v>
                </c:pt>
                <c:pt idx="56">
                  <c:v>3.3452031350116664</c:v>
                </c:pt>
                <c:pt idx="57">
                  <c:v>3.1380562872100008</c:v>
                </c:pt>
                <c:pt idx="58">
                  <c:v>3.105511222310001</c:v>
                </c:pt>
                <c:pt idx="59">
                  <c:v>3.2543613665</c:v>
                </c:pt>
                <c:pt idx="60">
                  <c:v>3.2866452361833338</c:v>
                </c:pt>
                <c:pt idx="61">
                  <c:v>3.42207322345</c:v>
                </c:pt>
                <c:pt idx="62">
                  <c:v>3.7486277039816667</c:v>
                </c:pt>
                <c:pt idx="63">
                  <c:v>4.0997608230816667</c:v>
                </c:pt>
                <c:pt idx="64">
                  <c:v>4.2836052663366662</c:v>
                </c:pt>
                <c:pt idx="65">
                  <c:v>4.3406058028733341</c:v>
                </c:pt>
                <c:pt idx="66">
                  <c:v>4.3878275803083326</c:v>
                </c:pt>
                <c:pt idx="67">
                  <c:v>4.4527782007483339</c:v>
                </c:pt>
                <c:pt idx="68">
                  <c:v>4.5353380120683333</c:v>
                </c:pt>
                <c:pt idx="69">
                  <c:v>4.7351841638049992</c:v>
                </c:pt>
                <c:pt idx="70">
                  <c:v>4.7691543777450001</c:v>
                </c:pt>
                <c:pt idx="71">
                  <c:v>4.746037698194999</c:v>
                </c:pt>
                <c:pt idx="72">
                  <c:v>4.5960445716050007</c:v>
                </c:pt>
                <c:pt idx="73">
                  <c:v>4.3518060290499996</c:v>
                </c:pt>
                <c:pt idx="74">
                  <c:v>4.0564377392966664</c:v>
                </c:pt>
                <c:pt idx="75">
                  <c:v>3.6965029639866662</c:v>
                </c:pt>
                <c:pt idx="76">
                  <c:v>3.4985659877950002</c:v>
                </c:pt>
                <c:pt idx="77">
                  <c:v>3.4339278873266665</c:v>
                </c:pt>
                <c:pt idx="78">
                  <c:v>3.4172528710133334</c:v>
                </c:pt>
                <c:pt idx="79">
                  <c:v>3.3363725240350002</c:v>
                </c:pt>
                <c:pt idx="80">
                  <c:v>3.2492063775399997</c:v>
                </c:pt>
                <c:pt idx="81">
                  <c:v>3.1527400280400002</c:v>
                </c:pt>
                <c:pt idx="82">
                  <c:v>3.1062823308100005</c:v>
                </c:pt>
                <c:pt idx="83">
                  <c:v>3.1853951219383339</c:v>
                </c:pt>
                <c:pt idx="84">
                  <c:v>3.3766045209683342</c:v>
                </c:pt>
                <c:pt idx="85">
                  <c:v>3.6386926643183344</c:v>
                </c:pt>
                <c:pt idx="86">
                  <c:v>3.8352621371266675</c:v>
                </c:pt>
                <c:pt idx="87">
                  <c:v>4.0352896804033334</c:v>
                </c:pt>
                <c:pt idx="88">
                  <c:v>4.1369347928666675</c:v>
                </c:pt>
                <c:pt idx="89">
                  <c:v>4.1734973985983341</c:v>
                </c:pt>
                <c:pt idx="90">
                  <c:v>4.2134067718900008</c:v>
                </c:pt>
                <c:pt idx="91">
                  <c:v>4.3414696233566676</c:v>
                </c:pt>
                <c:pt idx="92">
                  <c:v>4.6127071555150012</c:v>
                </c:pt>
                <c:pt idx="93">
                  <c:v>4.783036004315</c:v>
                </c:pt>
                <c:pt idx="94">
                  <c:v>4.9035221643133333</c:v>
                </c:pt>
                <c:pt idx="95">
                  <c:v>4.816336554366667</c:v>
                </c:pt>
                <c:pt idx="96">
                  <c:v>4.5507571392400008</c:v>
                </c:pt>
                <c:pt idx="97">
                  <c:v>4.2205882299866664</c:v>
                </c:pt>
                <c:pt idx="98">
                  <c:v>3.9160817792249998</c:v>
                </c:pt>
                <c:pt idx="99">
                  <c:v>3.7074029221</c:v>
                </c:pt>
                <c:pt idx="100">
                  <c:v>3.6183320102349996</c:v>
                </c:pt>
                <c:pt idx="101">
                  <c:v>3.607519340568333</c:v>
                </c:pt>
                <c:pt idx="102">
                  <c:v>3.6213129759699996</c:v>
                </c:pt>
                <c:pt idx="103">
                  <c:v>3.7018697674149998</c:v>
                </c:pt>
                <c:pt idx="104">
                  <c:v>3.6342586955716665</c:v>
                </c:pt>
                <c:pt idx="105">
                  <c:v>3.6384860373699999</c:v>
                </c:pt>
                <c:pt idx="106">
                  <c:v>3.7657053982200006</c:v>
                </c:pt>
                <c:pt idx="107">
                  <c:v>3.8916979853233338</c:v>
                </c:pt>
                <c:pt idx="108">
                  <c:v>4.0910540161233335</c:v>
                </c:pt>
                <c:pt idx="109">
                  <c:v>4.2296490556649999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E1-488C-9F5B-ADDA36228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Peru!$K$27</c:f>
          <c:strCache>
            <c:ptCount val="1"/>
            <c:pt idx="0">
              <c:v>Peru : Coffee Exports | YTD : Oct-May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Peru!$S$8:$S$17</c:f>
              <c:strCache>
                <c:ptCount val="10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</c:strCache>
            </c:strRef>
          </c:cat>
          <c:val>
            <c:numRef>
              <c:f>Peru!$T$8:$T$17</c:f>
              <c:numCache>
                <c:formatCode>#,##0</c:formatCode>
                <c:ptCount val="10"/>
                <c:pt idx="0">
                  <c:v>2173366.8351356667</c:v>
                </c:pt>
                <c:pt idx="1">
                  <c:v>2425870.0428916668</c:v>
                </c:pt>
                <c:pt idx="2">
                  <c:v>2538263.5855350005</c:v>
                </c:pt>
                <c:pt idx="3">
                  <c:v>2570185.23398</c:v>
                </c:pt>
                <c:pt idx="4">
                  <c:v>2122047.8865000005</c:v>
                </c:pt>
                <c:pt idx="5">
                  <c:v>1819275.6054616673</c:v>
                </c:pt>
                <c:pt idx="6">
                  <c:v>3101591.9634599998</c:v>
                </c:pt>
                <c:pt idx="7">
                  <c:v>1749690.4567283334</c:v>
                </c:pt>
                <c:pt idx="8">
                  <c:v>2856814.8978083334</c:v>
                </c:pt>
                <c:pt idx="9">
                  <c:v>1574605.7094650003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D2-4766-91B0-FD9E83005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Peru!$Q$27</c:f>
          <c:strCache>
            <c:ptCount val="1"/>
            <c:pt idx="0">
              <c:v>Peru : Coffee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Peru!$M$83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Peru!$N$75:$Y$75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Peru!$N$83:$Y$83</c:f>
              <c:numCache>
                <c:formatCode>#,##0</c:formatCode>
                <c:ptCount val="12"/>
                <c:pt idx="0">
                  <c:v>564680.24459833337</c:v>
                </c:pt>
                <c:pt idx="1">
                  <c:v>1120120.6898183334</c:v>
                </c:pt>
                <c:pt idx="2">
                  <c:v>1686844.9587349999</c:v>
                </c:pt>
                <c:pt idx="3">
                  <c:v>2197326.1230950002</c:v>
                </c:pt>
                <c:pt idx="4">
                  <c:v>2635690.37995</c:v>
                </c:pt>
                <c:pt idx="5">
                  <c:v>2882352.1034833333</c:v>
                </c:pt>
                <c:pt idx="6">
                  <c:v>2989611.4413166665</c:v>
                </c:pt>
                <c:pt idx="7">
                  <c:v>3101591.9634599998</c:v>
                </c:pt>
                <c:pt idx="8">
                  <c:v>3316108.5035933331</c:v>
                </c:pt>
                <c:pt idx="9">
                  <c:v>3661366.66029</c:v>
                </c:pt>
                <c:pt idx="10">
                  <c:v>4180567.1865233332</c:v>
                </c:pt>
                <c:pt idx="11">
                  <c:v>4769154.3777449997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95-4231-86E7-D479BA2091E4}"/>
            </c:ext>
          </c:extLst>
        </c:ser>
        <c:ser>
          <c:idx val="3"/>
          <c:order val="3"/>
          <c:tx>
            <c:strRef>
              <c:f>Peru!$M$84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Peru!$N$75:$Y$75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Peru!$N$84:$Y$84</c:f>
              <c:numCache>
                <c:formatCode>#,##0</c:formatCode>
                <c:ptCount val="12"/>
                <c:pt idx="0">
                  <c:v>541563.56504833337</c:v>
                </c:pt>
                <c:pt idx="1">
                  <c:v>947010.88367833348</c:v>
                </c:pt>
                <c:pt idx="2">
                  <c:v>1269496.6100400002</c:v>
                </c:pt>
                <c:pt idx="3">
                  <c:v>1484609.4846466668</c:v>
                </c:pt>
                <c:pt idx="4">
                  <c:v>1563038.9661916669</c:v>
                </c:pt>
                <c:pt idx="5">
                  <c:v>1611763.7135333335</c:v>
                </c:pt>
                <c:pt idx="6">
                  <c:v>1654384.9508983335</c:v>
                </c:pt>
                <c:pt idx="7">
                  <c:v>1749690.4567283334</c:v>
                </c:pt>
                <c:pt idx="8">
                  <c:v>1883326.6498833334</c:v>
                </c:pt>
                <c:pt idx="9">
                  <c:v>2141418.6600850001</c:v>
                </c:pt>
                <c:pt idx="10">
                  <c:v>2564152.8368183337</c:v>
                </c:pt>
                <c:pt idx="11">
                  <c:v>3106282.3308100007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95-4231-86E7-D479BA2091E4}"/>
            </c:ext>
          </c:extLst>
        </c:ser>
        <c:ser>
          <c:idx val="4"/>
          <c:order val="4"/>
          <c:tx>
            <c:strRef>
              <c:f>Peru!$M$85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Peru!$N$75:$Y$75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Peru!$N$85:$Y$85</c:f>
              <c:numCache>
                <c:formatCode>#,##0</c:formatCode>
                <c:ptCount val="12"/>
                <c:pt idx="0">
                  <c:v>620676.35617666668</c:v>
                </c:pt>
                <c:pt idx="1">
                  <c:v>1217333.0738366668</c:v>
                </c:pt>
                <c:pt idx="2">
                  <c:v>1801906.9435483334</c:v>
                </c:pt>
                <c:pt idx="3">
                  <c:v>2213589.2909633336</c:v>
                </c:pt>
                <c:pt idx="4">
                  <c:v>2492046.3157850001</c:v>
                </c:pt>
                <c:pt idx="5">
                  <c:v>2642416.1755900001</c:v>
                </c:pt>
                <c:pt idx="6">
                  <c:v>2721600.0186866666</c:v>
                </c:pt>
                <c:pt idx="7">
                  <c:v>2856814.8978083334</c:v>
                </c:pt>
                <c:pt idx="8">
                  <c:v>3118513.9424299998</c:v>
                </c:pt>
                <c:pt idx="9">
                  <c:v>3647843.4847899997</c:v>
                </c:pt>
                <c:pt idx="10">
                  <c:v>4240906.5103233326</c:v>
                </c:pt>
                <c:pt idx="11">
                  <c:v>4903522.1643133331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95-4231-86E7-D479BA2091E4}"/>
            </c:ext>
          </c:extLst>
        </c:ser>
        <c:ser>
          <c:idx val="5"/>
          <c:order val="5"/>
          <c:tx>
            <c:strRef>
              <c:f>Peru!$M$86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Peru!$N$75:$Y$75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Peru!$N$86:$Y$86</c:f>
              <c:numCache>
                <c:formatCode>#,##0</c:formatCode>
                <c:ptCount val="12"/>
                <c:pt idx="0">
                  <c:v>533490.74623000005</c:v>
                </c:pt>
                <c:pt idx="1">
                  <c:v>864568.04876333335</c:v>
                </c:pt>
                <c:pt idx="2">
                  <c:v>1118973.0092216667</c:v>
                </c:pt>
                <c:pt idx="3">
                  <c:v>1226148.9058750002</c:v>
                </c:pt>
                <c:pt idx="4">
                  <c:v>1295927.0735716668</c:v>
                </c:pt>
                <c:pt idx="5">
                  <c:v>1357226.0215116669</c:v>
                </c:pt>
                <c:pt idx="6">
                  <c:v>1425597.1949416669</c:v>
                </c:pt>
                <c:pt idx="7">
                  <c:v>1574605.7094650003</c:v>
                </c:pt>
                <c:pt idx="8">
                  <c:v>1916861.5455316668</c:v>
                </c:pt>
                <c:pt idx="9">
                  <c:v>2378580.0160483336</c:v>
                </c:pt>
                <c:pt idx="10">
                  <c:v>2975870.3833800005</c:v>
                </c:pt>
                <c:pt idx="11">
                  <c:v>3765705.3982200008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F95-4231-86E7-D479BA2091E4}"/>
            </c:ext>
          </c:extLst>
        </c:ser>
        <c:ser>
          <c:idx val="6"/>
          <c:order val="6"/>
          <c:tx>
            <c:strRef>
              <c:f>Peru!$M$87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Peru!$N$75:$Y$75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Peru!$N$87:$Y$87</c:f>
              <c:numCache>
                <c:formatCode>#,##0</c:formatCode>
                <c:ptCount val="12"/>
                <c:pt idx="0">
                  <c:v>659483.33333333337</c:v>
                </c:pt>
                <c:pt idx="1">
                  <c:v>1189916.6666666667</c:v>
                </c:pt>
                <c:pt idx="2">
                  <c:v>1582916.6666666667</c:v>
                </c:pt>
                <c:pt idx="3">
                  <c:v>1772600</c:v>
                </c:pt>
                <c:pt idx="4">
                  <c:v>1847516.6666666667</c:v>
                </c:pt>
                <c:pt idx="5">
                  <c:v>1899050</c:v>
                </c:pt>
                <c:pt idx="6">
                  <c:v>1965600</c:v>
                </c:pt>
                <c:pt idx="7">
                  <c:v>2133233.3333333335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5-4810-8D1A-2EBE898DF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Peru!$M$81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Peru!$N$75:$Y$75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Peru!$N$81:$Y$81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590875.85678000015</c:v>
                      </c:pt>
                      <c:pt idx="1">
                        <c:v>1140083.0200833336</c:v>
                      </c:pt>
                      <c:pt idx="2">
                        <c:v>1668896.0290400004</c:v>
                      </c:pt>
                      <c:pt idx="3">
                        <c:v>1838781.4751566672</c:v>
                      </c:pt>
                      <c:pt idx="4">
                        <c:v>1919554.6128166672</c:v>
                      </c:pt>
                      <c:pt idx="5">
                        <c:v>1956547.7361833339</c:v>
                      </c:pt>
                      <c:pt idx="6">
                        <c:v>2013991.5605000006</c:v>
                      </c:pt>
                      <c:pt idx="7">
                        <c:v>2122047.8865000005</c:v>
                      </c:pt>
                      <c:pt idx="8">
                        <c:v>2273109.5191750005</c:v>
                      </c:pt>
                      <c:pt idx="9">
                        <c:v>2637603.7946500005</c:v>
                      </c:pt>
                      <c:pt idx="10">
                        <c:v>3164105.0169483339</c:v>
                      </c:pt>
                      <c:pt idx="11">
                        <c:v>3751267.0591300004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F95-4231-86E7-D479BA2091E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Peru!$M$82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Peru!$N$82:$Y$82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415830.10040833341</c:v>
                      </c:pt>
                      <c:pt idx="1">
                        <c:v>938986.67594500014</c:v>
                      </c:pt>
                      <c:pt idx="2">
                        <c:v>1370282.9575950003</c:v>
                      </c:pt>
                      <c:pt idx="3">
                        <c:v>1554209.6414233337</c:v>
                      </c:pt>
                      <c:pt idx="4">
                        <c:v>1641440.7791783337</c:v>
                      </c:pt>
                      <c:pt idx="5">
                        <c:v>1704258.0594566672</c:v>
                      </c:pt>
                      <c:pt idx="6">
                        <c:v>1754516.8607533339</c:v>
                      </c:pt>
                      <c:pt idx="7">
                        <c:v>1819275.6054616673</c:v>
                      </c:pt>
                      <c:pt idx="8">
                        <c:v>1968841.5251550006</c:v>
                      </c:pt>
                      <c:pt idx="9">
                        <c:v>2231539.8705316675</c:v>
                      </c:pt>
                      <c:pt idx="10">
                        <c:v>2550894.2450283342</c:v>
                      </c:pt>
                      <c:pt idx="11">
                        <c:v>3105511.222310001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F95-4231-86E7-D479BA2091E4}"/>
                  </c:ext>
                </c:extLst>
              </c15:ser>
            </c15:filteredLineSeries>
          </c:ext>
        </c:extLst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'S2 Robusta'!$C$5</c:f>
          <c:strCache>
            <c:ptCount val="1"/>
            <c:pt idx="0">
              <c:v>Vietnam &amp; Brazil : Robusta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'S2 Robusta'!$B$14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'S2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Robusta'!$C$14:$N$14</c:f>
              <c:numCache>
                <c:formatCode>#,##0</c:formatCode>
                <c:ptCount val="12"/>
                <c:pt idx="0">
                  <c:v>2064916</c:v>
                </c:pt>
                <c:pt idx="1">
                  <c:v>2136927.666666667</c:v>
                </c:pt>
                <c:pt idx="2">
                  <c:v>3212585.3333333335</c:v>
                </c:pt>
                <c:pt idx="3">
                  <c:v>4159390.3333333335</c:v>
                </c:pt>
                <c:pt idx="4">
                  <c:v>2551553</c:v>
                </c:pt>
                <c:pt idx="5">
                  <c:v>3641056</c:v>
                </c:pt>
                <c:pt idx="6">
                  <c:v>2720430.3333333335</c:v>
                </c:pt>
                <c:pt idx="7">
                  <c:v>2517622.666666667</c:v>
                </c:pt>
                <c:pt idx="8">
                  <c:v>2424794.3333333335</c:v>
                </c:pt>
                <c:pt idx="9">
                  <c:v>2040359.3333333335</c:v>
                </c:pt>
                <c:pt idx="10">
                  <c:v>2007002.6666666667</c:v>
                </c:pt>
                <c:pt idx="11">
                  <c:v>1685921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D9-4442-83E8-8A9B302F0A87}"/>
            </c:ext>
          </c:extLst>
        </c:ser>
        <c:ser>
          <c:idx val="8"/>
          <c:order val="8"/>
          <c:tx>
            <c:strRef>
              <c:f>'S2 Robusta'!$B$15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'S2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Robusta'!$C$15:$N$15</c:f>
              <c:numCache>
                <c:formatCode>#,##0</c:formatCode>
                <c:ptCount val="12"/>
                <c:pt idx="0">
                  <c:v>1443917</c:v>
                </c:pt>
                <c:pt idx="1">
                  <c:v>2250071</c:v>
                </c:pt>
                <c:pt idx="2">
                  <c:v>3346607.7</c:v>
                </c:pt>
                <c:pt idx="3">
                  <c:v>2874028.3341989308</c:v>
                </c:pt>
                <c:pt idx="4">
                  <c:v>2976994.8064211528</c:v>
                </c:pt>
                <c:pt idx="5">
                  <c:v>3670808.6944444445</c:v>
                </c:pt>
                <c:pt idx="6">
                  <c:v>2914531.027777778</c:v>
                </c:pt>
                <c:pt idx="7">
                  <c:v>2665469.3320561945</c:v>
                </c:pt>
                <c:pt idx="8">
                  <c:v>2637644.6944444445</c:v>
                </c:pt>
                <c:pt idx="9">
                  <c:v>2489913.2104717474</c:v>
                </c:pt>
                <c:pt idx="10">
                  <c:v>2266689.6944444445</c:v>
                </c:pt>
                <c:pt idx="11">
                  <c:v>1560079.6944444445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D9-4442-83E8-8A9B302F0A87}"/>
            </c:ext>
          </c:extLst>
        </c:ser>
        <c:ser>
          <c:idx val="9"/>
          <c:order val="9"/>
          <c:tx>
            <c:strRef>
              <c:f>'S2 Robusta'!$B$16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'S2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Robusta'!$C$16:$N$16</c:f>
              <c:numCache>
                <c:formatCode>#,##0</c:formatCode>
                <c:ptCount val="12"/>
                <c:pt idx="0">
                  <c:v>1408699</c:v>
                </c:pt>
                <c:pt idx="1">
                  <c:v>2886949.3333333335</c:v>
                </c:pt>
                <c:pt idx="2">
                  <c:v>3987190.666666667</c:v>
                </c:pt>
                <c:pt idx="3">
                  <c:v>4431087</c:v>
                </c:pt>
                <c:pt idx="4">
                  <c:v>3241330</c:v>
                </c:pt>
                <c:pt idx="5">
                  <c:v>4012102.3333333335</c:v>
                </c:pt>
                <c:pt idx="6">
                  <c:v>3220058</c:v>
                </c:pt>
                <c:pt idx="7">
                  <c:v>2202538.3333333335</c:v>
                </c:pt>
                <c:pt idx="8">
                  <c:v>1993760.3333333335</c:v>
                </c:pt>
                <c:pt idx="9">
                  <c:v>2185670.3333333335</c:v>
                </c:pt>
                <c:pt idx="10">
                  <c:v>2215280.3333333335</c:v>
                </c:pt>
                <c:pt idx="11">
                  <c:v>1720958.6666666667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D9-4442-83E8-8A9B302F0A87}"/>
            </c:ext>
          </c:extLst>
        </c:ser>
        <c:ser>
          <c:idx val="10"/>
          <c:order val="10"/>
          <c:tx>
            <c:strRef>
              <c:f>'S2 Robusta'!$B$17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'S2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Robusta'!$C$17:$N$17</c:f>
              <c:numCache>
                <c:formatCode>#,##0</c:formatCode>
                <c:ptCount val="12"/>
                <c:pt idx="0">
                  <c:v>1656246</c:v>
                </c:pt>
                <c:pt idx="1">
                  <c:v>1764522.6666666667</c:v>
                </c:pt>
                <c:pt idx="2">
                  <c:v>2900000</c:v>
                </c:pt>
                <c:pt idx="3">
                  <c:v>2567217.666666667</c:v>
                </c:pt>
                <c:pt idx="4">
                  <c:v>3061318.3333333335</c:v>
                </c:pt>
                <c:pt idx="5">
                  <c:v>3157585.3333333335</c:v>
                </c:pt>
                <c:pt idx="6">
                  <c:v>2881603.666666667</c:v>
                </c:pt>
                <c:pt idx="7">
                  <c:v>2683052.666666667</c:v>
                </c:pt>
                <c:pt idx="8">
                  <c:v>2443583.3333333335</c:v>
                </c:pt>
                <c:pt idx="9">
                  <c:v>2161275</c:v>
                </c:pt>
                <c:pt idx="10">
                  <c:v>2022043</c:v>
                </c:pt>
                <c:pt idx="11">
                  <c:v>1844668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D9-4442-83E8-8A9B302F0A87}"/>
            </c:ext>
          </c:extLst>
        </c:ser>
        <c:ser>
          <c:idx val="11"/>
          <c:order val="11"/>
          <c:tx>
            <c:strRef>
              <c:f>'S2 Robusta'!$B$18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'S2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Robusta'!$C$18:$N$18</c:f>
              <c:numCache>
                <c:formatCode>#,##0</c:formatCode>
                <c:ptCount val="12"/>
                <c:pt idx="0">
                  <c:v>1587156</c:v>
                </c:pt>
                <c:pt idx="1">
                  <c:v>1739523</c:v>
                </c:pt>
                <c:pt idx="2">
                  <c:v>3271597</c:v>
                </c:pt>
                <c:pt idx="3">
                  <c:v>3921358.3333333335</c:v>
                </c:pt>
                <c:pt idx="4">
                  <c:v>2602838.3333333335</c:v>
                </c:pt>
                <c:pt idx="5">
                  <c:v>3525858</c:v>
                </c:pt>
                <c:pt idx="6">
                  <c:v>3666303</c:v>
                </c:pt>
                <c:pt idx="7">
                  <c:v>2825395</c:v>
                </c:pt>
                <c:pt idx="8">
                  <c:v>2576425.666666667</c:v>
                </c:pt>
                <c:pt idx="9">
                  <c:v>2926458.3333333335</c:v>
                </c:pt>
                <c:pt idx="10">
                  <c:v>3094323.666666667</c:v>
                </c:pt>
                <c:pt idx="11">
                  <c:v>2571270.666666667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1-4431-85C8-D000FEDBD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'S2 Robusta'!$B$7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'S2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'S2 Robusta'!$C$7:$N$7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2024547</c:v>
                      </c:pt>
                      <c:pt idx="1">
                        <c:v>1782702.6666666667</c:v>
                      </c:pt>
                      <c:pt idx="2">
                        <c:v>2171788.3333333335</c:v>
                      </c:pt>
                      <c:pt idx="3">
                        <c:v>2715404.666666667</c:v>
                      </c:pt>
                      <c:pt idx="4">
                        <c:v>2073377.1697574896</c:v>
                      </c:pt>
                      <c:pt idx="5">
                        <c:v>2739115</c:v>
                      </c:pt>
                      <c:pt idx="6">
                        <c:v>2122760.666666667</c:v>
                      </c:pt>
                      <c:pt idx="7">
                        <c:v>2060048.6666666667</c:v>
                      </c:pt>
                      <c:pt idx="8">
                        <c:v>2176444.666666667</c:v>
                      </c:pt>
                      <c:pt idx="9">
                        <c:v>2387949</c:v>
                      </c:pt>
                      <c:pt idx="10">
                        <c:v>1996822</c:v>
                      </c:pt>
                      <c:pt idx="11">
                        <c:v>1867354.7359735975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3D9-4442-83E8-8A9B302F0A8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1878344.3333333335</c:v>
                      </c:pt>
                      <c:pt idx="1">
                        <c:v>2113733.3333333335</c:v>
                      </c:pt>
                      <c:pt idx="2">
                        <c:v>2865461</c:v>
                      </c:pt>
                      <c:pt idx="3">
                        <c:v>3303922.666666667</c:v>
                      </c:pt>
                      <c:pt idx="4">
                        <c:v>2255375.666666667</c:v>
                      </c:pt>
                      <c:pt idx="5">
                        <c:v>3109096</c:v>
                      </c:pt>
                      <c:pt idx="6">
                        <c:v>3211160.666666667</c:v>
                      </c:pt>
                      <c:pt idx="7">
                        <c:v>2753571.666666667</c:v>
                      </c:pt>
                      <c:pt idx="8">
                        <c:v>2695697.666666667</c:v>
                      </c:pt>
                      <c:pt idx="9">
                        <c:v>2381497</c:v>
                      </c:pt>
                      <c:pt idx="10">
                        <c:v>2594391</c:v>
                      </c:pt>
                      <c:pt idx="11">
                        <c:v>2230780.666666667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3D9-4442-83E8-8A9B302F0A8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1988854.6666666667</c:v>
                      </c:pt>
                      <c:pt idx="1">
                        <c:v>1949280.3333333335</c:v>
                      </c:pt>
                      <c:pt idx="2">
                        <c:v>2491652.666666667</c:v>
                      </c:pt>
                      <c:pt idx="3">
                        <c:v>3093433</c:v>
                      </c:pt>
                      <c:pt idx="4">
                        <c:v>2826390</c:v>
                      </c:pt>
                      <c:pt idx="5">
                        <c:v>3111203.666666667</c:v>
                      </c:pt>
                      <c:pt idx="6">
                        <c:v>2415671.3333333335</c:v>
                      </c:pt>
                      <c:pt idx="7">
                        <c:v>2138012</c:v>
                      </c:pt>
                      <c:pt idx="8">
                        <c:v>2048392.6666666667</c:v>
                      </c:pt>
                      <c:pt idx="9">
                        <c:v>1706794.3333333335</c:v>
                      </c:pt>
                      <c:pt idx="10">
                        <c:v>1602833.6475507766</c:v>
                      </c:pt>
                      <c:pt idx="11">
                        <c:v>1344908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3D9-4442-83E8-8A9B302F0A8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1341305.3333333335</c:v>
                      </c:pt>
                      <c:pt idx="1">
                        <c:v>1775839.9446219383</c:v>
                      </c:pt>
                      <c:pt idx="2">
                        <c:v>2756758.3333333335</c:v>
                      </c:pt>
                      <c:pt idx="3">
                        <c:v>3625678</c:v>
                      </c:pt>
                      <c:pt idx="4">
                        <c:v>2311091</c:v>
                      </c:pt>
                      <c:pt idx="5">
                        <c:v>3555237</c:v>
                      </c:pt>
                      <c:pt idx="6">
                        <c:v>2738910</c:v>
                      </c:pt>
                      <c:pt idx="7">
                        <c:v>2616529</c:v>
                      </c:pt>
                      <c:pt idx="8">
                        <c:v>2674225.3333333335</c:v>
                      </c:pt>
                      <c:pt idx="9">
                        <c:v>2301747.3333333335</c:v>
                      </c:pt>
                      <c:pt idx="10">
                        <c:v>2598204.3333333335</c:v>
                      </c:pt>
                      <c:pt idx="11">
                        <c:v>2294640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3D9-4442-83E8-8A9B302F0A8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2665002.666666667</c:v>
                      </c:pt>
                      <c:pt idx="1">
                        <c:v>2861460.3333333335</c:v>
                      </c:pt>
                      <c:pt idx="2">
                        <c:v>2849811</c:v>
                      </c:pt>
                      <c:pt idx="3">
                        <c:v>3729691</c:v>
                      </c:pt>
                      <c:pt idx="4">
                        <c:v>2142389.666666667</c:v>
                      </c:pt>
                      <c:pt idx="5">
                        <c:v>3031979.3333333335</c:v>
                      </c:pt>
                      <c:pt idx="6">
                        <c:v>2544625.666666667</c:v>
                      </c:pt>
                      <c:pt idx="7">
                        <c:v>2630219.666666667</c:v>
                      </c:pt>
                      <c:pt idx="8">
                        <c:v>2595463.3333333335</c:v>
                      </c:pt>
                      <c:pt idx="9">
                        <c:v>2595071</c:v>
                      </c:pt>
                      <c:pt idx="10">
                        <c:v>2364472</c:v>
                      </c:pt>
                      <c:pt idx="11">
                        <c:v>1922331.6666666667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3D9-4442-83E8-8A9B302F0A8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Robusta'!$B$12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Robusta'!$C$12:$N$12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2086800.6666666667</c:v>
                      </c:pt>
                      <c:pt idx="1">
                        <c:v>2329551.666666667</c:v>
                      </c:pt>
                      <c:pt idx="2">
                        <c:v>3476686.666666667</c:v>
                      </c:pt>
                      <c:pt idx="3">
                        <c:v>2783669.3333333335</c:v>
                      </c:pt>
                      <c:pt idx="4">
                        <c:v>3313021.666666667</c:v>
                      </c:pt>
                      <c:pt idx="5">
                        <c:v>3407506.3333333335</c:v>
                      </c:pt>
                      <c:pt idx="6">
                        <c:v>3008128</c:v>
                      </c:pt>
                      <c:pt idx="7">
                        <c:v>2387838.3333333335</c:v>
                      </c:pt>
                      <c:pt idx="8">
                        <c:v>2381450</c:v>
                      </c:pt>
                      <c:pt idx="9">
                        <c:v>2150445</c:v>
                      </c:pt>
                      <c:pt idx="10">
                        <c:v>2155771</c:v>
                      </c:pt>
                      <c:pt idx="11">
                        <c:v>2301001.666666667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3D9-4442-83E8-8A9B302F0A8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Robusta'!$B$13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'S2 Robusta'!$C$13:$N$13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1981758</c:v>
                      </c:pt>
                      <c:pt idx="1">
                        <c:v>1870460.3333333335</c:v>
                      </c:pt>
                      <c:pt idx="2">
                        <c:v>2993758.3333333335</c:v>
                      </c:pt>
                      <c:pt idx="3">
                        <c:v>3147009.666666667</c:v>
                      </c:pt>
                      <c:pt idx="4">
                        <c:v>2385382</c:v>
                      </c:pt>
                      <c:pt idx="5">
                        <c:v>3211198.3333333335</c:v>
                      </c:pt>
                      <c:pt idx="6">
                        <c:v>2442833.666666667</c:v>
                      </c:pt>
                      <c:pt idx="7">
                        <c:v>2484472.3333333335</c:v>
                      </c:pt>
                      <c:pt idx="8">
                        <c:v>2481584.666666667</c:v>
                      </c:pt>
                      <c:pt idx="9">
                        <c:v>2371730</c:v>
                      </c:pt>
                      <c:pt idx="10">
                        <c:v>2165339.666666667</c:v>
                      </c:pt>
                      <c:pt idx="11">
                        <c:v>2070337.3333333335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3D9-4442-83E8-8A9B302F0A87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9932799514"/>
          <c:y val="0.15070006870641015"/>
          <c:w val="0.63563616964523872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 Robusta'!$A$66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'S2 Robusta'!$B$65:$M$65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Robusta'!$B$66:$M$66</c:f>
              <c:numCache>
                <c:formatCode>#,##0</c:formatCode>
                <c:ptCount val="12"/>
                <c:pt idx="0">
                  <c:v>1587156</c:v>
                </c:pt>
                <c:pt idx="1">
                  <c:v>1739523</c:v>
                </c:pt>
                <c:pt idx="2">
                  <c:v>3271597</c:v>
                </c:pt>
                <c:pt idx="3">
                  <c:v>3921358.3333333335</c:v>
                </c:pt>
                <c:pt idx="4">
                  <c:v>2602838.3333333335</c:v>
                </c:pt>
                <c:pt idx="5">
                  <c:v>3525858</c:v>
                </c:pt>
                <c:pt idx="6">
                  <c:v>3666303</c:v>
                </c:pt>
                <c:pt idx="7">
                  <c:v>2825395</c:v>
                </c:pt>
                <c:pt idx="8">
                  <c:v>2576425.666666667</c:v>
                </c:pt>
                <c:pt idx="9">
                  <c:v>2926458.3333333335</c:v>
                </c:pt>
                <c:pt idx="10">
                  <c:v>3094323.666666667</c:v>
                </c:pt>
                <c:pt idx="11">
                  <c:v>2571270.666666667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B2-403B-92EB-D0DA3C099464}"/>
            </c:ext>
          </c:extLst>
        </c:ser>
        <c:ser>
          <c:idx val="1"/>
          <c:order val="1"/>
          <c:tx>
            <c:strRef>
              <c:f>'S2 Robusta'!$A$67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'S2 Robusta'!$B$65:$M$65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Robusta'!$B$67:$M$67</c:f>
              <c:numCache>
                <c:formatCode>#,##0</c:formatCode>
                <c:ptCount val="12"/>
                <c:pt idx="0">
                  <c:v>1341305.3333333335</c:v>
                </c:pt>
                <c:pt idx="1">
                  <c:v>1764522.6666666667</c:v>
                </c:pt>
                <c:pt idx="2">
                  <c:v>2171788.3333333335</c:v>
                </c:pt>
                <c:pt idx="3">
                  <c:v>2567217.666666667</c:v>
                </c:pt>
                <c:pt idx="4">
                  <c:v>2073377.1697574896</c:v>
                </c:pt>
                <c:pt idx="5">
                  <c:v>2739115</c:v>
                </c:pt>
                <c:pt idx="6">
                  <c:v>2122760.666666667</c:v>
                </c:pt>
                <c:pt idx="7">
                  <c:v>2060048.6666666667</c:v>
                </c:pt>
                <c:pt idx="8">
                  <c:v>1993760.3333333335</c:v>
                </c:pt>
                <c:pt idx="9">
                  <c:v>1706794.3333333335</c:v>
                </c:pt>
                <c:pt idx="10">
                  <c:v>1602833.6475507766</c:v>
                </c:pt>
                <c:pt idx="11">
                  <c:v>1344908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B2-403B-92EB-D0DA3C099464}"/>
            </c:ext>
          </c:extLst>
        </c:ser>
        <c:ser>
          <c:idx val="2"/>
          <c:order val="2"/>
          <c:tx>
            <c:strRef>
              <c:f>'S2 Robusta'!$A$68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'S2 Robusta'!$B$65:$M$65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Robusta'!$B$68:$M$68</c:f>
              <c:numCache>
                <c:formatCode>#,##0</c:formatCode>
                <c:ptCount val="12"/>
                <c:pt idx="0">
                  <c:v>2665002.666666667</c:v>
                </c:pt>
                <c:pt idx="1">
                  <c:v>2886949.3333333335</c:v>
                </c:pt>
                <c:pt idx="2">
                  <c:v>3987190.666666667</c:v>
                </c:pt>
                <c:pt idx="3">
                  <c:v>4431087</c:v>
                </c:pt>
                <c:pt idx="4">
                  <c:v>3313021.666666667</c:v>
                </c:pt>
                <c:pt idx="5">
                  <c:v>4012102.3333333335</c:v>
                </c:pt>
                <c:pt idx="6">
                  <c:v>3220058</c:v>
                </c:pt>
                <c:pt idx="7">
                  <c:v>2753571.666666667</c:v>
                </c:pt>
                <c:pt idx="8">
                  <c:v>2695697.666666667</c:v>
                </c:pt>
                <c:pt idx="9">
                  <c:v>2595071</c:v>
                </c:pt>
                <c:pt idx="10">
                  <c:v>2598204.3333333335</c:v>
                </c:pt>
                <c:pt idx="11">
                  <c:v>2301001.666666667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B2-403B-92EB-D0DA3C099464}"/>
            </c:ext>
          </c:extLst>
        </c:ser>
        <c:ser>
          <c:idx val="3"/>
          <c:order val="3"/>
          <c:tx>
            <c:strRef>
              <c:f>'S2 Robusta'!$A$69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'S2 Robusta'!$B$65:$M$65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Robusta'!$B$69:$M$69</c:f>
              <c:numCache>
                <c:formatCode>#,##0</c:formatCode>
                <c:ptCount val="12"/>
                <c:pt idx="0">
                  <c:v>1773722.777777778</c:v>
                </c:pt>
                <c:pt idx="1">
                  <c:v>2206413.777777778</c:v>
                </c:pt>
                <c:pt idx="2">
                  <c:v>3319471.4500000007</c:v>
                </c:pt>
                <c:pt idx="3">
                  <c:v>3327067.055699822</c:v>
                </c:pt>
                <c:pt idx="4">
                  <c:v>2921599.9677368589</c:v>
                </c:pt>
                <c:pt idx="5">
                  <c:v>3516709.5046296292</c:v>
                </c:pt>
                <c:pt idx="6">
                  <c:v>2864597.4490740742</c:v>
                </c:pt>
                <c:pt idx="7">
                  <c:v>2490165.6108982549</c:v>
                </c:pt>
                <c:pt idx="8">
                  <c:v>2393802.8935185187</c:v>
                </c:pt>
                <c:pt idx="9">
                  <c:v>2233232.1461897357</c:v>
                </c:pt>
                <c:pt idx="10">
                  <c:v>2138687.7268518521</c:v>
                </c:pt>
                <c:pt idx="11">
                  <c:v>1863827.7268518517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B2-403B-92EB-D0DA3C099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408279242721423"/>
          <c:y val="0.1640610019656121"/>
          <c:w val="0.63183441514557159"/>
          <c:h val="7.6002267367554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 Robusta'!$I$84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'S2 Robusta'!$H$85:$H$208</c:f>
              <c:strCache>
                <c:ptCount val="124"/>
                <c:pt idx="0">
                  <c:v>Sep'14/15</c:v>
                </c:pt>
                <c:pt idx="1">
                  <c:v>Oct'15/16</c:v>
                </c:pt>
                <c:pt idx="2">
                  <c:v>Nov'15/16</c:v>
                </c:pt>
                <c:pt idx="3">
                  <c:v>Dec'15/16</c:v>
                </c:pt>
                <c:pt idx="4">
                  <c:v>Jan'15/16</c:v>
                </c:pt>
                <c:pt idx="5">
                  <c:v>Feb'15/16</c:v>
                </c:pt>
                <c:pt idx="6">
                  <c:v>Mar'15/16</c:v>
                </c:pt>
                <c:pt idx="7">
                  <c:v>Apr'15/16</c:v>
                </c:pt>
                <c:pt idx="8">
                  <c:v>May'15/16</c:v>
                </c:pt>
                <c:pt idx="9">
                  <c:v>Jun'15/16</c:v>
                </c:pt>
                <c:pt idx="10">
                  <c:v>Jul'15/16</c:v>
                </c:pt>
                <c:pt idx="11">
                  <c:v>Aug'15/16</c:v>
                </c:pt>
                <c:pt idx="12">
                  <c:v>Sep'15/16</c:v>
                </c:pt>
                <c:pt idx="13">
                  <c:v>Oct'16/17</c:v>
                </c:pt>
                <c:pt idx="14">
                  <c:v>Nov'16/17</c:v>
                </c:pt>
                <c:pt idx="15">
                  <c:v>Dec'16/17</c:v>
                </c:pt>
                <c:pt idx="16">
                  <c:v>Jan'16/17</c:v>
                </c:pt>
                <c:pt idx="17">
                  <c:v>Feb'16/17</c:v>
                </c:pt>
                <c:pt idx="18">
                  <c:v>Mar'16/17</c:v>
                </c:pt>
                <c:pt idx="19">
                  <c:v>Apr'16/17</c:v>
                </c:pt>
                <c:pt idx="20">
                  <c:v>May'16/17</c:v>
                </c:pt>
                <c:pt idx="21">
                  <c:v>Jun'16/17</c:v>
                </c:pt>
                <c:pt idx="22">
                  <c:v>Jul'16/17</c:v>
                </c:pt>
                <c:pt idx="23">
                  <c:v>Aug'16/17</c:v>
                </c:pt>
                <c:pt idx="24">
                  <c:v>Sep'16/17</c:v>
                </c:pt>
                <c:pt idx="25">
                  <c:v>Oct'17/18</c:v>
                </c:pt>
                <c:pt idx="26">
                  <c:v>Nov'17/18</c:v>
                </c:pt>
                <c:pt idx="27">
                  <c:v>Dec'17/18</c:v>
                </c:pt>
                <c:pt idx="28">
                  <c:v>Jan'17/18</c:v>
                </c:pt>
                <c:pt idx="29">
                  <c:v>Feb'17/18</c:v>
                </c:pt>
                <c:pt idx="30">
                  <c:v>Mar'17/18</c:v>
                </c:pt>
                <c:pt idx="31">
                  <c:v>Apr'17/18</c:v>
                </c:pt>
                <c:pt idx="32">
                  <c:v>May'17/18</c:v>
                </c:pt>
                <c:pt idx="33">
                  <c:v>Jun'17/18</c:v>
                </c:pt>
                <c:pt idx="34">
                  <c:v>Jul'17/18</c:v>
                </c:pt>
                <c:pt idx="35">
                  <c:v>Aug'17/18</c:v>
                </c:pt>
                <c:pt idx="36">
                  <c:v>Sep'17/18</c:v>
                </c:pt>
                <c:pt idx="37">
                  <c:v>Oct'18/19</c:v>
                </c:pt>
                <c:pt idx="38">
                  <c:v>Nov'18/19</c:v>
                </c:pt>
                <c:pt idx="39">
                  <c:v>Dec'18/19</c:v>
                </c:pt>
                <c:pt idx="40">
                  <c:v>Jan'18/19</c:v>
                </c:pt>
                <c:pt idx="41">
                  <c:v>Feb'18/19</c:v>
                </c:pt>
                <c:pt idx="42">
                  <c:v>Mar'18/19</c:v>
                </c:pt>
                <c:pt idx="43">
                  <c:v>Apr'18/19</c:v>
                </c:pt>
                <c:pt idx="44">
                  <c:v>May'18/19</c:v>
                </c:pt>
                <c:pt idx="45">
                  <c:v>Jun'18/19</c:v>
                </c:pt>
                <c:pt idx="46">
                  <c:v>Jul'18/19</c:v>
                </c:pt>
                <c:pt idx="47">
                  <c:v>Aug'18/19</c:v>
                </c:pt>
                <c:pt idx="48">
                  <c:v>Sep'18/19</c:v>
                </c:pt>
                <c:pt idx="49">
                  <c:v>Oct'19/20</c:v>
                </c:pt>
                <c:pt idx="50">
                  <c:v>Nov'19/20</c:v>
                </c:pt>
                <c:pt idx="51">
                  <c:v>Dec'19/20</c:v>
                </c:pt>
                <c:pt idx="52">
                  <c:v>Jan'19/20</c:v>
                </c:pt>
                <c:pt idx="53">
                  <c:v>Feb'19/20</c:v>
                </c:pt>
                <c:pt idx="54">
                  <c:v>Mar'19/20</c:v>
                </c:pt>
                <c:pt idx="55">
                  <c:v>Apr'19/20</c:v>
                </c:pt>
                <c:pt idx="56">
                  <c:v>May'19/20</c:v>
                </c:pt>
                <c:pt idx="57">
                  <c:v>Jun'19/20</c:v>
                </c:pt>
                <c:pt idx="58">
                  <c:v>Jul'19/20</c:v>
                </c:pt>
                <c:pt idx="59">
                  <c:v>Aug'19/20</c:v>
                </c:pt>
                <c:pt idx="60">
                  <c:v>Sep'19/20</c:v>
                </c:pt>
                <c:pt idx="61">
                  <c:v>Oct'20/21</c:v>
                </c:pt>
                <c:pt idx="62">
                  <c:v>Nov'20/21</c:v>
                </c:pt>
                <c:pt idx="63">
                  <c:v>Dec'20/21</c:v>
                </c:pt>
                <c:pt idx="64">
                  <c:v>Jan'20/21</c:v>
                </c:pt>
                <c:pt idx="65">
                  <c:v>Feb'20/21</c:v>
                </c:pt>
                <c:pt idx="66">
                  <c:v>Mar'20/21</c:v>
                </c:pt>
                <c:pt idx="67">
                  <c:v>Apr'20/21</c:v>
                </c:pt>
                <c:pt idx="68">
                  <c:v>May'20/21</c:v>
                </c:pt>
                <c:pt idx="69">
                  <c:v>Jun'20/21</c:v>
                </c:pt>
                <c:pt idx="70">
                  <c:v>Jul'20/21</c:v>
                </c:pt>
                <c:pt idx="71">
                  <c:v>Aug'20/21</c:v>
                </c:pt>
                <c:pt idx="72">
                  <c:v>Sep'20/21</c:v>
                </c:pt>
                <c:pt idx="73">
                  <c:v>Oct'21/22</c:v>
                </c:pt>
                <c:pt idx="74">
                  <c:v>Nov'21/22</c:v>
                </c:pt>
                <c:pt idx="75">
                  <c:v>Dec'21/22</c:v>
                </c:pt>
                <c:pt idx="76">
                  <c:v>Jan'21/22</c:v>
                </c:pt>
                <c:pt idx="77">
                  <c:v>Feb'21/22</c:v>
                </c:pt>
                <c:pt idx="78">
                  <c:v>Mar'21/22</c:v>
                </c:pt>
                <c:pt idx="79">
                  <c:v>Apr'21/22</c:v>
                </c:pt>
                <c:pt idx="80">
                  <c:v>May'21/22</c:v>
                </c:pt>
                <c:pt idx="81">
                  <c:v>Jun'21/22</c:v>
                </c:pt>
                <c:pt idx="82">
                  <c:v>Jul'21/22</c:v>
                </c:pt>
                <c:pt idx="83">
                  <c:v>Aug'21/22</c:v>
                </c:pt>
                <c:pt idx="84">
                  <c:v>Sep'21/22</c:v>
                </c:pt>
                <c:pt idx="85">
                  <c:v>Oct'22/23</c:v>
                </c:pt>
                <c:pt idx="86">
                  <c:v>Nov'22/23</c:v>
                </c:pt>
                <c:pt idx="87">
                  <c:v>Dec'22/23</c:v>
                </c:pt>
                <c:pt idx="88">
                  <c:v>Jan'22/23</c:v>
                </c:pt>
                <c:pt idx="89">
                  <c:v>Feb'22/23</c:v>
                </c:pt>
                <c:pt idx="90">
                  <c:v>Mar'22/23</c:v>
                </c:pt>
                <c:pt idx="91">
                  <c:v>Apr'22/23</c:v>
                </c:pt>
                <c:pt idx="92">
                  <c:v>May'22/23</c:v>
                </c:pt>
                <c:pt idx="93">
                  <c:v>Jun'22/23</c:v>
                </c:pt>
                <c:pt idx="94">
                  <c:v>Jul'22/23</c:v>
                </c:pt>
                <c:pt idx="95">
                  <c:v>Aug'22/23</c:v>
                </c:pt>
                <c:pt idx="96">
                  <c:v>Sep'22/23</c:v>
                </c:pt>
                <c:pt idx="97">
                  <c:v>Oct'23/24</c:v>
                </c:pt>
                <c:pt idx="98">
                  <c:v>Nov'23/24</c:v>
                </c:pt>
                <c:pt idx="99">
                  <c:v>Dec'23/24</c:v>
                </c:pt>
                <c:pt idx="100">
                  <c:v>Jan'23/24</c:v>
                </c:pt>
                <c:pt idx="101">
                  <c:v>Feb'23/24</c:v>
                </c:pt>
                <c:pt idx="102">
                  <c:v>Mar'23/24</c:v>
                </c:pt>
                <c:pt idx="103">
                  <c:v>Apr'23/24</c:v>
                </c:pt>
                <c:pt idx="104">
                  <c:v>May'23/24</c:v>
                </c:pt>
                <c:pt idx="105">
                  <c:v>Jun'23/24</c:v>
                </c:pt>
                <c:pt idx="106">
                  <c:v>Jul'23/24</c:v>
                </c:pt>
                <c:pt idx="107">
                  <c:v>Aug'23/24</c:v>
                </c:pt>
                <c:pt idx="108">
                  <c:v>Sep'23/24</c:v>
                </c:pt>
                <c:pt idx="109">
                  <c:v>Oct'24/25</c:v>
                </c:pt>
                <c:pt idx="110">
                  <c:v>Nov'24/25</c:v>
                </c:pt>
                <c:pt idx="111">
                  <c:v>Dec'24/25</c:v>
                </c:pt>
                <c:pt idx="112">
                  <c:v>Jan'24/25</c:v>
                </c:pt>
                <c:pt idx="113">
                  <c:v>Feb'24/25</c:v>
                </c:pt>
                <c:pt idx="114">
                  <c:v>Mar'24/25</c:v>
                </c:pt>
                <c:pt idx="115">
                  <c:v>Apr'24/25</c:v>
                </c:pt>
                <c:pt idx="116">
                  <c:v>May'24/25</c:v>
                </c:pt>
                <c:pt idx="117">
                  <c:v>Jun'24/25</c:v>
                </c:pt>
                <c:pt idx="118">
                  <c:v>Jul'24/25</c:v>
                </c:pt>
                <c:pt idx="119">
                  <c:v>Aug'24/25</c:v>
                </c:pt>
                <c:pt idx="120">
                  <c:v>Sep'24/25</c:v>
                </c:pt>
                <c:pt idx="121">
                  <c:v>Oct'25/26</c:v>
                </c:pt>
                <c:pt idx="122">
                  <c:v>Nov'25/26</c:v>
                </c:pt>
                <c:pt idx="123">
                  <c:v>Dec'25/26</c:v>
                </c:pt>
              </c:strCache>
            </c:strRef>
          </c:cat>
          <c:val>
            <c:numRef>
              <c:f>'S2 Robusta'!$I$85:$I$208</c:f>
              <c:numCache>
                <c:formatCode>General</c:formatCode>
                <c:ptCount val="124"/>
                <c:pt idx="0">
                  <c:v>26.118314572397757</c:v>
                </c:pt>
                <c:pt idx="1">
                  <c:v>25.972111905731087</c:v>
                </c:pt>
                <c:pt idx="2">
                  <c:v>26.30314257239775</c:v>
                </c:pt>
                <c:pt idx="3">
                  <c:v>26.996815239064418</c:v>
                </c:pt>
                <c:pt idx="4">
                  <c:v>27.585333239064418</c:v>
                </c:pt>
                <c:pt idx="5">
                  <c:v>27.767331735973595</c:v>
                </c:pt>
                <c:pt idx="6">
                  <c:v>28.137312735973602</c:v>
                </c:pt>
                <c:pt idx="7">
                  <c:v>29.225712735973605</c:v>
                </c:pt>
                <c:pt idx="8">
                  <c:v>29.919235735973604</c:v>
                </c:pt>
                <c:pt idx="9">
                  <c:v>30.438488735973603</c:v>
                </c:pt>
                <c:pt idx="10">
                  <c:v>30.432036735973604</c:v>
                </c:pt>
                <c:pt idx="11">
                  <c:v>31.029605735973604</c:v>
                </c:pt>
                <c:pt idx="12">
                  <c:v>31.393031666666673</c:v>
                </c:pt>
                <c:pt idx="13">
                  <c:v>31.503542000000007</c:v>
                </c:pt>
                <c:pt idx="14">
                  <c:v>31.339089000000005</c:v>
                </c:pt>
                <c:pt idx="15">
                  <c:v>30.965280666666672</c:v>
                </c:pt>
                <c:pt idx="16">
                  <c:v>30.754791000000004</c:v>
                </c:pt>
                <c:pt idx="17">
                  <c:v>31.325805333333335</c:v>
                </c:pt>
                <c:pt idx="18">
                  <c:v>31.327913000000002</c:v>
                </c:pt>
                <c:pt idx="19">
                  <c:v>30.532423666666666</c:v>
                </c:pt>
                <c:pt idx="20">
                  <c:v>29.916864</c:v>
                </c:pt>
                <c:pt idx="21">
                  <c:v>29.269559000000005</c:v>
                </c:pt>
                <c:pt idx="22">
                  <c:v>28.594856333333336</c:v>
                </c:pt>
                <c:pt idx="23">
                  <c:v>27.603298980884112</c:v>
                </c:pt>
                <c:pt idx="24">
                  <c:v>26.717426314217445</c:v>
                </c:pt>
                <c:pt idx="25">
                  <c:v>26.069876980884107</c:v>
                </c:pt>
                <c:pt idx="26">
                  <c:v>25.896436592172716</c:v>
                </c:pt>
                <c:pt idx="27">
                  <c:v>26.161542258839379</c:v>
                </c:pt>
                <c:pt idx="28">
                  <c:v>26.693787258839379</c:v>
                </c:pt>
                <c:pt idx="29">
                  <c:v>26.17848825883938</c:v>
                </c:pt>
                <c:pt idx="30">
                  <c:v>26.622521592172717</c:v>
                </c:pt>
                <c:pt idx="31">
                  <c:v>26.945760258839385</c:v>
                </c:pt>
                <c:pt idx="32">
                  <c:v>27.424277258839385</c:v>
                </c:pt>
                <c:pt idx="33">
                  <c:v>28.05010992550605</c:v>
                </c:pt>
                <c:pt idx="34">
                  <c:v>28.645062925506046</c:v>
                </c:pt>
                <c:pt idx="35">
                  <c:v>29.640433611288604</c:v>
                </c:pt>
                <c:pt idx="36">
                  <c:v>30.590165611288604</c:v>
                </c:pt>
                <c:pt idx="37">
                  <c:v>31.913862944621936</c:v>
                </c:pt>
                <c:pt idx="38">
                  <c:v>32.99948333333333</c:v>
                </c:pt>
                <c:pt idx="39">
                  <c:v>33.092535999999996</c:v>
                </c:pt>
                <c:pt idx="40">
                  <c:v>33.196548999999997</c:v>
                </c:pt>
                <c:pt idx="41">
                  <c:v>33.027847666666666</c:v>
                </c:pt>
                <c:pt idx="42">
                  <c:v>32.50459</c:v>
                </c:pt>
                <c:pt idx="43">
                  <c:v>32.310305666666665</c:v>
                </c:pt>
                <c:pt idx="44">
                  <c:v>32.323996333333334</c:v>
                </c:pt>
                <c:pt idx="45">
                  <c:v>32.245234333333336</c:v>
                </c:pt>
                <c:pt idx="46">
                  <c:v>32.538558000000002</c:v>
                </c:pt>
                <c:pt idx="47">
                  <c:v>32.304825666666666</c:v>
                </c:pt>
                <c:pt idx="48">
                  <c:v>31.932517333333337</c:v>
                </c:pt>
                <c:pt idx="49">
                  <c:v>31.354315333333336</c:v>
                </c:pt>
                <c:pt idx="50">
                  <c:v>30.822406666666673</c:v>
                </c:pt>
                <c:pt idx="51">
                  <c:v>31.449282333333343</c:v>
                </c:pt>
                <c:pt idx="52">
                  <c:v>30.503260666666673</c:v>
                </c:pt>
                <c:pt idx="53">
                  <c:v>31.673892666666671</c:v>
                </c:pt>
                <c:pt idx="54">
                  <c:v>32.049419666666665</c:v>
                </c:pt>
                <c:pt idx="55">
                  <c:v>32.512922000000003</c:v>
                </c:pt>
                <c:pt idx="56">
                  <c:v>32.270540666666662</c:v>
                </c:pt>
                <c:pt idx="57">
                  <c:v>32.056527333333335</c:v>
                </c:pt>
                <c:pt idx="58">
                  <c:v>31.611901333333332</c:v>
                </c:pt>
                <c:pt idx="59">
                  <c:v>31.403200333333331</c:v>
                </c:pt>
                <c:pt idx="60">
                  <c:v>31.78187033333333</c:v>
                </c:pt>
                <c:pt idx="61">
                  <c:v>31.676827666666671</c:v>
                </c:pt>
                <c:pt idx="62">
                  <c:v>31.217736333333335</c:v>
                </c:pt>
                <c:pt idx="63">
                  <c:v>30.734808000000001</c:v>
                </c:pt>
                <c:pt idx="64">
                  <c:v>31.098148333333334</c:v>
                </c:pt>
                <c:pt idx="65">
                  <c:v>30.170508666666667</c:v>
                </c:pt>
                <c:pt idx="66">
                  <c:v>29.974200666666665</c:v>
                </c:pt>
                <c:pt idx="67">
                  <c:v>29.408906333333334</c:v>
                </c:pt>
                <c:pt idx="68">
                  <c:v>29.505540333333336</c:v>
                </c:pt>
                <c:pt idx="69">
                  <c:v>29.605675000000005</c:v>
                </c:pt>
                <c:pt idx="70">
                  <c:v>29.82696</c:v>
                </c:pt>
                <c:pt idx="71">
                  <c:v>29.836528666666666</c:v>
                </c:pt>
                <c:pt idx="72">
                  <c:v>29.605864333333336</c:v>
                </c:pt>
                <c:pt idx="73">
                  <c:v>29.689022333333337</c:v>
                </c:pt>
                <c:pt idx="74">
                  <c:v>29.955489666666669</c:v>
                </c:pt>
                <c:pt idx="75">
                  <c:v>30.17431666666667</c:v>
                </c:pt>
                <c:pt idx="76">
                  <c:v>31.186697333333331</c:v>
                </c:pt>
                <c:pt idx="77">
                  <c:v>31.352868333333333</c:v>
                </c:pt>
                <c:pt idx="78">
                  <c:v>31.782726</c:v>
                </c:pt>
                <c:pt idx="79">
                  <c:v>32.060322666666664</c:v>
                </c:pt>
                <c:pt idx="80">
                  <c:v>32.093473000000003</c:v>
                </c:pt>
                <c:pt idx="81">
                  <c:v>32.036682666666671</c:v>
                </c:pt>
                <c:pt idx="82">
                  <c:v>31.705311999999999</c:v>
                </c:pt>
                <c:pt idx="83">
                  <c:v>31.546975</c:v>
                </c:pt>
                <c:pt idx="84">
                  <c:v>31.162558666666669</c:v>
                </c:pt>
                <c:pt idx="85">
                  <c:v>30.541559666666668</c:v>
                </c:pt>
                <c:pt idx="86">
                  <c:v>30.654703000000001</c:v>
                </c:pt>
                <c:pt idx="87">
                  <c:v>30.788725366666668</c:v>
                </c:pt>
                <c:pt idx="88">
                  <c:v>29.503363367532266</c:v>
                </c:pt>
                <c:pt idx="89">
                  <c:v>29.928805173953418</c:v>
                </c:pt>
                <c:pt idx="90">
                  <c:v>29.958557868397861</c:v>
                </c:pt>
                <c:pt idx="91">
                  <c:v>30.152658562842301</c:v>
                </c:pt>
                <c:pt idx="92">
                  <c:v>30.300505228231831</c:v>
                </c:pt>
                <c:pt idx="93">
                  <c:v>30.51335558934294</c:v>
                </c:pt>
                <c:pt idx="94">
                  <c:v>30.962909466481356</c:v>
                </c:pt>
                <c:pt idx="95">
                  <c:v>31.222596494259136</c:v>
                </c:pt>
                <c:pt idx="96">
                  <c:v>31.096755188703582</c:v>
                </c:pt>
                <c:pt idx="97">
                  <c:v>31.061537188703582</c:v>
                </c:pt>
                <c:pt idx="98">
                  <c:v>31.698415522036914</c:v>
                </c:pt>
                <c:pt idx="99">
                  <c:v>32.338998488703581</c:v>
                </c:pt>
                <c:pt idx="100">
                  <c:v>33.896057154504646</c:v>
                </c:pt>
                <c:pt idx="101">
                  <c:v>34.160392348083498</c:v>
                </c:pt>
                <c:pt idx="102">
                  <c:v>34.501685986972383</c:v>
                </c:pt>
                <c:pt idx="103">
                  <c:v>34.807212959194608</c:v>
                </c:pt>
                <c:pt idx="104">
                  <c:v>34.344281960471747</c:v>
                </c:pt>
                <c:pt idx="105">
                  <c:v>33.700397599360635</c:v>
                </c:pt>
                <c:pt idx="106">
                  <c:v>33.396154722222214</c:v>
                </c:pt>
                <c:pt idx="107">
                  <c:v>33.344745361111102</c:v>
                </c:pt>
                <c:pt idx="108">
                  <c:v>33.50562433333333</c:v>
                </c:pt>
                <c:pt idx="109">
                  <c:v>33.753171333333327</c:v>
                </c:pt>
                <c:pt idx="110">
                  <c:v>32.630744666666665</c:v>
                </c:pt>
                <c:pt idx="111">
                  <c:v>31.543554</c:v>
                </c:pt>
                <c:pt idx="112">
                  <c:v>29.67968466666667</c:v>
                </c:pt>
                <c:pt idx="113">
                  <c:v>29.499673000000005</c:v>
                </c:pt>
                <c:pt idx="114">
                  <c:v>28.645156</c:v>
                </c:pt>
                <c:pt idx="115">
                  <c:v>28.306701666666665</c:v>
                </c:pt>
                <c:pt idx="116">
                  <c:v>28.787216000000001</c:v>
                </c:pt>
                <c:pt idx="117">
                  <c:v>29.237038999999999</c:v>
                </c:pt>
                <c:pt idx="118">
                  <c:v>29.212643666666672</c:v>
                </c:pt>
                <c:pt idx="119">
                  <c:v>29.019406333333336</c:v>
                </c:pt>
                <c:pt idx="120">
                  <c:v>29.143115666666667</c:v>
                </c:pt>
                <c:pt idx="121">
                  <c:v>29.074025666666667</c:v>
                </c:pt>
                <c:pt idx="122">
                  <c:v>29.049026000000001</c:v>
                </c:pt>
                <c:pt idx="123">
                  <c:v>29.420622999999999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0-48BA-80EC-4BF19C14B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'S2 Robusta'!$K$27</c:f>
          <c:strCache>
            <c:ptCount val="1"/>
            <c:pt idx="0">
              <c:v>Vietnam &amp; Brazil : Robusta Exports | YTD : Oct-Sep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'S2 Robusta'!$S$7:$S$17</c:f>
              <c:strCache>
                <c:ptCount val="11"/>
                <c:pt idx="0">
                  <c:v>14/15</c:v>
                </c:pt>
                <c:pt idx="1">
                  <c:v>15/16</c:v>
                </c:pt>
                <c:pt idx="2">
                  <c:v>16/17</c:v>
                </c:pt>
                <c:pt idx="3">
                  <c:v>17/18</c:v>
                </c:pt>
                <c:pt idx="4">
                  <c:v>18/19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  <c:pt idx="10">
                  <c:v>24/25</c:v>
                </c:pt>
              </c:strCache>
            </c:strRef>
          </c:cat>
          <c:val>
            <c:numRef>
              <c:f>'S2 Robusta'!$T$7:$T$17</c:f>
              <c:numCache>
                <c:formatCode>#,##0</c:formatCode>
                <c:ptCount val="11"/>
                <c:pt idx="0">
                  <c:v>26118314.572397757</c:v>
                </c:pt>
                <c:pt idx="1">
                  <c:v>31393031.666666672</c:v>
                </c:pt>
                <c:pt idx="2">
                  <c:v>26717426.314217445</c:v>
                </c:pt>
                <c:pt idx="3">
                  <c:v>30590165.611288603</c:v>
                </c:pt>
                <c:pt idx="4">
                  <c:v>31932517.333333336</c:v>
                </c:pt>
                <c:pt idx="5">
                  <c:v>31781870.333333332</c:v>
                </c:pt>
                <c:pt idx="6">
                  <c:v>29605864.333333336</c:v>
                </c:pt>
                <c:pt idx="7">
                  <c:v>31162558.666666668</c:v>
                </c:pt>
                <c:pt idx="8">
                  <c:v>31096755.188703582</c:v>
                </c:pt>
                <c:pt idx="9">
                  <c:v>33505624.333333328</c:v>
                </c:pt>
                <c:pt idx="10">
                  <c:v>29143115.666666668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3-4BBE-A5BC-789CEBCD6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'S2 Robusta'!$Q$27</c:f>
          <c:strCache>
            <c:ptCount val="1"/>
            <c:pt idx="0">
              <c:v>Vietnam &amp; Brazil : Robusta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 Robusta'!$M$81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'S2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Robusta'!$N$81:$Y$81</c:f>
              <c:numCache>
                <c:formatCode>#,##0</c:formatCode>
                <c:ptCount val="12"/>
                <c:pt idx="0">
                  <c:v>2086800.6666666667</c:v>
                </c:pt>
                <c:pt idx="1">
                  <c:v>4416352.333333334</c:v>
                </c:pt>
                <c:pt idx="2">
                  <c:v>7893039.0000000009</c:v>
                </c:pt>
                <c:pt idx="3">
                  <c:v>10676708.333333334</c:v>
                </c:pt>
                <c:pt idx="4">
                  <c:v>13989730</c:v>
                </c:pt>
                <c:pt idx="5">
                  <c:v>17397236.333333332</c:v>
                </c:pt>
                <c:pt idx="6">
                  <c:v>20405364.333333332</c:v>
                </c:pt>
                <c:pt idx="7">
                  <c:v>22793202.666666664</c:v>
                </c:pt>
                <c:pt idx="8">
                  <c:v>25174652.666666664</c:v>
                </c:pt>
                <c:pt idx="9">
                  <c:v>27325097.666666664</c:v>
                </c:pt>
                <c:pt idx="10">
                  <c:v>29480868.666666664</c:v>
                </c:pt>
                <c:pt idx="11">
                  <c:v>31781870.333333332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41-4882-8133-487D23107351}"/>
            </c:ext>
          </c:extLst>
        </c:ser>
        <c:ser>
          <c:idx val="1"/>
          <c:order val="1"/>
          <c:tx>
            <c:strRef>
              <c:f>'S2 Robusta'!$M$82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'S2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Robusta'!$N$82:$Y$82</c:f>
              <c:numCache>
                <c:formatCode>#,##0</c:formatCode>
                <c:ptCount val="12"/>
                <c:pt idx="0">
                  <c:v>1981758</c:v>
                </c:pt>
                <c:pt idx="1">
                  <c:v>3852218.3333333335</c:v>
                </c:pt>
                <c:pt idx="2">
                  <c:v>6845976.666666667</c:v>
                </c:pt>
                <c:pt idx="3">
                  <c:v>9992986.333333334</c:v>
                </c:pt>
                <c:pt idx="4">
                  <c:v>12378368.333333334</c:v>
                </c:pt>
                <c:pt idx="5">
                  <c:v>15589566.666666668</c:v>
                </c:pt>
                <c:pt idx="6">
                  <c:v>18032400.333333336</c:v>
                </c:pt>
                <c:pt idx="7">
                  <c:v>20516872.666666668</c:v>
                </c:pt>
                <c:pt idx="8">
                  <c:v>22998457.333333336</c:v>
                </c:pt>
                <c:pt idx="9">
                  <c:v>25370187.333333336</c:v>
                </c:pt>
                <c:pt idx="10">
                  <c:v>27535527.000000004</c:v>
                </c:pt>
                <c:pt idx="11">
                  <c:v>29605864.333333336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41-4882-8133-487D23107351}"/>
            </c:ext>
          </c:extLst>
        </c:ser>
        <c:ser>
          <c:idx val="2"/>
          <c:order val="2"/>
          <c:tx>
            <c:strRef>
              <c:f>'S2 Robusta'!$M$83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'S2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Robusta'!$N$83:$Y$83</c:f>
              <c:numCache>
                <c:formatCode>#,##0</c:formatCode>
                <c:ptCount val="12"/>
                <c:pt idx="0">
                  <c:v>2064916</c:v>
                </c:pt>
                <c:pt idx="1">
                  <c:v>4201843.666666667</c:v>
                </c:pt>
                <c:pt idx="2">
                  <c:v>7414429</c:v>
                </c:pt>
                <c:pt idx="3">
                  <c:v>11573819.333333334</c:v>
                </c:pt>
                <c:pt idx="4">
                  <c:v>14125372.333333334</c:v>
                </c:pt>
                <c:pt idx="5">
                  <c:v>17766428.333333336</c:v>
                </c:pt>
                <c:pt idx="6">
                  <c:v>20486858.666666668</c:v>
                </c:pt>
                <c:pt idx="7">
                  <c:v>23004481.333333336</c:v>
                </c:pt>
                <c:pt idx="8">
                  <c:v>25429275.666666668</c:v>
                </c:pt>
                <c:pt idx="9">
                  <c:v>27469635</c:v>
                </c:pt>
                <c:pt idx="10">
                  <c:v>29476637.666666668</c:v>
                </c:pt>
                <c:pt idx="11">
                  <c:v>31162558.666666668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41-4882-8133-487D23107351}"/>
            </c:ext>
          </c:extLst>
        </c:ser>
        <c:ser>
          <c:idx val="3"/>
          <c:order val="3"/>
          <c:tx>
            <c:strRef>
              <c:f>'S2 Robusta'!$M$84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'S2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Robusta'!$N$84:$Y$84</c:f>
              <c:numCache>
                <c:formatCode>#,##0</c:formatCode>
                <c:ptCount val="12"/>
                <c:pt idx="0">
                  <c:v>1443917</c:v>
                </c:pt>
                <c:pt idx="1">
                  <c:v>3693988</c:v>
                </c:pt>
                <c:pt idx="2">
                  <c:v>7040595.7000000002</c:v>
                </c:pt>
                <c:pt idx="3">
                  <c:v>9914624.0341989305</c:v>
                </c:pt>
                <c:pt idx="4">
                  <c:v>12891618.840620084</c:v>
                </c:pt>
                <c:pt idx="5">
                  <c:v>16562427.535064528</c:v>
                </c:pt>
                <c:pt idx="6">
                  <c:v>19476958.562842306</c:v>
                </c:pt>
                <c:pt idx="7">
                  <c:v>22142427.8948985</c:v>
                </c:pt>
                <c:pt idx="8">
                  <c:v>24780072.589342944</c:v>
                </c:pt>
                <c:pt idx="9">
                  <c:v>27269985.799814694</c:v>
                </c:pt>
                <c:pt idx="10">
                  <c:v>29536675.494259138</c:v>
                </c:pt>
                <c:pt idx="11">
                  <c:v>31096755.188703582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41-4882-8133-487D23107351}"/>
            </c:ext>
          </c:extLst>
        </c:ser>
        <c:ser>
          <c:idx val="4"/>
          <c:order val="4"/>
          <c:tx>
            <c:strRef>
              <c:f>'S2 Robusta'!$M$85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'S2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Robusta'!$N$85:$Y$85</c:f>
              <c:numCache>
                <c:formatCode>#,##0</c:formatCode>
                <c:ptCount val="12"/>
                <c:pt idx="0">
                  <c:v>1408699</c:v>
                </c:pt>
                <c:pt idx="1">
                  <c:v>4295648.333333334</c:v>
                </c:pt>
                <c:pt idx="2">
                  <c:v>8282839.0000000009</c:v>
                </c:pt>
                <c:pt idx="3">
                  <c:v>12713926</c:v>
                </c:pt>
                <c:pt idx="4">
                  <c:v>15955256</c:v>
                </c:pt>
                <c:pt idx="5">
                  <c:v>19967358.333333332</c:v>
                </c:pt>
                <c:pt idx="6">
                  <c:v>23187416.333333332</c:v>
                </c:pt>
                <c:pt idx="7">
                  <c:v>25389954.666666664</c:v>
                </c:pt>
                <c:pt idx="8">
                  <c:v>27383714.999999996</c:v>
                </c:pt>
                <c:pt idx="9">
                  <c:v>29569385.333333328</c:v>
                </c:pt>
                <c:pt idx="10">
                  <c:v>31784665.66666666</c:v>
                </c:pt>
                <c:pt idx="11">
                  <c:v>33505624.333333328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41-4882-8133-487D23107351}"/>
            </c:ext>
          </c:extLst>
        </c:ser>
        <c:ser>
          <c:idx val="5"/>
          <c:order val="5"/>
          <c:tx>
            <c:strRef>
              <c:f>'S2 Robusta'!$M$86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'S2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Robusta'!$N$86:$Y$86</c:f>
              <c:numCache>
                <c:formatCode>#,##0</c:formatCode>
                <c:ptCount val="12"/>
                <c:pt idx="0">
                  <c:v>1656246</c:v>
                </c:pt>
                <c:pt idx="1">
                  <c:v>3420768.666666667</c:v>
                </c:pt>
                <c:pt idx="2">
                  <c:v>6320768.666666667</c:v>
                </c:pt>
                <c:pt idx="3">
                  <c:v>8887986.333333334</c:v>
                </c:pt>
                <c:pt idx="4">
                  <c:v>11949304.666666668</c:v>
                </c:pt>
                <c:pt idx="5">
                  <c:v>15106890.000000002</c:v>
                </c:pt>
                <c:pt idx="6">
                  <c:v>17988493.666666668</c:v>
                </c:pt>
                <c:pt idx="7">
                  <c:v>20671546.333333336</c:v>
                </c:pt>
                <c:pt idx="8">
                  <c:v>23115129.666666668</c:v>
                </c:pt>
                <c:pt idx="9">
                  <c:v>25276404.666666668</c:v>
                </c:pt>
                <c:pt idx="10">
                  <c:v>27298447.666666668</c:v>
                </c:pt>
                <c:pt idx="11">
                  <c:v>29143115.666666668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41-4882-8133-487D23107351}"/>
            </c:ext>
          </c:extLst>
        </c:ser>
        <c:ser>
          <c:idx val="6"/>
          <c:order val="6"/>
          <c:tx>
            <c:strRef>
              <c:f>'S2 Robusta'!$M$87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'S2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'S2 Robusta'!$N$87:$Y$87</c:f>
              <c:numCache>
                <c:formatCode>#,##0</c:formatCode>
                <c:ptCount val="12"/>
                <c:pt idx="0">
                  <c:v>1587156</c:v>
                </c:pt>
                <c:pt idx="1">
                  <c:v>3326679</c:v>
                </c:pt>
                <c:pt idx="2">
                  <c:v>6598276</c:v>
                </c:pt>
                <c:pt idx="3">
                  <c:v>10519634.333333334</c:v>
                </c:pt>
                <c:pt idx="4">
                  <c:v>13122472.666666668</c:v>
                </c:pt>
                <c:pt idx="5">
                  <c:v>16648330.666666668</c:v>
                </c:pt>
                <c:pt idx="6">
                  <c:v>20314633.666666668</c:v>
                </c:pt>
                <c:pt idx="7">
                  <c:v>23140028.666666668</c:v>
                </c:pt>
                <c:pt idx="8">
                  <c:v>25716454.333333336</c:v>
                </c:pt>
                <c:pt idx="9">
                  <c:v>28642912.666666668</c:v>
                </c:pt>
                <c:pt idx="10">
                  <c:v>31737236.333333336</c:v>
                </c:pt>
                <c:pt idx="11">
                  <c:v>34308507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6-4071-BE37-631576D51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'S5 Robusta'!$C$5</c:f>
          <c:strCache>
            <c:ptCount val="1"/>
            <c:pt idx="0">
              <c:v>Super 5 : Robusta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'S5 Robusta'!$B$14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'S5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Robusta'!$C$14:$N$14</c:f>
              <c:numCache>
                <c:formatCode>#,##0</c:formatCode>
                <c:ptCount val="12"/>
                <c:pt idx="0">
                  <c:v>3708176.4163799998</c:v>
                </c:pt>
                <c:pt idx="1">
                  <c:v>3894882.4421783332</c:v>
                </c:pt>
                <c:pt idx="2">
                  <c:v>4929357.7774533331</c:v>
                </c:pt>
                <c:pt idx="3">
                  <c:v>5669074.5573816663</c:v>
                </c:pt>
                <c:pt idx="4">
                  <c:v>3928639.9462833335</c:v>
                </c:pt>
                <c:pt idx="5">
                  <c:v>5141461.7382400008</c:v>
                </c:pt>
                <c:pt idx="6">
                  <c:v>4049526.2771383338</c:v>
                </c:pt>
                <c:pt idx="7">
                  <c:v>3953747.9205200002</c:v>
                </c:pt>
                <c:pt idx="8">
                  <c:v>3916414.5964549999</c:v>
                </c:pt>
                <c:pt idx="9">
                  <c:v>3663053.7914166669</c:v>
                </c:pt>
                <c:pt idx="10">
                  <c:v>3894194.3862266671</c:v>
                </c:pt>
                <c:pt idx="11">
                  <c:v>3495999.3512133337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6D-4886-A65A-3129F0C1B574}"/>
            </c:ext>
          </c:extLst>
        </c:ser>
        <c:ser>
          <c:idx val="8"/>
          <c:order val="8"/>
          <c:tx>
            <c:strRef>
              <c:f>'S5 Robusta'!$B$15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'S5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Robusta'!$C$15:$N$15</c:f>
              <c:numCache>
                <c:formatCode>#,##0</c:formatCode>
                <c:ptCount val="12"/>
                <c:pt idx="0">
                  <c:v>3056268.9546166668</c:v>
                </c:pt>
                <c:pt idx="1">
                  <c:v>3931690.7162016672</c:v>
                </c:pt>
                <c:pt idx="2">
                  <c:v>4675877.2207450001</c:v>
                </c:pt>
                <c:pt idx="3">
                  <c:v>4169846.2500639306</c:v>
                </c:pt>
                <c:pt idx="4">
                  <c:v>4244848.9383861534</c:v>
                </c:pt>
                <c:pt idx="5">
                  <c:v>5003551.5155627783</c:v>
                </c:pt>
                <c:pt idx="6">
                  <c:v>4063124.6646461114</c:v>
                </c:pt>
                <c:pt idx="7">
                  <c:v>4073532.2953845276</c:v>
                </c:pt>
                <c:pt idx="8">
                  <c:v>4153189.142687778</c:v>
                </c:pt>
                <c:pt idx="9">
                  <c:v>4031409.0390817472</c:v>
                </c:pt>
                <c:pt idx="10">
                  <c:v>3880807.0940577779</c:v>
                </c:pt>
                <c:pt idx="11">
                  <c:v>2896229.0083461115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6D-4886-A65A-3129F0C1B574}"/>
            </c:ext>
          </c:extLst>
        </c:ser>
        <c:ser>
          <c:idx val="9"/>
          <c:order val="9"/>
          <c:tx>
            <c:strRef>
              <c:f>'S5 Robusta'!$B$16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'S5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Robusta'!$C$16:$N$16</c:f>
              <c:numCache>
                <c:formatCode>#,##0</c:formatCode>
                <c:ptCount val="12"/>
                <c:pt idx="0">
                  <c:v>2698290.4687283332</c:v>
                </c:pt>
                <c:pt idx="1">
                  <c:v>4067753.1562350239</c:v>
                </c:pt>
                <c:pt idx="2">
                  <c:v>4961612.188103334</c:v>
                </c:pt>
                <c:pt idx="3">
                  <c:v>5436721.0304466663</c:v>
                </c:pt>
                <c:pt idx="4">
                  <c:v>4511533.6665060846</c:v>
                </c:pt>
                <c:pt idx="5">
                  <c:v>5338142.2960216664</c:v>
                </c:pt>
                <c:pt idx="6">
                  <c:v>4304766.7840766665</c:v>
                </c:pt>
                <c:pt idx="7">
                  <c:v>3673592.8918416672</c:v>
                </c:pt>
                <c:pt idx="8">
                  <c:v>3555374.915961667</c:v>
                </c:pt>
                <c:pt idx="9">
                  <c:v>4099836.8430250003</c:v>
                </c:pt>
                <c:pt idx="10">
                  <c:v>4090245.1045383336</c:v>
                </c:pt>
                <c:pt idx="11">
                  <c:v>3304463.3223516671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6D-4886-A65A-3129F0C1B574}"/>
            </c:ext>
          </c:extLst>
        </c:ser>
        <c:ser>
          <c:idx val="10"/>
          <c:order val="10"/>
          <c:tx>
            <c:strRef>
              <c:f>'S5 Robusta'!$B$17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'S5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Robusta'!$C$17:$N$17</c:f>
              <c:numCache>
                <c:formatCode>#,##0</c:formatCode>
                <c:ptCount val="12"/>
                <c:pt idx="0">
                  <c:v>3273026.8469266668</c:v>
                </c:pt>
                <c:pt idx="1">
                  <c:v>2958672.3951533334</c:v>
                </c:pt>
                <c:pt idx="2">
                  <c:v>4089182.90992</c:v>
                </c:pt>
                <c:pt idx="3">
                  <c:v>3973829.8068833337</c:v>
                </c:pt>
                <c:pt idx="4">
                  <c:v>4637063.5376549996</c:v>
                </c:pt>
                <c:pt idx="5">
                  <c:v>5012012.4498699997</c:v>
                </c:pt>
                <c:pt idx="6">
                  <c:v>4529535.009438334</c:v>
                </c:pt>
                <c:pt idx="7">
                  <c:v>4559051.7436766662</c:v>
                </c:pt>
                <c:pt idx="8">
                  <c:v>4633017.099508334</c:v>
                </c:pt>
                <c:pt idx="9">
                  <c:v>4365278.7180266669</c:v>
                </c:pt>
                <c:pt idx="10">
                  <c:v>4264623.2769983336</c:v>
                </c:pt>
                <c:pt idx="11">
                  <c:v>4094425.9329233333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6D-4886-A65A-3129F0C1B574}"/>
            </c:ext>
          </c:extLst>
        </c:ser>
        <c:ser>
          <c:idx val="11"/>
          <c:order val="11"/>
          <c:tx>
            <c:strRef>
              <c:f>'S5 Robusta'!$B$18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'S5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Robusta'!$C$18:$N$18</c:f>
              <c:numCache>
                <c:formatCode>#,##0</c:formatCode>
                <c:ptCount val="12"/>
                <c:pt idx="0">
                  <c:v>3526408.6207849998</c:v>
                </c:pt>
                <c:pt idx="1">
                  <c:v>3485831.5618150001</c:v>
                </c:pt>
                <c:pt idx="2">
                  <c:v>4769334.0711316671</c:v>
                </c:pt>
                <c:pt idx="3">
                  <c:v>5209729</c:v>
                </c:pt>
                <c:pt idx="4">
                  <c:v>4176271.3333333335</c:v>
                </c:pt>
                <c:pt idx="5">
                  <c:v>4966608</c:v>
                </c:pt>
                <c:pt idx="6">
                  <c:v>5203956.666666667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5-4730-834F-F0FE69368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'S5 Robusta'!$B$7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'S5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'S5 Robusta'!$C$7:$N$7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6D-4886-A65A-3129F0C1B57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3142922.9671666669</c:v>
                      </c:pt>
                      <c:pt idx="1">
                        <c:v>3175156.1630000002</c:v>
                      </c:pt>
                      <c:pt idx="2">
                        <c:v>3891007.3807466663</c:v>
                      </c:pt>
                      <c:pt idx="3">
                        <c:v>4320100.3633000003</c:v>
                      </c:pt>
                      <c:pt idx="4">
                        <c:v>3370140.0378200007</c:v>
                      </c:pt>
                      <c:pt idx="5">
                        <c:v>4295053.4797316669</c:v>
                      </c:pt>
                      <c:pt idx="6">
                        <c:v>4408384.974026667</c:v>
                      </c:pt>
                      <c:pt idx="7">
                        <c:v>3875075.1377216671</c:v>
                      </c:pt>
                      <c:pt idx="8">
                        <c:v>3824952.0495800003</c:v>
                      </c:pt>
                      <c:pt idx="9">
                        <c:v>3565526.4096416668</c:v>
                      </c:pt>
                      <c:pt idx="10">
                        <c:v>4035579.0590733332</c:v>
                      </c:pt>
                      <c:pt idx="11">
                        <c:v>3545101.4118233337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6D-4886-A65A-3129F0C1B5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3476185.6252683331</c:v>
                      </c:pt>
                      <c:pt idx="1">
                        <c:v>3502451.22322</c:v>
                      </c:pt>
                      <c:pt idx="2">
                        <c:v>4061298.5440833336</c:v>
                      </c:pt>
                      <c:pt idx="3">
                        <c:v>4388231.4637099998</c:v>
                      </c:pt>
                      <c:pt idx="4">
                        <c:v>4201439.5815433329</c:v>
                      </c:pt>
                      <c:pt idx="5">
                        <c:v>4698175.0230350001</c:v>
                      </c:pt>
                      <c:pt idx="6">
                        <c:v>3820142.0978933335</c:v>
                      </c:pt>
                      <c:pt idx="7">
                        <c:v>3752379.0209333338</c:v>
                      </c:pt>
                      <c:pt idx="8">
                        <c:v>3693478.1989666671</c:v>
                      </c:pt>
                      <c:pt idx="9">
                        <c:v>3614159.9330666666</c:v>
                      </c:pt>
                      <c:pt idx="10">
                        <c:v>3405030.7992174434</c:v>
                      </c:pt>
                      <c:pt idx="11">
                        <c:v>2800465.2414499996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6D-4886-A65A-3129F0C1B5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2782900.5175600005</c:v>
                      </c:pt>
                      <c:pt idx="1">
                        <c:v>3069813.3246802716</c:v>
                      </c:pt>
                      <c:pt idx="2">
                        <c:v>3941411.1182750002</c:v>
                      </c:pt>
                      <c:pt idx="3">
                        <c:v>4629095.3512666663</c:v>
                      </c:pt>
                      <c:pt idx="4">
                        <c:v>3411026.2109250003</c:v>
                      </c:pt>
                      <c:pt idx="5">
                        <c:v>4833163.8382416666</c:v>
                      </c:pt>
                      <c:pt idx="6">
                        <c:v>3814647.2715083333</c:v>
                      </c:pt>
                      <c:pt idx="7">
                        <c:v>3802792.0758750001</c:v>
                      </c:pt>
                      <c:pt idx="8">
                        <c:v>3837417.1833500001</c:v>
                      </c:pt>
                      <c:pt idx="9">
                        <c:v>3567986.035908333</c:v>
                      </c:pt>
                      <c:pt idx="10">
                        <c:v>3762130.8127166666</c:v>
                      </c:pt>
                      <c:pt idx="11">
                        <c:v>3389005.5686183334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6D-4886-A65A-3129F0C1B5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3750317.2548083337</c:v>
                      </c:pt>
                      <c:pt idx="1">
                        <c:v>3941179.2088333336</c:v>
                      </c:pt>
                      <c:pt idx="2">
                        <c:v>3877150.4846933335</c:v>
                      </c:pt>
                      <c:pt idx="3">
                        <c:v>4876589.2875166666</c:v>
                      </c:pt>
                      <c:pt idx="4">
                        <c:v>3344709.3204366672</c:v>
                      </c:pt>
                      <c:pt idx="5">
                        <c:v>4361114.5381633332</c:v>
                      </c:pt>
                      <c:pt idx="6">
                        <c:v>3687632.9230583338</c:v>
                      </c:pt>
                      <c:pt idx="7">
                        <c:v>3849278.735321667</c:v>
                      </c:pt>
                      <c:pt idx="8">
                        <c:v>3764124.3693650002</c:v>
                      </c:pt>
                      <c:pt idx="9">
                        <c:v>4016844.7812483334</c:v>
                      </c:pt>
                      <c:pt idx="10">
                        <c:v>3823716.6951099997</c:v>
                      </c:pt>
                      <c:pt idx="11">
                        <c:v>3363646.2921300004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6D-4886-A65A-3129F0C1B5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Robusta'!$B$12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Robusta'!$C$12:$N$12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3457361.0276733339</c:v>
                      </c:pt>
                      <c:pt idx="1">
                        <c:v>3663210.0157683338</c:v>
                      </c:pt>
                      <c:pt idx="2">
                        <c:v>4651296.3335833335</c:v>
                      </c:pt>
                      <c:pt idx="3">
                        <c:v>3990825.2147766668</c:v>
                      </c:pt>
                      <c:pt idx="4">
                        <c:v>4653943.3688233346</c:v>
                      </c:pt>
                      <c:pt idx="5">
                        <c:v>4825638.2182333339</c:v>
                      </c:pt>
                      <c:pt idx="6">
                        <c:v>4083403.9989999998</c:v>
                      </c:pt>
                      <c:pt idx="7">
                        <c:v>3541461.0031666672</c:v>
                      </c:pt>
                      <c:pt idx="8">
                        <c:v>3723286.9267983334</c:v>
                      </c:pt>
                      <c:pt idx="9">
                        <c:v>3676624.3740250003</c:v>
                      </c:pt>
                      <c:pt idx="10">
                        <c:v>3534603.7190516666</c:v>
                      </c:pt>
                      <c:pt idx="11">
                        <c:v>3783031.7311666673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C6D-4886-A65A-3129F0C1B5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Robusta'!$B$13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'S5 Robusta'!$C$13:$N$13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3421719.757666667</c:v>
                      </c:pt>
                      <c:pt idx="1">
                        <c:v>3200988.5988333337</c:v>
                      </c:pt>
                      <c:pt idx="2">
                        <c:v>4382717.5472266665</c:v>
                      </c:pt>
                      <c:pt idx="3">
                        <c:v>4408665.3817633335</c:v>
                      </c:pt>
                      <c:pt idx="4">
                        <c:v>3824051.7782583334</c:v>
                      </c:pt>
                      <c:pt idx="5">
                        <c:v>4831038.3816133337</c:v>
                      </c:pt>
                      <c:pt idx="6">
                        <c:v>3813300.0974283339</c:v>
                      </c:pt>
                      <c:pt idx="7">
                        <c:v>3626675.3982016668</c:v>
                      </c:pt>
                      <c:pt idx="8">
                        <c:v>4045000.3313683337</c:v>
                      </c:pt>
                      <c:pt idx="9">
                        <c:v>3941977.9925966668</c:v>
                      </c:pt>
                      <c:pt idx="10">
                        <c:v>3890193.6075750007</c:v>
                      </c:pt>
                      <c:pt idx="11">
                        <c:v>3811827.8574033333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C6D-4886-A65A-3129F0C1B574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9932799514"/>
          <c:y val="0.15070006870641015"/>
          <c:w val="0.66516829571116209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'S5 Robusta'!$A$66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'S5 Robusta'!$B$65:$M$65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Robusta'!$B$66:$M$66</c:f>
              <c:numCache>
                <c:formatCode>#,##0</c:formatCode>
                <c:ptCount val="12"/>
                <c:pt idx="0">
                  <c:v>3526408.6207849998</c:v>
                </c:pt>
                <c:pt idx="1">
                  <c:v>3485831.5618150001</c:v>
                </c:pt>
                <c:pt idx="2">
                  <c:v>4769334.0711316671</c:v>
                </c:pt>
                <c:pt idx="3">
                  <c:v>5209729</c:v>
                </c:pt>
                <c:pt idx="4">
                  <c:v>4176271.3333333335</c:v>
                </c:pt>
                <c:pt idx="5">
                  <c:v>4966608</c:v>
                </c:pt>
                <c:pt idx="6">
                  <c:v>5203956.666666667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9-433A-B1AA-DBA3B5BC00E8}"/>
            </c:ext>
          </c:extLst>
        </c:ser>
        <c:ser>
          <c:idx val="1"/>
          <c:order val="1"/>
          <c:tx>
            <c:strRef>
              <c:f>'S5 Robusta'!$A$67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'S5 Robusta'!$B$65:$M$65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Robusta'!$B$67:$M$67</c:f>
              <c:numCache>
                <c:formatCode>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A9-433A-B1AA-DBA3B5BC00E8}"/>
            </c:ext>
          </c:extLst>
        </c:ser>
        <c:ser>
          <c:idx val="2"/>
          <c:order val="2"/>
          <c:tx>
            <c:strRef>
              <c:f>'S5 Robusta'!$A$68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'S5 Robusta'!$B$65:$M$65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Robusta'!$B$68:$M$68</c:f>
              <c:numCache>
                <c:formatCode>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A9-433A-B1AA-DBA3B5BC00E8}"/>
            </c:ext>
          </c:extLst>
        </c:ser>
        <c:ser>
          <c:idx val="3"/>
          <c:order val="3"/>
          <c:tx>
            <c:strRef>
              <c:f>'S5 Robusta'!$A$69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'S5 Robusta'!$B$65:$M$65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Robusta'!$B$69:$M$69</c:f>
              <c:numCache>
                <c:formatCode>#,##0</c:formatCode>
                <c:ptCount val="12"/>
                <c:pt idx="0">
                  <c:v>3269140.5786652784</c:v>
                </c:pt>
                <c:pt idx="1">
                  <c:v>3619532.8873950038</c:v>
                </c:pt>
                <c:pt idx="2">
                  <c:v>4615007.3295052778</c:v>
                </c:pt>
                <c:pt idx="3">
                  <c:v>4608160.3735525999</c:v>
                </c:pt>
                <c:pt idx="4">
                  <c:v>4300013.5393187059</c:v>
                </c:pt>
                <c:pt idx="5">
                  <c:v>5025307.4332568524</c:v>
                </c:pt>
                <c:pt idx="6">
                  <c:v>4140609.4719546302</c:v>
                </c:pt>
                <c:pt idx="7">
                  <c:v>3904676.8754651994</c:v>
                </c:pt>
                <c:pt idx="8">
                  <c:v>4004380.5021299082</c:v>
                </c:pt>
                <c:pt idx="9">
                  <c:v>3963030.1263619582</c:v>
                </c:pt>
                <c:pt idx="10">
                  <c:v>3925777.864741297</c:v>
                </c:pt>
                <c:pt idx="11">
                  <c:v>3564329.533900741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A9-433A-B1AA-DBA3B5BC0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408279242721423"/>
          <c:y val="0.1640610019656121"/>
          <c:w val="0.63183441514557159"/>
          <c:h val="7.6002267367554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'S5 Robusta'!$I$84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'S5 Robusta'!$H$85:$H$208</c:f>
              <c:strCache>
                <c:ptCount val="124"/>
                <c:pt idx="0">
                  <c:v>Sep'14/15</c:v>
                </c:pt>
                <c:pt idx="1">
                  <c:v>Oct'15/16</c:v>
                </c:pt>
                <c:pt idx="2">
                  <c:v>Nov'15/16</c:v>
                </c:pt>
                <c:pt idx="3">
                  <c:v>Dec'15/16</c:v>
                </c:pt>
                <c:pt idx="4">
                  <c:v>Jan'15/16</c:v>
                </c:pt>
                <c:pt idx="5">
                  <c:v>Feb'15/16</c:v>
                </c:pt>
                <c:pt idx="6">
                  <c:v>Mar'15/16</c:v>
                </c:pt>
                <c:pt idx="7">
                  <c:v>Apr'15/16</c:v>
                </c:pt>
                <c:pt idx="8">
                  <c:v>May'15/16</c:v>
                </c:pt>
                <c:pt idx="9">
                  <c:v>Jun'15/16</c:v>
                </c:pt>
                <c:pt idx="10">
                  <c:v>Jul'15/16</c:v>
                </c:pt>
                <c:pt idx="11">
                  <c:v>Aug'15/16</c:v>
                </c:pt>
                <c:pt idx="12">
                  <c:v>Sep'15/16</c:v>
                </c:pt>
                <c:pt idx="13">
                  <c:v>Oct'16/17</c:v>
                </c:pt>
                <c:pt idx="14">
                  <c:v>Nov'16/17</c:v>
                </c:pt>
                <c:pt idx="15">
                  <c:v>Dec'16/17</c:v>
                </c:pt>
                <c:pt idx="16">
                  <c:v>Jan'16/17</c:v>
                </c:pt>
                <c:pt idx="17">
                  <c:v>Feb'16/17</c:v>
                </c:pt>
                <c:pt idx="18">
                  <c:v>Mar'16/17</c:v>
                </c:pt>
                <c:pt idx="19">
                  <c:v>Apr'16/17</c:v>
                </c:pt>
                <c:pt idx="20">
                  <c:v>May'16/17</c:v>
                </c:pt>
                <c:pt idx="21">
                  <c:v>Jun'16/17</c:v>
                </c:pt>
                <c:pt idx="22">
                  <c:v>Jul'16/17</c:v>
                </c:pt>
                <c:pt idx="23">
                  <c:v>Aug'16/17</c:v>
                </c:pt>
                <c:pt idx="24">
                  <c:v>Sep'16/17</c:v>
                </c:pt>
                <c:pt idx="25">
                  <c:v>Oct'17/18</c:v>
                </c:pt>
                <c:pt idx="26">
                  <c:v>Nov'17/18</c:v>
                </c:pt>
                <c:pt idx="27">
                  <c:v>Dec'17/18</c:v>
                </c:pt>
                <c:pt idx="28">
                  <c:v>Jan'17/18</c:v>
                </c:pt>
                <c:pt idx="29">
                  <c:v>Feb'17/18</c:v>
                </c:pt>
                <c:pt idx="30">
                  <c:v>Mar'17/18</c:v>
                </c:pt>
                <c:pt idx="31">
                  <c:v>Apr'17/18</c:v>
                </c:pt>
                <c:pt idx="32">
                  <c:v>May'17/18</c:v>
                </c:pt>
                <c:pt idx="33">
                  <c:v>Jun'17/18</c:v>
                </c:pt>
                <c:pt idx="34">
                  <c:v>Jul'17/18</c:v>
                </c:pt>
                <c:pt idx="35">
                  <c:v>Aug'17/18</c:v>
                </c:pt>
                <c:pt idx="36">
                  <c:v>Sep'17/18</c:v>
                </c:pt>
                <c:pt idx="37">
                  <c:v>Oct'18/19</c:v>
                </c:pt>
                <c:pt idx="38">
                  <c:v>Nov'18/19</c:v>
                </c:pt>
                <c:pt idx="39">
                  <c:v>Dec'18/19</c:v>
                </c:pt>
                <c:pt idx="40">
                  <c:v>Jan'18/19</c:v>
                </c:pt>
                <c:pt idx="41">
                  <c:v>Feb'18/19</c:v>
                </c:pt>
                <c:pt idx="42">
                  <c:v>Mar'18/19</c:v>
                </c:pt>
                <c:pt idx="43">
                  <c:v>Apr'18/19</c:v>
                </c:pt>
                <c:pt idx="44">
                  <c:v>May'18/19</c:v>
                </c:pt>
                <c:pt idx="45">
                  <c:v>Jun'18/19</c:v>
                </c:pt>
                <c:pt idx="46">
                  <c:v>Jul'18/19</c:v>
                </c:pt>
                <c:pt idx="47">
                  <c:v>Aug'18/19</c:v>
                </c:pt>
                <c:pt idx="48">
                  <c:v>Sep'18/19</c:v>
                </c:pt>
                <c:pt idx="49">
                  <c:v>Oct'19/20</c:v>
                </c:pt>
                <c:pt idx="50">
                  <c:v>Nov'19/20</c:v>
                </c:pt>
                <c:pt idx="51">
                  <c:v>Dec'19/20</c:v>
                </c:pt>
                <c:pt idx="52">
                  <c:v>Jan'19/20</c:v>
                </c:pt>
                <c:pt idx="53">
                  <c:v>Feb'19/20</c:v>
                </c:pt>
                <c:pt idx="54">
                  <c:v>Mar'19/20</c:v>
                </c:pt>
                <c:pt idx="55">
                  <c:v>Apr'19/20</c:v>
                </c:pt>
                <c:pt idx="56">
                  <c:v>May'19/20</c:v>
                </c:pt>
                <c:pt idx="57">
                  <c:v>Jun'19/20</c:v>
                </c:pt>
                <c:pt idx="58">
                  <c:v>Jul'19/20</c:v>
                </c:pt>
                <c:pt idx="59">
                  <c:v>Aug'19/20</c:v>
                </c:pt>
                <c:pt idx="60">
                  <c:v>Sep'19/20</c:v>
                </c:pt>
                <c:pt idx="61">
                  <c:v>Oct'20/21</c:v>
                </c:pt>
                <c:pt idx="62">
                  <c:v>Nov'20/21</c:v>
                </c:pt>
                <c:pt idx="63">
                  <c:v>Dec'20/21</c:v>
                </c:pt>
                <c:pt idx="64">
                  <c:v>Jan'20/21</c:v>
                </c:pt>
                <c:pt idx="65">
                  <c:v>Feb'20/21</c:v>
                </c:pt>
                <c:pt idx="66">
                  <c:v>Mar'20/21</c:v>
                </c:pt>
                <c:pt idx="67">
                  <c:v>Apr'20/21</c:v>
                </c:pt>
                <c:pt idx="68">
                  <c:v>May'20/21</c:v>
                </c:pt>
                <c:pt idx="69">
                  <c:v>Jun'20/21</c:v>
                </c:pt>
                <c:pt idx="70">
                  <c:v>Jul'20/21</c:v>
                </c:pt>
                <c:pt idx="71">
                  <c:v>Aug'20/21</c:v>
                </c:pt>
                <c:pt idx="72">
                  <c:v>Sep'20/21</c:v>
                </c:pt>
                <c:pt idx="73">
                  <c:v>Oct'21/22</c:v>
                </c:pt>
                <c:pt idx="74">
                  <c:v>Nov'21/22</c:v>
                </c:pt>
                <c:pt idx="75">
                  <c:v>Dec'21/22</c:v>
                </c:pt>
                <c:pt idx="76">
                  <c:v>Jan'21/22</c:v>
                </c:pt>
                <c:pt idx="77">
                  <c:v>Feb'21/22</c:v>
                </c:pt>
                <c:pt idx="78">
                  <c:v>Mar'21/22</c:v>
                </c:pt>
                <c:pt idx="79">
                  <c:v>Apr'21/22</c:v>
                </c:pt>
                <c:pt idx="80">
                  <c:v>May'21/22</c:v>
                </c:pt>
                <c:pt idx="81">
                  <c:v>Jun'21/22</c:v>
                </c:pt>
                <c:pt idx="82">
                  <c:v>Jul'21/22</c:v>
                </c:pt>
                <c:pt idx="83">
                  <c:v>Aug'21/22</c:v>
                </c:pt>
                <c:pt idx="84">
                  <c:v>Sep'21/22</c:v>
                </c:pt>
                <c:pt idx="85">
                  <c:v>Oct'22/23</c:v>
                </c:pt>
                <c:pt idx="86">
                  <c:v>Nov'22/23</c:v>
                </c:pt>
                <c:pt idx="87">
                  <c:v>Dec'22/23</c:v>
                </c:pt>
                <c:pt idx="88">
                  <c:v>Jan'22/23</c:v>
                </c:pt>
                <c:pt idx="89">
                  <c:v>Feb'22/23</c:v>
                </c:pt>
                <c:pt idx="90">
                  <c:v>Mar'22/23</c:v>
                </c:pt>
                <c:pt idx="91">
                  <c:v>Apr'22/23</c:v>
                </c:pt>
                <c:pt idx="92">
                  <c:v>May'22/23</c:v>
                </c:pt>
                <c:pt idx="93">
                  <c:v>Jun'22/23</c:v>
                </c:pt>
                <c:pt idx="94">
                  <c:v>Jul'22/23</c:v>
                </c:pt>
                <c:pt idx="95">
                  <c:v>Aug'22/23</c:v>
                </c:pt>
                <c:pt idx="96">
                  <c:v>Sep'22/23</c:v>
                </c:pt>
                <c:pt idx="97">
                  <c:v>Oct'23/24</c:v>
                </c:pt>
                <c:pt idx="98">
                  <c:v>Nov'23/24</c:v>
                </c:pt>
                <c:pt idx="99">
                  <c:v>Dec'23/24</c:v>
                </c:pt>
                <c:pt idx="100">
                  <c:v>Jan'23/24</c:v>
                </c:pt>
                <c:pt idx="101">
                  <c:v>Feb'23/24</c:v>
                </c:pt>
                <c:pt idx="102">
                  <c:v>Mar'23/24</c:v>
                </c:pt>
                <c:pt idx="103">
                  <c:v>Apr'23/24</c:v>
                </c:pt>
                <c:pt idx="104">
                  <c:v>May'23/24</c:v>
                </c:pt>
                <c:pt idx="105">
                  <c:v>Jun'23/24</c:v>
                </c:pt>
                <c:pt idx="106">
                  <c:v>Jul'23/24</c:v>
                </c:pt>
                <c:pt idx="107">
                  <c:v>Aug'23/24</c:v>
                </c:pt>
                <c:pt idx="108">
                  <c:v>Sep'23/24</c:v>
                </c:pt>
                <c:pt idx="109">
                  <c:v>Oct'24/25</c:v>
                </c:pt>
                <c:pt idx="110">
                  <c:v>Nov'24/25</c:v>
                </c:pt>
                <c:pt idx="111">
                  <c:v>Dec'24/25</c:v>
                </c:pt>
                <c:pt idx="112">
                  <c:v>Jan'24/25</c:v>
                </c:pt>
                <c:pt idx="113">
                  <c:v>Feb'24/25</c:v>
                </c:pt>
                <c:pt idx="114">
                  <c:v>Mar'24/25</c:v>
                </c:pt>
                <c:pt idx="115">
                  <c:v>Apr'24/25</c:v>
                </c:pt>
                <c:pt idx="116">
                  <c:v>May'24/25</c:v>
                </c:pt>
                <c:pt idx="117">
                  <c:v>Jun'24/25</c:v>
                </c:pt>
                <c:pt idx="118">
                  <c:v>Jul'24/25</c:v>
                </c:pt>
                <c:pt idx="119">
                  <c:v>Aug'24/25</c:v>
                </c:pt>
                <c:pt idx="120">
                  <c:v>Sep'24/25</c:v>
                </c:pt>
                <c:pt idx="121">
                  <c:v>Oct'25/26</c:v>
                </c:pt>
                <c:pt idx="122">
                  <c:v>Nov'25/26</c:v>
                </c:pt>
                <c:pt idx="123">
                  <c:v>Dec'25/26</c:v>
                </c:pt>
              </c:strCache>
            </c:strRef>
          </c:cat>
          <c:val>
            <c:numRef>
              <c:f>'S5 Robusta'!$I$85:$I$208</c:f>
              <c:numCache>
                <c:formatCode>General</c:formatCode>
                <c:ptCount val="1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45.448999433631677</c:v>
                </c:pt>
                <c:pt idx="13">
                  <c:v>45.782262091733337</c:v>
                </c:pt>
                <c:pt idx="14">
                  <c:v>46.109557151953332</c:v>
                </c:pt>
                <c:pt idx="15">
                  <c:v>46.279848315290003</c:v>
                </c:pt>
                <c:pt idx="16">
                  <c:v>46.347979415700003</c:v>
                </c:pt>
                <c:pt idx="17">
                  <c:v>47.179278959423335</c:v>
                </c:pt>
                <c:pt idx="18">
                  <c:v>47.582400502726664</c:v>
                </c:pt>
                <c:pt idx="19">
                  <c:v>46.994157626593335</c:v>
                </c:pt>
                <c:pt idx="20">
                  <c:v>46.871461509804995</c:v>
                </c:pt>
                <c:pt idx="21">
                  <c:v>46.739987659191669</c:v>
                </c:pt>
                <c:pt idx="22">
                  <c:v>46.788621182616666</c:v>
                </c:pt>
                <c:pt idx="23">
                  <c:v>46.15807292276078</c:v>
                </c:pt>
                <c:pt idx="24">
                  <c:v>45.41343675238744</c:v>
                </c:pt>
                <c:pt idx="25">
                  <c:v>44.720151644679106</c:v>
                </c:pt>
                <c:pt idx="26">
                  <c:v>44.287513746139375</c:v>
                </c:pt>
                <c:pt idx="27">
                  <c:v>44.167626320331046</c:v>
                </c:pt>
                <c:pt idx="28">
                  <c:v>44.408490207887716</c:v>
                </c:pt>
                <c:pt idx="29">
                  <c:v>43.618076837269385</c:v>
                </c:pt>
                <c:pt idx="30">
                  <c:v>43.753065652476053</c:v>
                </c:pt>
                <c:pt idx="31">
                  <c:v>43.747570826091057</c:v>
                </c:pt>
                <c:pt idx="32">
                  <c:v>43.797983881032721</c:v>
                </c:pt>
                <c:pt idx="33">
                  <c:v>43.941922865416053</c:v>
                </c:pt>
                <c:pt idx="34">
                  <c:v>43.895748968257713</c:v>
                </c:pt>
                <c:pt idx="35">
                  <c:v>44.252848981756941</c:v>
                </c:pt>
                <c:pt idx="36">
                  <c:v>44.84138930892528</c:v>
                </c:pt>
                <c:pt idx="37">
                  <c:v>45.808806046173608</c:v>
                </c:pt>
                <c:pt idx="38">
                  <c:v>46.680171930326679</c:v>
                </c:pt>
                <c:pt idx="39">
                  <c:v>46.615911296745011</c:v>
                </c:pt>
                <c:pt idx="40">
                  <c:v>46.863405232995014</c:v>
                </c:pt>
                <c:pt idx="41">
                  <c:v>46.797088342506669</c:v>
                </c:pt>
                <c:pt idx="42">
                  <c:v>46.325039042428337</c:v>
                </c:pt>
                <c:pt idx="43">
                  <c:v>46.198024693978333</c:v>
                </c:pt>
                <c:pt idx="44">
                  <c:v>46.244511353424997</c:v>
                </c:pt>
                <c:pt idx="45">
                  <c:v>46.171218539439998</c:v>
                </c:pt>
                <c:pt idx="46">
                  <c:v>46.620077284780002</c:v>
                </c:pt>
                <c:pt idx="47">
                  <c:v>46.68166316717334</c:v>
                </c:pt>
                <c:pt idx="48">
                  <c:v>46.65630389068501</c:v>
                </c:pt>
                <c:pt idx="49">
                  <c:v>46.363347663550002</c:v>
                </c:pt>
                <c:pt idx="50">
                  <c:v>46.085378470485004</c:v>
                </c:pt>
                <c:pt idx="51">
                  <c:v>46.859524319374998</c:v>
                </c:pt>
                <c:pt idx="52">
                  <c:v>45.973760246634995</c:v>
                </c:pt>
                <c:pt idx="53">
                  <c:v>47.282994295021666</c:v>
                </c:pt>
                <c:pt idx="54">
                  <c:v>47.747517975091668</c:v>
                </c:pt>
                <c:pt idx="55">
                  <c:v>48.143289051033335</c:v>
                </c:pt>
                <c:pt idx="56">
                  <c:v>47.835471318878341</c:v>
                </c:pt>
                <c:pt idx="57">
                  <c:v>47.794633876311664</c:v>
                </c:pt>
                <c:pt idx="58">
                  <c:v>47.454413469088337</c:v>
                </c:pt>
                <c:pt idx="59">
                  <c:v>47.165300493030003</c:v>
                </c:pt>
                <c:pt idx="60">
                  <c:v>47.58468593206667</c:v>
                </c:pt>
                <c:pt idx="61">
                  <c:v>47.549044662059998</c:v>
                </c:pt>
                <c:pt idx="62">
                  <c:v>47.086823245125011</c:v>
                </c:pt>
                <c:pt idx="63">
                  <c:v>46.818244458768341</c:v>
                </c:pt>
                <c:pt idx="64">
                  <c:v>47.236084625755005</c:v>
                </c:pt>
                <c:pt idx="65">
                  <c:v>46.40619303519</c:v>
                </c:pt>
                <c:pt idx="66">
                  <c:v>46.411593198570003</c:v>
                </c:pt>
                <c:pt idx="67">
                  <c:v>46.141489296998337</c:v>
                </c:pt>
                <c:pt idx="68">
                  <c:v>46.22670369203334</c:v>
                </c:pt>
                <c:pt idx="69">
                  <c:v>46.548417096603345</c:v>
                </c:pt>
                <c:pt idx="70">
                  <c:v>46.813770715175004</c:v>
                </c:pt>
                <c:pt idx="71">
                  <c:v>47.16936060369833</c:v>
                </c:pt>
                <c:pt idx="72">
                  <c:v>47.198156729934993</c:v>
                </c:pt>
                <c:pt idx="73">
                  <c:v>47.484613388648334</c:v>
                </c:pt>
                <c:pt idx="74">
                  <c:v>48.178507231993329</c:v>
                </c:pt>
                <c:pt idx="75">
                  <c:v>48.725147462220001</c:v>
                </c:pt>
                <c:pt idx="76">
                  <c:v>49.985556637838336</c:v>
                </c:pt>
                <c:pt idx="77">
                  <c:v>50.090144805863339</c:v>
                </c:pt>
                <c:pt idx="78">
                  <c:v>50.400568162490003</c:v>
                </c:pt>
                <c:pt idx="79">
                  <c:v>50.636794342200012</c:v>
                </c:pt>
                <c:pt idx="80">
                  <c:v>50.963866864518337</c:v>
                </c:pt>
                <c:pt idx="81">
                  <c:v>50.835281129605008</c:v>
                </c:pt>
                <c:pt idx="82">
                  <c:v>50.556356928425004</c:v>
                </c:pt>
                <c:pt idx="83">
                  <c:v>50.560357707076669</c:v>
                </c:pt>
                <c:pt idx="84">
                  <c:v>50.244529200886667</c:v>
                </c:pt>
                <c:pt idx="85">
                  <c:v>49.592621739123338</c:v>
                </c:pt>
                <c:pt idx="86">
                  <c:v>49.629430013146674</c:v>
                </c:pt>
                <c:pt idx="87">
                  <c:v>49.375949456438342</c:v>
                </c:pt>
                <c:pt idx="88">
                  <c:v>47.876721149120606</c:v>
                </c:pt>
                <c:pt idx="89">
                  <c:v>48.192930141223414</c:v>
                </c:pt>
                <c:pt idx="90">
                  <c:v>48.055019918546193</c:v>
                </c:pt>
                <c:pt idx="91">
                  <c:v>48.068618306053985</c:v>
                </c:pt>
                <c:pt idx="92">
                  <c:v>48.1884026809185</c:v>
                </c:pt>
                <c:pt idx="93">
                  <c:v>48.425177227151273</c:v>
                </c:pt>
                <c:pt idx="94">
                  <c:v>48.793532474816352</c:v>
                </c:pt>
                <c:pt idx="95">
                  <c:v>48.780145182647459</c:v>
                </c:pt>
                <c:pt idx="96">
                  <c:v>48.180374839780242</c:v>
                </c:pt>
                <c:pt idx="97">
                  <c:v>47.822396353891911</c:v>
                </c:pt>
                <c:pt idx="98">
                  <c:v>47.958458793925267</c:v>
                </c:pt>
                <c:pt idx="99">
                  <c:v>48.244193761283604</c:v>
                </c:pt>
                <c:pt idx="100">
                  <c:v>49.511068541666347</c:v>
                </c:pt>
                <c:pt idx="101">
                  <c:v>49.777753269786267</c:v>
                </c:pt>
                <c:pt idx="102">
                  <c:v>50.112344050245149</c:v>
                </c:pt>
                <c:pt idx="103">
                  <c:v>50.353986169675714</c:v>
                </c:pt>
                <c:pt idx="104">
                  <c:v>49.954046766132855</c:v>
                </c:pt>
                <c:pt idx="105">
                  <c:v>49.356232539406747</c:v>
                </c:pt>
                <c:pt idx="106">
                  <c:v>49.424660343349998</c:v>
                </c:pt>
                <c:pt idx="107">
                  <c:v>49.634098353830552</c:v>
                </c:pt>
                <c:pt idx="108">
                  <c:v>50.042332667836106</c:v>
                </c:pt>
                <c:pt idx="109">
                  <c:v>50.617069046034437</c:v>
                </c:pt>
                <c:pt idx="110">
                  <c:v>49.507988284952759</c:v>
                </c:pt>
                <c:pt idx="111">
                  <c:v>48.635559006769419</c:v>
                </c:pt>
                <c:pt idx="112">
                  <c:v>47.172667783206087</c:v>
                </c:pt>
                <c:pt idx="113">
                  <c:v>47.298197654355008</c:v>
                </c:pt>
                <c:pt idx="114">
                  <c:v>46.972067808203334</c:v>
                </c:pt>
                <c:pt idx="115">
                  <c:v>47.196836033565006</c:v>
                </c:pt>
                <c:pt idx="116">
                  <c:v>48.082294885399996</c:v>
                </c:pt>
                <c:pt idx="117">
                  <c:v>49.159937068946661</c:v>
                </c:pt>
                <c:pt idx="118">
                  <c:v>49.425378943948331</c:v>
                </c:pt>
                <c:pt idx="119">
                  <c:v>49.599757116408341</c:v>
                </c:pt>
                <c:pt idx="120">
                  <c:v>50.389719726979997</c:v>
                </c:pt>
                <c:pt idx="121">
                  <c:v>50.643101500838334</c:v>
                </c:pt>
                <c:pt idx="122">
                  <c:v>51.170260667500003</c:v>
                </c:pt>
                <c:pt idx="123">
                  <c:v>51.850411828711664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F9-47B1-B714-7001C8AB2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'S5 Robusta'!$K$27</c:f>
          <c:strCache>
            <c:ptCount val="1"/>
            <c:pt idx="0">
              <c:v>Super 5 : Robusta Exports | YTD : Oct-Apr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'S5 Robusta'!$S$7:$S$17</c:f>
              <c:strCache>
                <c:ptCount val="11"/>
                <c:pt idx="0">
                  <c:v>14/15</c:v>
                </c:pt>
                <c:pt idx="1">
                  <c:v>15/16</c:v>
                </c:pt>
                <c:pt idx="2">
                  <c:v>16/17</c:v>
                </c:pt>
                <c:pt idx="3">
                  <c:v>17/18</c:v>
                </c:pt>
                <c:pt idx="4">
                  <c:v>18/19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  <c:pt idx="10">
                  <c:v>24/25</c:v>
                </c:pt>
              </c:strCache>
            </c:strRef>
          </c:cat>
          <c:val>
            <c:numRef>
              <c:f>'S5 Robusta'!$T$7:$T$17</c:f>
              <c:numCache>
                <c:formatCode>#,##0</c:formatCode>
                <c:ptCount val="11"/>
                <c:pt idx="0">
                  <c:v>0</c:v>
                </c:pt>
                <c:pt idx="1">
                  <c:v>26602765.365791671</c:v>
                </c:pt>
                <c:pt idx="2">
                  <c:v>28147923.558753334</c:v>
                </c:pt>
                <c:pt idx="3">
                  <c:v>26482057.63245694</c:v>
                </c:pt>
                <c:pt idx="4">
                  <c:v>27838693.017510004</c:v>
                </c:pt>
                <c:pt idx="5">
                  <c:v>29325678.17785833</c:v>
                </c:pt>
                <c:pt idx="6">
                  <c:v>27882481.542789999</c:v>
                </c:pt>
                <c:pt idx="7">
                  <c:v>31321119.155054998</c:v>
                </c:pt>
                <c:pt idx="8">
                  <c:v>29145208.260222308</c:v>
                </c:pt>
                <c:pt idx="9">
                  <c:v>31318819.590117775</c:v>
                </c:pt>
                <c:pt idx="10">
                  <c:v>28473322.955846667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3-4F0B-A28C-7B71ACA55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'S5 Robusta'!$Q$27</c:f>
          <c:strCache>
            <c:ptCount val="1"/>
            <c:pt idx="0">
              <c:v>Super 5 : Robusta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'S5 Robusta'!$M$81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'S5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Robusta'!$N$81:$Y$81</c:f>
              <c:numCache>
                <c:formatCode>#,##0</c:formatCode>
                <c:ptCount val="12"/>
                <c:pt idx="0">
                  <c:v>3457361.0276733339</c:v>
                </c:pt>
                <c:pt idx="1">
                  <c:v>7120571.0434416682</c:v>
                </c:pt>
                <c:pt idx="2">
                  <c:v>11771867.377025001</c:v>
                </c:pt>
                <c:pt idx="3">
                  <c:v>15762692.591801668</c:v>
                </c:pt>
                <c:pt idx="4">
                  <c:v>20416635.960625</c:v>
                </c:pt>
                <c:pt idx="5">
                  <c:v>25242274.178858332</c:v>
                </c:pt>
                <c:pt idx="6">
                  <c:v>29325678.17785833</c:v>
                </c:pt>
                <c:pt idx="7">
                  <c:v>32867139.181024998</c:v>
                </c:pt>
                <c:pt idx="8">
                  <c:v>36590426.107823335</c:v>
                </c:pt>
                <c:pt idx="9">
                  <c:v>40267050.481848337</c:v>
                </c:pt>
                <c:pt idx="10">
                  <c:v>43801654.200900003</c:v>
                </c:pt>
                <c:pt idx="11">
                  <c:v>47584685.932066672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EF-4781-855C-98F06520A735}"/>
            </c:ext>
          </c:extLst>
        </c:ser>
        <c:ser>
          <c:idx val="1"/>
          <c:order val="1"/>
          <c:tx>
            <c:strRef>
              <c:f>'S5 Robusta'!$M$82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'S5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Robusta'!$N$82:$Y$82</c:f>
              <c:numCache>
                <c:formatCode>#,##0</c:formatCode>
                <c:ptCount val="12"/>
                <c:pt idx="0">
                  <c:v>3421719.757666667</c:v>
                </c:pt>
                <c:pt idx="1">
                  <c:v>6622708.3565000007</c:v>
                </c:pt>
                <c:pt idx="2">
                  <c:v>11005425.903726667</c:v>
                </c:pt>
                <c:pt idx="3">
                  <c:v>15414091.285490001</c:v>
                </c:pt>
                <c:pt idx="4">
                  <c:v>19238143.063748334</c:v>
                </c:pt>
                <c:pt idx="5">
                  <c:v>24069181.445361666</c:v>
                </c:pt>
                <c:pt idx="6">
                  <c:v>27882481.542789999</c:v>
                </c:pt>
                <c:pt idx="7">
                  <c:v>31509156.940991666</c:v>
                </c:pt>
                <c:pt idx="8">
                  <c:v>35554157.272359997</c:v>
                </c:pt>
                <c:pt idx="9">
                  <c:v>39496135.264956661</c:v>
                </c:pt>
                <c:pt idx="10">
                  <c:v>43386328.87253166</c:v>
                </c:pt>
                <c:pt idx="11">
                  <c:v>47198156.72993499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EF-4781-855C-98F06520A735}"/>
            </c:ext>
          </c:extLst>
        </c:ser>
        <c:ser>
          <c:idx val="2"/>
          <c:order val="2"/>
          <c:tx>
            <c:strRef>
              <c:f>'S5 Robusta'!$M$83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'S5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Robusta'!$N$83:$Y$83</c:f>
              <c:numCache>
                <c:formatCode>#,##0</c:formatCode>
                <c:ptCount val="12"/>
                <c:pt idx="0">
                  <c:v>3708176.4163799998</c:v>
                </c:pt>
                <c:pt idx="1">
                  <c:v>7603058.8585583325</c:v>
                </c:pt>
                <c:pt idx="2">
                  <c:v>12532416.636011666</c:v>
                </c:pt>
                <c:pt idx="3">
                  <c:v>18201491.193393331</c:v>
                </c:pt>
                <c:pt idx="4">
                  <c:v>22130131.139676664</c:v>
                </c:pt>
                <c:pt idx="5">
                  <c:v>27271592.877916664</c:v>
                </c:pt>
                <c:pt idx="6">
                  <c:v>31321119.155054998</c:v>
                </c:pt>
                <c:pt idx="7">
                  <c:v>35274867.075574994</c:v>
                </c:pt>
                <c:pt idx="8">
                  <c:v>39191281.672029994</c:v>
                </c:pt>
                <c:pt idx="9">
                  <c:v>42854335.463446662</c:v>
                </c:pt>
                <c:pt idx="10">
                  <c:v>46748529.849673331</c:v>
                </c:pt>
                <c:pt idx="11">
                  <c:v>50244529.200886667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EF-4781-855C-98F06520A735}"/>
            </c:ext>
          </c:extLst>
        </c:ser>
        <c:ser>
          <c:idx val="3"/>
          <c:order val="3"/>
          <c:tx>
            <c:strRef>
              <c:f>'S5 Robusta'!$M$84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'S5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Robusta'!$N$84:$Y$84</c:f>
              <c:numCache>
                <c:formatCode>#,##0</c:formatCode>
                <c:ptCount val="12"/>
                <c:pt idx="0">
                  <c:v>3056268.9546166668</c:v>
                </c:pt>
                <c:pt idx="1">
                  <c:v>6987959.6708183344</c:v>
                </c:pt>
                <c:pt idx="2">
                  <c:v>11663836.891563334</c:v>
                </c:pt>
                <c:pt idx="3">
                  <c:v>15833683.141627263</c:v>
                </c:pt>
                <c:pt idx="4">
                  <c:v>20078532.080013417</c:v>
                </c:pt>
                <c:pt idx="5">
                  <c:v>25082083.595576197</c:v>
                </c:pt>
                <c:pt idx="6">
                  <c:v>29145208.260222308</c:v>
                </c:pt>
                <c:pt idx="7">
                  <c:v>33218740.555606835</c:v>
                </c:pt>
                <c:pt idx="8">
                  <c:v>37371929.69829461</c:v>
                </c:pt>
                <c:pt idx="9">
                  <c:v>41403338.737376355</c:v>
                </c:pt>
                <c:pt idx="10">
                  <c:v>45284145.831434131</c:v>
                </c:pt>
                <c:pt idx="11">
                  <c:v>48180374.839780241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EF-4781-855C-98F06520A735}"/>
            </c:ext>
          </c:extLst>
        </c:ser>
        <c:ser>
          <c:idx val="4"/>
          <c:order val="4"/>
          <c:tx>
            <c:strRef>
              <c:f>'S5 Robusta'!$M$85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'S5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Robusta'!$N$85:$Y$85</c:f>
              <c:numCache>
                <c:formatCode>#,##0</c:formatCode>
                <c:ptCount val="12"/>
                <c:pt idx="0">
                  <c:v>2698290.4687283332</c:v>
                </c:pt>
                <c:pt idx="1">
                  <c:v>6766043.6249633571</c:v>
                </c:pt>
                <c:pt idx="2">
                  <c:v>11727655.813066691</c:v>
                </c:pt>
                <c:pt idx="3">
                  <c:v>17164376.843513358</c:v>
                </c:pt>
                <c:pt idx="4">
                  <c:v>21675910.510019444</c:v>
                </c:pt>
                <c:pt idx="5">
                  <c:v>27014052.80604111</c:v>
                </c:pt>
                <c:pt idx="6">
                  <c:v>31318819.590117775</c:v>
                </c:pt>
                <c:pt idx="7">
                  <c:v>34992412.48195944</c:v>
                </c:pt>
                <c:pt idx="8">
                  <c:v>38547787.397921108</c:v>
                </c:pt>
                <c:pt idx="9">
                  <c:v>42647624.240946107</c:v>
                </c:pt>
                <c:pt idx="10">
                  <c:v>46737869.345484443</c:v>
                </c:pt>
                <c:pt idx="11">
                  <c:v>50042332.667836107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EF-4781-855C-98F06520A735}"/>
            </c:ext>
          </c:extLst>
        </c:ser>
        <c:ser>
          <c:idx val="5"/>
          <c:order val="5"/>
          <c:tx>
            <c:strRef>
              <c:f>'S5 Robusta'!$M$86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'S5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Robusta'!$N$86:$Y$86</c:f>
              <c:numCache>
                <c:formatCode>#,##0</c:formatCode>
                <c:ptCount val="12"/>
                <c:pt idx="0">
                  <c:v>3273026.8469266668</c:v>
                </c:pt>
                <c:pt idx="1">
                  <c:v>6231699.2420800002</c:v>
                </c:pt>
                <c:pt idx="2">
                  <c:v>10320882.152000001</c:v>
                </c:pt>
                <c:pt idx="3">
                  <c:v>14294711.958883334</c:v>
                </c:pt>
                <c:pt idx="4">
                  <c:v>18931775.496538334</c:v>
                </c:pt>
                <c:pt idx="5">
                  <c:v>23943787.946408331</c:v>
                </c:pt>
                <c:pt idx="6">
                  <c:v>28473322.955846667</c:v>
                </c:pt>
                <c:pt idx="7">
                  <c:v>33032374.699523333</c:v>
                </c:pt>
                <c:pt idx="8">
                  <c:v>37665391.799031667</c:v>
                </c:pt>
                <c:pt idx="9">
                  <c:v>42030670.517058335</c:v>
                </c:pt>
                <c:pt idx="10">
                  <c:v>46295293.794056669</c:v>
                </c:pt>
                <c:pt idx="11">
                  <c:v>50389719.726980001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EF-4781-855C-98F06520A735}"/>
            </c:ext>
          </c:extLst>
        </c:ser>
        <c:ser>
          <c:idx val="6"/>
          <c:order val="6"/>
          <c:tx>
            <c:strRef>
              <c:f>'S5 Robusta'!$M$87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'S5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Robusta'!$N$87:$Y$87</c:f>
              <c:numCache>
                <c:formatCode>#,##0</c:formatCode>
                <c:ptCount val="12"/>
                <c:pt idx="0">
                  <c:v>3526408.6207849998</c:v>
                </c:pt>
                <c:pt idx="1">
                  <c:v>7012240.1825999999</c:v>
                </c:pt>
                <c:pt idx="2">
                  <c:v>11781574.253731668</c:v>
                </c:pt>
                <c:pt idx="3">
                  <c:v>16991303.253731668</c:v>
                </c:pt>
                <c:pt idx="4">
                  <c:v>21167574.587065</c:v>
                </c:pt>
                <c:pt idx="5">
                  <c:v>26134182.587065</c:v>
                </c:pt>
                <c:pt idx="6">
                  <c:v>31338139.253731668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0-4226-966D-82A9E2B2831C}"/>
            </c:ext>
          </c:extLst>
        </c:ser>
        <c:ser>
          <c:idx val="7"/>
          <c:order val="7"/>
          <c:tx>
            <c:strRef>
              <c:f>'S5 Robusta'!$M$88</c:f>
              <c:strCache>
                <c:ptCount val="1"/>
                <c:pt idx="0">
                  <c:v>26/27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'S5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'S5 Robusta'!$N$88:$Y$88</c:f>
              <c:numCache>
                <c:formatCode>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0-4226-966D-82A9E2B28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Vietnam!$C$5</c:f>
          <c:strCache>
            <c:ptCount val="1"/>
            <c:pt idx="0">
              <c:v>Vietnam : Coffee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Vietnam!$B$14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Vietnam!$C$6:$N$6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Vietnam!$C$14:$N$14</c:f>
              <c:numCache>
                <c:formatCode>#,##0</c:formatCode>
                <c:ptCount val="12"/>
                <c:pt idx="0">
                  <c:v>1654150</c:v>
                </c:pt>
                <c:pt idx="1">
                  <c:v>1791216.6666666667</c:v>
                </c:pt>
                <c:pt idx="2">
                  <c:v>2822483.3333333335</c:v>
                </c:pt>
                <c:pt idx="3">
                  <c:v>3857783.3333333335</c:v>
                </c:pt>
                <c:pt idx="4">
                  <c:v>2330200</c:v>
                </c:pt>
                <c:pt idx="5">
                  <c:v>3510000</c:v>
                </c:pt>
                <c:pt idx="6">
                  <c:v>2620583.3333333335</c:v>
                </c:pt>
                <c:pt idx="7">
                  <c:v>2373666.666666667</c:v>
                </c:pt>
                <c:pt idx="8">
                  <c:v>2289133.3333333335</c:v>
                </c:pt>
                <c:pt idx="9">
                  <c:v>1897533.3333333335</c:v>
                </c:pt>
                <c:pt idx="10">
                  <c:v>1875516.6666666667</c:v>
                </c:pt>
                <c:pt idx="11">
                  <c:v>1542500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82-4A4F-9DF6-12D1E16CA090}"/>
            </c:ext>
          </c:extLst>
        </c:ser>
        <c:ser>
          <c:idx val="8"/>
          <c:order val="8"/>
          <c:tx>
            <c:strRef>
              <c:f>Vietnam!$B$15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Vietnam!$C$6:$N$6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Vietnam!$C$15:$N$15</c:f>
              <c:numCache>
                <c:formatCode>#,##0</c:formatCode>
                <c:ptCount val="12"/>
                <c:pt idx="0">
                  <c:v>1330550</c:v>
                </c:pt>
                <c:pt idx="1">
                  <c:v>2140050</c:v>
                </c:pt>
                <c:pt idx="2">
                  <c:v>3284616.7</c:v>
                </c:pt>
                <c:pt idx="3">
                  <c:v>2798175.3341989308</c:v>
                </c:pt>
                <c:pt idx="4">
                  <c:v>2889494.8064211528</c:v>
                </c:pt>
                <c:pt idx="5">
                  <c:v>3563541.6944444445</c:v>
                </c:pt>
                <c:pt idx="6">
                  <c:v>2790325.027777778</c:v>
                </c:pt>
                <c:pt idx="7">
                  <c:v>2533780.3320561945</c:v>
                </c:pt>
                <c:pt idx="8">
                  <c:v>2406991.6944444445</c:v>
                </c:pt>
                <c:pt idx="9">
                  <c:v>1995386.2104717472</c:v>
                </c:pt>
                <c:pt idx="10">
                  <c:v>1563541.6944444445</c:v>
                </c:pt>
                <c:pt idx="11">
                  <c:v>912991.6944444445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82-4A4F-9DF6-12D1E16CA090}"/>
            </c:ext>
          </c:extLst>
        </c:ser>
        <c:ser>
          <c:idx val="9"/>
          <c:order val="9"/>
          <c:tx>
            <c:strRef>
              <c:f>Vietnam!$B$16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Vietnam!$C$6:$N$6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Vietnam!$C$16:$N$16</c:f>
              <c:numCache>
                <c:formatCode>#,##0</c:formatCode>
                <c:ptCount val="12"/>
                <c:pt idx="0">
                  <c:v>728750</c:v>
                </c:pt>
                <c:pt idx="1">
                  <c:v>1988283.3333333335</c:v>
                </c:pt>
                <c:pt idx="2">
                  <c:v>3460216.666666667</c:v>
                </c:pt>
                <c:pt idx="3">
                  <c:v>3971100</c:v>
                </c:pt>
                <c:pt idx="4">
                  <c:v>2676400</c:v>
                </c:pt>
                <c:pt idx="5">
                  <c:v>3149533.3333333335</c:v>
                </c:pt>
                <c:pt idx="6">
                  <c:v>2534550</c:v>
                </c:pt>
                <c:pt idx="7">
                  <c:v>1322633.3333333335</c:v>
                </c:pt>
                <c:pt idx="8">
                  <c:v>1170033.3333333335</c:v>
                </c:pt>
                <c:pt idx="9">
                  <c:v>1283033.3333333335</c:v>
                </c:pt>
                <c:pt idx="10">
                  <c:v>1270233.3333333335</c:v>
                </c:pt>
                <c:pt idx="11">
                  <c:v>789966.66666666674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82-4A4F-9DF6-12D1E16CA090}"/>
            </c:ext>
          </c:extLst>
        </c:ser>
        <c:ser>
          <c:idx val="10"/>
          <c:order val="10"/>
          <c:tx>
            <c:strRef>
              <c:f>Vietnam!$B$17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6">
                    <a:lumMod val="20000"/>
                    <a:lumOff val="80000"/>
                  </a:schemeClr>
                </a:solidFill>
                <a:round/>
              </a:ln>
              <a:effectLst/>
            </c:spPr>
          </c:marker>
          <c:cat>
            <c:strRef>
              <c:f>Vietnam!$C$6:$N$6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Vietnam!$C$17:$N$17</c:f>
              <c:numCache>
                <c:formatCode>#,##0</c:formatCode>
                <c:ptCount val="12"/>
                <c:pt idx="0">
                  <c:v>733333</c:v>
                </c:pt>
                <c:pt idx="1">
                  <c:v>1050316.6666666667</c:v>
                </c:pt>
                <c:pt idx="2">
                  <c:v>2100000</c:v>
                </c:pt>
                <c:pt idx="3">
                  <c:v>2233416.666666667</c:v>
                </c:pt>
                <c:pt idx="4">
                  <c:v>2830533.3333333335</c:v>
                </c:pt>
                <c:pt idx="5">
                  <c:v>3018583.3333333335</c:v>
                </c:pt>
                <c:pt idx="6">
                  <c:v>2776766.666666667</c:v>
                </c:pt>
                <c:pt idx="7">
                  <c:v>2479366.666666667</c:v>
                </c:pt>
                <c:pt idx="8">
                  <c:v>1966383.3333333335</c:v>
                </c:pt>
                <c:pt idx="9">
                  <c:v>1699650</c:v>
                </c:pt>
                <c:pt idx="10">
                  <c:v>1401033</c:v>
                </c:pt>
                <c:pt idx="11">
                  <c:v>1351650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82-4A4F-9DF6-12D1E16CA090}"/>
            </c:ext>
          </c:extLst>
        </c:ser>
        <c:ser>
          <c:idx val="11"/>
          <c:order val="11"/>
          <c:tx>
            <c:strRef>
              <c:f>Vietnam!$B$18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Vietnam!$C$6:$N$6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Vietnam!$C$18:$N$18</c:f>
              <c:numCache>
                <c:formatCode>#,##0</c:formatCode>
                <c:ptCount val="12"/>
                <c:pt idx="0">
                  <c:v>1138600</c:v>
                </c:pt>
                <c:pt idx="1">
                  <c:v>1480200</c:v>
                </c:pt>
                <c:pt idx="2">
                  <c:v>3049450</c:v>
                </c:pt>
                <c:pt idx="3">
                  <c:v>3739133.3333333335</c:v>
                </c:pt>
                <c:pt idx="4">
                  <c:v>2372283.3333333335</c:v>
                </c:pt>
                <c:pt idx="5">
                  <c:v>3152000</c:v>
                </c:pt>
                <c:pt idx="6">
                  <c:v>3164900</c:v>
                </c:pt>
                <c:pt idx="7">
                  <c:v>2221400</c:v>
                </c:pt>
                <c:pt idx="8">
                  <c:v>1932766.6666666667</c:v>
                </c:pt>
                <c:pt idx="9">
                  <c:v>2464833.3333333335</c:v>
                </c:pt>
                <c:pt idx="10">
                  <c:v>2131716.666666667</c:v>
                </c:pt>
                <c:pt idx="11">
                  <c:v>1757366.6666666667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2-459C-949D-FE25900DE0AF}"/>
            </c:ext>
          </c:extLst>
        </c:ser>
        <c:ser>
          <c:idx val="12"/>
          <c:order val="12"/>
          <c:tx>
            <c:strRef>
              <c:f>Vietnam!$B$19</c:f>
              <c:strCache>
                <c:ptCount val="1"/>
                <c:pt idx="0">
                  <c:v>26/27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Vietnam!$C$6:$N$6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Vietnam!$C$19:$N$19</c:f>
              <c:numCache>
                <c:formatCode>#,##0</c:formatCode>
                <c:ptCount val="12"/>
                <c:pt idx="0">
                  <c:v>1717466.6666666667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1-46EA-ACA8-11FAF0276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Vietnam!$B$7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Vietnam!$C$6:$N$6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Vietnam!$C$7:$N$7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1595800</c:v>
                      </c:pt>
                      <c:pt idx="1">
                        <c:v>1396616.6666666667</c:v>
                      </c:pt>
                      <c:pt idx="2">
                        <c:v>1922283.3333333335</c:v>
                      </c:pt>
                      <c:pt idx="3">
                        <c:v>2435866.666666667</c:v>
                      </c:pt>
                      <c:pt idx="4">
                        <c:v>1623181.1697574896</c:v>
                      </c:pt>
                      <c:pt idx="5">
                        <c:v>2275700</c:v>
                      </c:pt>
                      <c:pt idx="6">
                        <c:v>1777966.6666666667</c:v>
                      </c:pt>
                      <c:pt idx="7">
                        <c:v>1805516.6666666667</c:v>
                      </c:pt>
                      <c:pt idx="8">
                        <c:v>1827816.6666666667</c:v>
                      </c:pt>
                      <c:pt idx="9">
                        <c:v>1857350</c:v>
                      </c:pt>
                      <c:pt idx="10">
                        <c:v>1583600</c:v>
                      </c:pt>
                      <c:pt idx="11">
                        <c:v>1452359.7359735975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582-4A4F-9DF6-12D1E16CA09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Vietnam!$B$8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Vietnam!$C$6:$N$6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Vietnam!$C$8:$N$8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1466883.3333333335</c:v>
                      </c:pt>
                      <c:pt idx="1">
                        <c:v>1717683.3333333335</c:v>
                      </c:pt>
                      <c:pt idx="2">
                        <c:v>2529550</c:v>
                      </c:pt>
                      <c:pt idx="3">
                        <c:v>2944016.666666667</c:v>
                      </c:pt>
                      <c:pt idx="4">
                        <c:v>1961516.6666666667</c:v>
                      </c:pt>
                      <c:pt idx="5">
                        <c:v>2999100</c:v>
                      </c:pt>
                      <c:pt idx="6">
                        <c:v>3133116.666666667</c:v>
                      </c:pt>
                      <c:pt idx="7">
                        <c:v>2683366.666666667</c:v>
                      </c:pt>
                      <c:pt idx="8">
                        <c:v>2634166.666666667</c:v>
                      </c:pt>
                      <c:pt idx="9">
                        <c:v>2321850</c:v>
                      </c:pt>
                      <c:pt idx="10">
                        <c:v>2526250</c:v>
                      </c:pt>
                      <c:pt idx="11">
                        <c:v>2147316.666666667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582-4A4F-9DF6-12D1E16CA09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Vietnam!$B$9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Vietnam!$C$6:$N$6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Vietnam!$C$9:$N$9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1950616.6666666667</c:v>
                      </c:pt>
                      <c:pt idx="1">
                        <c:v>1909633.3333333335</c:v>
                      </c:pt>
                      <c:pt idx="2">
                        <c:v>2461166.666666667</c:v>
                      </c:pt>
                      <c:pt idx="3">
                        <c:v>3081950</c:v>
                      </c:pt>
                      <c:pt idx="4">
                        <c:v>2798000</c:v>
                      </c:pt>
                      <c:pt idx="5">
                        <c:v>3100166.666666667</c:v>
                      </c:pt>
                      <c:pt idx="6">
                        <c:v>2393333.3333333335</c:v>
                      </c:pt>
                      <c:pt idx="7">
                        <c:v>2128150</c:v>
                      </c:pt>
                      <c:pt idx="8">
                        <c:v>2027766.6666666667</c:v>
                      </c:pt>
                      <c:pt idx="9">
                        <c:v>1680183.3333333335</c:v>
                      </c:pt>
                      <c:pt idx="10">
                        <c:v>1583034.6475507766</c:v>
                      </c:pt>
                      <c:pt idx="11">
                        <c:v>1325000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582-4A4F-9DF6-12D1E16CA09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Vietnam!$B$10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Vietnam!$C$6:$N$6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Vietnam!$C$10:$N$10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1321033.3333333335</c:v>
                      </c:pt>
                      <c:pt idx="1">
                        <c:v>1745867.9446219383</c:v>
                      </c:pt>
                      <c:pt idx="2">
                        <c:v>2732283.3333333335</c:v>
                      </c:pt>
                      <c:pt idx="3">
                        <c:v>3606450</c:v>
                      </c:pt>
                      <c:pt idx="4">
                        <c:v>2274600</c:v>
                      </c:pt>
                      <c:pt idx="5">
                        <c:v>3508750</c:v>
                      </c:pt>
                      <c:pt idx="6">
                        <c:v>2726150</c:v>
                      </c:pt>
                      <c:pt idx="7">
                        <c:v>2588700</c:v>
                      </c:pt>
                      <c:pt idx="8">
                        <c:v>2597683.3333333335</c:v>
                      </c:pt>
                      <c:pt idx="9">
                        <c:v>2243533.3333333335</c:v>
                      </c:pt>
                      <c:pt idx="10">
                        <c:v>2551583.3333333335</c:v>
                      </c:pt>
                      <c:pt idx="11">
                        <c:v>2010700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582-4A4F-9DF6-12D1E16CA09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Vietnam!$B$11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Vietnam!$C$6:$N$6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Vietnam!$C$11:$N$11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2295166.666666667</c:v>
                      </c:pt>
                      <c:pt idx="1">
                        <c:v>2321833.3333333335</c:v>
                      </c:pt>
                      <c:pt idx="2">
                        <c:v>2557650</c:v>
                      </c:pt>
                      <c:pt idx="3">
                        <c:v>3360700</c:v>
                      </c:pt>
                      <c:pt idx="4">
                        <c:v>1906966.6666666667</c:v>
                      </c:pt>
                      <c:pt idx="5">
                        <c:v>2863783.3333333335</c:v>
                      </c:pt>
                      <c:pt idx="6">
                        <c:v>2394016.666666667</c:v>
                      </c:pt>
                      <c:pt idx="7">
                        <c:v>2418216.666666667</c:v>
                      </c:pt>
                      <c:pt idx="8">
                        <c:v>2404583.3333333335</c:v>
                      </c:pt>
                      <c:pt idx="9">
                        <c:v>2354700</c:v>
                      </c:pt>
                      <c:pt idx="10">
                        <c:v>1902000</c:v>
                      </c:pt>
                      <c:pt idx="11">
                        <c:v>1538416.6666666667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582-4A4F-9DF6-12D1E16CA09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Vietnam!$B$12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Vietnam!$C$6:$N$6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Vietnam!$C$12:$N$12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1485116.6666666667</c:v>
                      </c:pt>
                      <c:pt idx="1">
                        <c:v>1867916.6666666667</c:v>
                      </c:pt>
                      <c:pt idx="2">
                        <c:v>3129716.666666667</c:v>
                      </c:pt>
                      <c:pt idx="3">
                        <c:v>2424483.3333333335</c:v>
                      </c:pt>
                      <c:pt idx="4">
                        <c:v>3108966.666666667</c:v>
                      </c:pt>
                      <c:pt idx="5">
                        <c:v>3061633.3333333335</c:v>
                      </c:pt>
                      <c:pt idx="6">
                        <c:v>2784300</c:v>
                      </c:pt>
                      <c:pt idx="7">
                        <c:v>2168933.3333333335</c:v>
                      </c:pt>
                      <c:pt idx="8">
                        <c:v>2127900</c:v>
                      </c:pt>
                      <c:pt idx="9">
                        <c:v>1833750</c:v>
                      </c:pt>
                      <c:pt idx="10">
                        <c:v>1669200</c:v>
                      </c:pt>
                      <c:pt idx="11">
                        <c:v>1662166.6666666667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582-4A4F-9DF6-12D1E16CA09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Vietnam!$B$13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Vietnam!$C$6:$N$6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Vietnam!$C$13:$N$13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1533600</c:v>
                      </c:pt>
                      <c:pt idx="1">
                        <c:v>1395633.3333333335</c:v>
                      </c:pt>
                      <c:pt idx="2">
                        <c:v>2317433.3333333335</c:v>
                      </c:pt>
                      <c:pt idx="3">
                        <c:v>2676516.666666667</c:v>
                      </c:pt>
                      <c:pt idx="4">
                        <c:v>2050750</c:v>
                      </c:pt>
                      <c:pt idx="5">
                        <c:v>2826833.3333333335</c:v>
                      </c:pt>
                      <c:pt idx="6">
                        <c:v>2200616.666666667</c:v>
                      </c:pt>
                      <c:pt idx="7">
                        <c:v>2170783.3333333335</c:v>
                      </c:pt>
                      <c:pt idx="8">
                        <c:v>2133316.666666667</c:v>
                      </c:pt>
                      <c:pt idx="9">
                        <c:v>2035450</c:v>
                      </c:pt>
                      <c:pt idx="10">
                        <c:v>1861616.6666666667</c:v>
                      </c:pt>
                      <c:pt idx="11">
                        <c:v>1672333.3333333335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582-4A4F-9DF6-12D1E16CA090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79820178413129539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Vietnam!$A$66</c:f>
              <c:strCache>
                <c:ptCount val="1"/>
                <c:pt idx="0">
                  <c:v>26/27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Vietnam!$B$65:$M$65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Vietnam!$B$66:$M$66</c:f>
              <c:numCache>
                <c:formatCode>#,##0</c:formatCode>
                <c:ptCount val="12"/>
                <c:pt idx="0">
                  <c:v>1717466.6666666667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A-400D-B6AA-8C7474368E95}"/>
            </c:ext>
          </c:extLst>
        </c:ser>
        <c:ser>
          <c:idx val="1"/>
          <c:order val="1"/>
          <c:tx>
            <c:strRef>
              <c:f>Vietnam!$A$67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Vietnam!$B$65:$M$65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Vietnam!$B$67:$M$67</c:f>
              <c:numCache>
                <c:formatCode>#,##0</c:formatCode>
                <c:ptCount val="12"/>
                <c:pt idx="0">
                  <c:v>728750</c:v>
                </c:pt>
                <c:pt idx="1">
                  <c:v>1050316.6666666667</c:v>
                </c:pt>
                <c:pt idx="2">
                  <c:v>1922283.3333333335</c:v>
                </c:pt>
                <c:pt idx="3">
                  <c:v>2233416.666666667</c:v>
                </c:pt>
                <c:pt idx="4">
                  <c:v>1623181.1697574896</c:v>
                </c:pt>
                <c:pt idx="5">
                  <c:v>2275700</c:v>
                </c:pt>
                <c:pt idx="6">
                  <c:v>1777966.6666666667</c:v>
                </c:pt>
                <c:pt idx="7">
                  <c:v>1322633.3333333335</c:v>
                </c:pt>
                <c:pt idx="8">
                  <c:v>1170033.3333333335</c:v>
                </c:pt>
                <c:pt idx="9">
                  <c:v>1283033.3333333335</c:v>
                </c:pt>
                <c:pt idx="10">
                  <c:v>1270233.3333333335</c:v>
                </c:pt>
                <c:pt idx="11">
                  <c:v>789966.66666666674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1A-400D-B6AA-8C7474368E95}"/>
            </c:ext>
          </c:extLst>
        </c:ser>
        <c:ser>
          <c:idx val="2"/>
          <c:order val="2"/>
          <c:tx>
            <c:strRef>
              <c:f>Vietnam!$A$68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Vietnam!$B$65:$M$65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Vietnam!$B$68:$M$68</c:f>
              <c:numCache>
                <c:formatCode>#,##0</c:formatCode>
                <c:ptCount val="12"/>
                <c:pt idx="0">
                  <c:v>2295166.666666667</c:v>
                </c:pt>
                <c:pt idx="1">
                  <c:v>2321833.3333333335</c:v>
                </c:pt>
                <c:pt idx="2">
                  <c:v>3460216.666666667</c:v>
                </c:pt>
                <c:pt idx="3">
                  <c:v>3971100</c:v>
                </c:pt>
                <c:pt idx="4">
                  <c:v>3108966.666666667</c:v>
                </c:pt>
                <c:pt idx="5">
                  <c:v>3563541.6944444445</c:v>
                </c:pt>
                <c:pt idx="6">
                  <c:v>3164900</c:v>
                </c:pt>
                <c:pt idx="7">
                  <c:v>2683366.666666667</c:v>
                </c:pt>
                <c:pt idx="8">
                  <c:v>2634166.666666667</c:v>
                </c:pt>
                <c:pt idx="9">
                  <c:v>2464833.3333333335</c:v>
                </c:pt>
                <c:pt idx="10">
                  <c:v>2551583.3333333335</c:v>
                </c:pt>
                <c:pt idx="11">
                  <c:v>2147316.666666667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1A-400D-B6AA-8C7474368E95}"/>
            </c:ext>
          </c:extLst>
        </c:ser>
        <c:ser>
          <c:idx val="3"/>
          <c:order val="3"/>
          <c:tx>
            <c:strRef>
              <c:f>Vietnam!$A$69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accent1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40000"/>
                    <a:lumOff val="60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Vietnam!$B$65:$M$65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Vietnam!$B$69:$M$69</c:f>
              <c:numCache>
                <c:formatCode>#,##0</c:formatCode>
                <c:ptCount val="12"/>
                <c:pt idx="0">
                  <c:v>1117076.6000000001</c:v>
                </c:pt>
                <c:pt idx="1">
                  <c:v>1690013.3333333335</c:v>
                </c:pt>
                <c:pt idx="2">
                  <c:v>2943353.34</c:v>
                </c:pt>
                <c:pt idx="3">
                  <c:v>3319921.7335064532</c:v>
                </c:pt>
                <c:pt idx="4">
                  <c:v>2619782.2946175644</c:v>
                </c:pt>
                <c:pt idx="5">
                  <c:v>3278731.6722222222</c:v>
                </c:pt>
                <c:pt idx="6">
                  <c:v>2777425.0055555562</c:v>
                </c:pt>
                <c:pt idx="7">
                  <c:v>2186169.3997445726</c:v>
                </c:pt>
                <c:pt idx="8">
                  <c:v>1953061.6722222224</c:v>
                </c:pt>
                <c:pt idx="9">
                  <c:v>1868087.2420943496</c:v>
                </c:pt>
                <c:pt idx="10">
                  <c:v>1648408.2722222223</c:v>
                </c:pt>
                <c:pt idx="11">
                  <c:v>1270895.0055555557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1A-400D-B6AA-8C7474368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Vietnam!$B$22</c15:sqref>
                        </c15:formulaRef>
                      </c:ext>
                    </c:extLst>
                    <c:strCache>
                      <c:ptCount val="1"/>
                      <c:pt idx="0">
                        <c:v>25/26 Fcst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40000"/>
                        <a:lumOff val="60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star"/>
                  <c:size val="6"/>
                  <c:spPr>
                    <a:solidFill>
                      <a:schemeClr val="bg2">
                        <a:lumMod val="10000"/>
                      </a:schemeClr>
                    </a:solidFill>
                    <a:ln w="9525"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  <a:prstDash val="sysDash"/>
                      <a:round/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Vietnam!$C$22:$N$22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1138600</c:v>
                      </c:pt>
                      <c:pt idx="1">
                        <c:v>1480200</c:v>
                      </c:pt>
                      <c:pt idx="2">
                        <c:v>3049450</c:v>
                      </c:pt>
                      <c:pt idx="3">
                        <c:v>3739133.3333333335</c:v>
                      </c:pt>
                      <c:pt idx="4">
                        <c:v>2372283.3333333335</c:v>
                      </c:pt>
                      <c:pt idx="5">
                        <c:v>3152000</c:v>
                      </c:pt>
                      <c:pt idx="6">
                        <c:v>3164900</c:v>
                      </c:pt>
                      <c:pt idx="7">
                        <c:v>2221400</c:v>
                      </c:pt>
                      <c:pt idx="8">
                        <c:v>1932766.6666666667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4FE-42DB-B059-3582E52AA1D9}"/>
                  </c:ext>
                </c:extLst>
              </c15:ser>
            </c15:filteredLineSeries>
          </c:ext>
        </c:extLst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Vietnam!$I$84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Vietnam!$H$85:$H$228</c:f>
              <c:strCache>
                <c:ptCount val="144"/>
                <c:pt idx="0">
                  <c:v>Sep'14/15</c:v>
                </c:pt>
                <c:pt idx="1">
                  <c:v>Oct'15/16</c:v>
                </c:pt>
                <c:pt idx="2">
                  <c:v>Nov'15/16</c:v>
                </c:pt>
                <c:pt idx="3">
                  <c:v>Dec'15/16</c:v>
                </c:pt>
                <c:pt idx="4">
                  <c:v>Jan'15/16</c:v>
                </c:pt>
                <c:pt idx="5">
                  <c:v>Feb'15/16</c:v>
                </c:pt>
                <c:pt idx="6">
                  <c:v>Mar'15/16</c:v>
                </c:pt>
                <c:pt idx="7">
                  <c:v>Apr'15/16</c:v>
                </c:pt>
                <c:pt idx="8">
                  <c:v>May'15/16</c:v>
                </c:pt>
                <c:pt idx="9">
                  <c:v>Jun'15/16</c:v>
                </c:pt>
                <c:pt idx="10">
                  <c:v>Jul'15/16</c:v>
                </c:pt>
                <c:pt idx="11">
                  <c:v>Aug'15/16</c:v>
                </c:pt>
                <c:pt idx="12">
                  <c:v>Sep'15/16</c:v>
                </c:pt>
                <c:pt idx="13">
                  <c:v>Oct'16/17</c:v>
                </c:pt>
                <c:pt idx="14">
                  <c:v>Nov'16/17</c:v>
                </c:pt>
                <c:pt idx="15">
                  <c:v>Dec'16/17</c:v>
                </c:pt>
                <c:pt idx="16">
                  <c:v>Jan'16/17</c:v>
                </c:pt>
                <c:pt idx="17">
                  <c:v>Feb'16/17</c:v>
                </c:pt>
                <c:pt idx="18">
                  <c:v>Mar'16/17</c:v>
                </c:pt>
                <c:pt idx="19">
                  <c:v>Apr'16/17</c:v>
                </c:pt>
                <c:pt idx="20">
                  <c:v>May'16/17</c:v>
                </c:pt>
                <c:pt idx="21">
                  <c:v>Jun'16/17</c:v>
                </c:pt>
                <c:pt idx="22">
                  <c:v>Jul'16/17</c:v>
                </c:pt>
                <c:pt idx="23">
                  <c:v>Aug'16/17</c:v>
                </c:pt>
                <c:pt idx="24">
                  <c:v>Sep'16/17</c:v>
                </c:pt>
                <c:pt idx="25">
                  <c:v>Oct'17/18</c:v>
                </c:pt>
                <c:pt idx="26">
                  <c:v>Nov'17/18</c:v>
                </c:pt>
                <c:pt idx="27">
                  <c:v>Dec'17/18</c:v>
                </c:pt>
                <c:pt idx="28">
                  <c:v>Jan'17/18</c:v>
                </c:pt>
                <c:pt idx="29">
                  <c:v>Feb'17/18</c:v>
                </c:pt>
                <c:pt idx="30">
                  <c:v>Mar'17/18</c:v>
                </c:pt>
                <c:pt idx="31">
                  <c:v>Apr'17/18</c:v>
                </c:pt>
                <c:pt idx="32">
                  <c:v>May'17/18</c:v>
                </c:pt>
                <c:pt idx="33">
                  <c:v>Jun'17/18</c:v>
                </c:pt>
                <c:pt idx="34">
                  <c:v>Jul'17/18</c:v>
                </c:pt>
                <c:pt idx="35">
                  <c:v>Aug'17/18</c:v>
                </c:pt>
                <c:pt idx="36">
                  <c:v>Sep'17/18</c:v>
                </c:pt>
                <c:pt idx="37">
                  <c:v>Oct'18/19</c:v>
                </c:pt>
                <c:pt idx="38">
                  <c:v>Nov'18/19</c:v>
                </c:pt>
                <c:pt idx="39">
                  <c:v>Dec'18/19</c:v>
                </c:pt>
                <c:pt idx="40">
                  <c:v>Jan'18/19</c:v>
                </c:pt>
                <c:pt idx="41">
                  <c:v>Feb'18/19</c:v>
                </c:pt>
                <c:pt idx="42">
                  <c:v>Mar'18/19</c:v>
                </c:pt>
                <c:pt idx="43">
                  <c:v>Apr'18/19</c:v>
                </c:pt>
                <c:pt idx="44">
                  <c:v>May'18/19</c:v>
                </c:pt>
                <c:pt idx="45">
                  <c:v>Jun'18/19</c:v>
                </c:pt>
                <c:pt idx="46">
                  <c:v>Jul'18/19</c:v>
                </c:pt>
                <c:pt idx="47">
                  <c:v>Aug'18/19</c:v>
                </c:pt>
                <c:pt idx="48">
                  <c:v>Sep'18/19</c:v>
                </c:pt>
                <c:pt idx="49">
                  <c:v>Oct'19/20</c:v>
                </c:pt>
                <c:pt idx="50">
                  <c:v>Nov'19/20</c:v>
                </c:pt>
                <c:pt idx="51">
                  <c:v>Dec'19/20</c:v>
                </c:pt>
                <c:pt idx="52">
                  <c:v>Jan'19/20</c:v>
                </c:pt>
                <c:pt idx="53">
                  <c:v>Feb'19/20</c:v>
                </c:pt>
                <c:pt idx="54">
                  <c:v>Mar'19/20</c:v>
                </c:pt>
                <c:pt idx="55">
                  <c:v>Apr'19/20</c:v>
                </c:pt>
                <c:pt idx="56">
                  <c:v>May'19/20</c:v>
                </c:pt>
                <c:pt idx="57">
                  <c:v>Jun'19/20</c:v>
                </c:pt>
                <c:pt idx="58">
                  <c:v>Jul'19/20</c:v>
                </c:pt>
                <c:pt idx="59">
                  <c:v>Aug'19/20</c:v>
                </c:pt>
                <c:pt idx="60">
                  <c:v>Sep'19/20</c:v>
                </c:pt>
                <c:pt idx="61">
                  <c:v>Oct'20/21</c:v>
                </c:pt>
                <c:pt idx="62">
                  <c:v>Nov'20/21</c:v>
                </c:pt>
                <c:pt idx="63">
                  <c:v>Dec'20/21</c:v>
                </c:pt>
                <c:pt idx="64">
                  <c:v>Jan'20/21</c:v>
                </c:pt>
                <c:pt idx="65">
                  <c:v>Feb'20/21</c:v>
                </c:pt>
                <c:pt idx="66">
                  <c:v>Mar'20/21</c:v>
                </c:pt>
                <c:pt idx="67">
                  <c:v>Apr'20/21</c:v>
                </c:pt>
                <c:pt idx="68">
                  <c:v>May'20/21</c:v>
                </c:pt>
                <c:pt idx="69">
                  <c:v>Jun'20/21</c:v>
                </c:pt>
                <c:pt idx="70">
                  <c:v>Jul'20/21</c:v>
                </c:pt>
                <c:pt idx="71">
                  <c:v>Aug'20/21</c:v>
                </c:pt>
                <c:pt idx="72">
                  <c:v>Sep'20/21</c:v>
                </c:pt>
                <c:pt idx="73">
                  <c:v>Oct'21/22</c:v>
                </c:pt>
                <c:pt idx="74">
                  <c:v>Nov'21/22</c:v>
                </c:pt>
                <c:pt idx="75">
                  <c:v>Dec'21/22</c:v>
                </c:pt>
                <c:pt idx="76">
                  <c:v>Jan'21/22</c:v>
                </c:pt>
                <c:pt idx="77">
                  <c:v>Feb'21/22</c:v>
                </c:pt>
                <c:pt idx="78">
                  <c:v>Mar'21/22</c:v>
                </c:pt>
                <c:pt idx="79">
                  <c:v>Apr'21/22</c:v>
                </c:pt>
                <c:pt idx="80">
                  <c:v>May'21/22</c:v>
                </c:pt>
                <c:pt idx="81">
                  <c:v>Jun'21/22</c:v>
                </c:pt>
                <c:pt idx="82">
                  <c:v>Jul'21/22</c:v>
                </c:pt>
                <c:pt idx="83">
                  <c:v>Aug'21/22</c:v>
                </c:pt>
                <c:pt idx="84">
                  <c:v>Sep'21/22</c:v>
                </c:pt>
                <c:pt idx="85">
                  <c:v>Oct'22/23</c:v>
                </c:pt>
                <c:pt idx="86">
                  <c:v>Nov'22/23</c:v>
                </c:pt>
                <c:pt idx="87">
                  <c:v>Dec'22/23</c:v>
                </c:pt>
                <c:pt idx="88">
                  <c:v>Jan'22/23</c:v>
                </c:pt>
                <c:pt idx="89">
                  <c:v>Feb'22/23</c:v>
                </c:pt>
                <c:pt idx="90">
                  <c:v>Mar'22/23</c:v>
                </c:pt>
                <c:pt idx="91">
                  <c:v>Apr'22/23</c:v>
                </c:pt>
                <c:pt idx="92">
                  <c:v>May'22/23</c:v>
                </c:pt>
                <c:pt idx="93">
                  <c:v>Jun'22/23</c:v>
                </c:pt>
                <c:pt idx="94">
                  <c:v>Jul'22/23</c:v>
                </c:pt>
                <c:pt idx="95">
                  <c:v>Aug'22/23</c:v>
                </c:pt>
                <c:pt idx="96">
                  <c:v>Sep'22/23</c:v>
                </c:pt>
                <c:pt idx="97">
                  <c:v>Oct'23/24</c:v>
                </c:pt>
                <c:pt idx="98">
                  <c:v>Nov'23/24</c:v>
                </c:pt>
                <c:pt idx="99">
                  <c:v>Dec'23/24</c:v>
                </c:pt>
                <c:pt idx="100">
                  <c:v>Jan'23/24</c:v>
                </c:pt>
                <c:pt idx="101">
                  <c:v>Feb'23/24</c:v>
                </c:pt>
                <c:pt idx="102">
                  <c:v>Mar'23/24</c:v>
                </c:pt>
                <c:pt idx="103">
                  <c:v>Apr'23/24</c:v>
                </c:pt>
                <c:pt idx="104">
                  <c:v>May'23/24</c:v>
                </c:pt>
                <c:pt idx="105">
                  <c:v>Jun'23/24</c:v>
                </c:pt>
                <c:pt idx="106">
                  <c:v>Jul'23/24</c:v>
                </c:pt>
                <c:pt idx="107">
                  <c:v>Aug'23/24</c:v>
                </c:pt>
                <c:pt idx="108">
                  <c:v>Sep'23/24</c:v>
                </c:pt>
                <c:pt idx="109">
                  <c:v>Oct'24/25</c:v>
                </c:pt>
                <c:pt idx="110">
                  <c:v>Nov'24/25</c:v>
                </c:pt>
                <c:pt idx="111">
                  <c:v>Dec'24/25</c:v>
                </c:pt>
                <c:pt idx="112">
                  <c:v>Jan'24/25</c:v>
                </c:pt>
                <c:pt idx="113">
                  <c:v>Feb'24/25</c:v>
                </c:pt>
                <c:pt idx="114">
                  <c:v>Mar'24/25</c:v>
                </c:pt>
                <c:pt idx="115">
                  <c:v>Apr'24/25</c:v>
                </c:pt>
                <c:pt idx="116">
                  <c:v>May'24/25</c:v>
                </c:pt>
                <c:pt idx="117">
                  <c:v>Jun'24/25</c:v>
                </c:pt>
                <c:pt idx="118">
                  <c:v>Jul'24/25</c:v>
                </c:pt>
                <c:pt idx="119">
                  <c:v>Aug'24/25</c:v>
                </c:pt>
                <c:pt idx="120">
                  <c:v>Sep'24/25</c:v>
                </c:pt>
                <c:pt idx="121">
                  <c:v>Oct'25/26</c:v>
                </c:pt>
                <c:pt idx="122">
                  <c:v>Nov'25/26</c:v>
                </c:pt>
                <c:pt idx="123">
                  <c:v>Dec'25/26</c:v>
                </c:pt>
                <c:pt idx="124">
                  <c:v>Jan'25/26</c:v>
                </c:pt>
                <c:pt idx="125">
                  <c:v>Feb'25/26</c:v>
                </c:pt>
                <c:pt idx="126">
                  <c:v>Mar'25/26</c:v>
                </c:pt>
                <c:pt idx="127">
                  <c:v>Apr'25/26</c:v>
                </c:pt>
                <c:pt idx="128">
                  <c:v>May'25/26</c:v>
                </c:pt>
                <c:pt idx="129">
                  <c:v>Jun'25/26</c:v>
                </c:pt>
                <c:pt idx="130">
                  <c:v>Jul'25/26</c:v>
                </c:pt>
                <c:pt idx="131">
                  <c:v>Aug'25/26</c:v>
                </c:pt>
                <c:pt idx="132">
                  <c:v>Sep'25/26</c:v>
                </c:pt>
                <c:pt idx="133">
                  <c:v>Oct'26/27</c:v>
                </c:pt>
                <c:pt idx="134">
                  <c:v>Nov'26/27</c:v>
                </c:pt>
                <c:pt idx="135">
                  <c:v>Dec'26/27</c:v>
                </c:pt>
                <c:pt idx="136">
                  <c:v>Jan'26/27</c:v>
                </c:pt>
                <c:pt idx="137">
                  <c:v>Feb'26/27</c:v>
                </c:pt>
                <c:pt idx="138">
                  <c:v>Mar'26/27</c:v>
                </c:pt>
                <c:pt idx="139">
                  <c:v>Apr'26/27</c:v>
                </c:pt>
                <c:pt idx="140">
                  <c:v>May'26/27</c:v>
                </c:pt>
                <c:pt idx="141">
                  <c:v>Jun'26/27</c:v>
                </c:pt>
                <c:pt idx="142">
                  <c:v>Jul'26/27</c:v>
                </c:pt>
                <c:pt idx="143">
                  <c:v>Aug'26/27</c:v>
                </c:pt>
              </c:strCache>
            </c:strRef>
          </c:cat>
          <c:val>
            <c:numRef>
              <c:f>Vietnam!$I$85:$I$228</c:f>
              <c:numCache>
                <c:formatCode>General</c:formatCode>
                <c:ptCount val="144"/>
                <c:pt idx="0">
                  <c:v>21.554057572397753</c:v>
                </c:pt>
                <c:pt idx="1">
                  <c:v>21.425140905731087</c:v>
                </c:pt>
                <c:pt idx="2">
                  <c:v>21.746207572397747</c:v>
                </c:pt>
                <c:pt idx="3">
                  <c:v>22.353474239064418</c:v>
                </c:pt>
                <c:pt idx="4">
                  <c:v>22.861624239064422</c:v>
                </c:pt>
                <c:pt idx="5">
                  <c:v>23.1999597359736</c:v>
                </c:pt>
                <c:pt idx="6">
                  <c:v>23.923359735973602</c:v>
                </c:pt>
                <c:pt idx="7">
                  <c:v>25.278509735973604</c:v>
                </c:pt>
                <c:pt idx="8">
                  <c:v>26.156359735973606</c:v>
                </c:pt>
                <c:pt idx="9">
                  <c:v>26.962709735973601</c:v>
                </c:pt>
                <c:pt idx="10">
                  <c:v>27.427209735973602</c:v>
                </c:pt>
                <c:pt idx="11">
                  <c:v>28.369859735973602</c:v>
                </c:pt>
                <c:pt idx="12">
                  <c:v>29.064816666666673</c:v>
                </c:pt>
                <c:pt idx="13">
                  <c:v>29.548550000000006</c:v>
                </c:pt>
                <c:pt idx="14">
                  <c:v>29.740500000000004</c:v>
                </c:pt>
                <c:pt idx="15">
                  <c:v>29.672116666666671</c:v>
                </c:pt>
                <c:pt idx="16">
                  <c:v>29.810050000000004</c:v>
                </c:pt>
                <c:pt idx="17">
                  <c:v>30.646533333333334</c:v>
                </c:pt>
                <c:pt idx="18">
                  <c:v>30.747600000000002</c:v>
                </c:pt>
                <c:pt idx="19">
                  <c:v>30.007816666666667</c:v>
                </c:pt>
                <c:pt idx="20">
                  <c:v>29.4526</c:v>
                </c:pt>
                <c:pt idx="21">
                  <c:v>28.846200000000003</c:v>
                </c:pt>
                <c:pt idx="22">
                  <c:v>28.204533333333337</c:v>
                </c:pt>
                <c:pt idx="23">
                  <c:v>27.261317980884112</c:v>
                </c:pt>
                <c:pt idx="24">
                  <c:v>26.439001314217446</c:v>
                </c:pt>
                <c:pt idx="25">
                  <c:v>25.80941798088411</c:v>
                </c:pt>
                <c:pt idx="26">
                  <c:v>25.645652592172716</c:v>
                </c:pt>
                <c:pt idx="27">
                  <c:v>25.916769258839381</c:v>
                </c:pt>
                <c:pt idx="28">
                  <c:v>26.44126925883938</c:v>
                </c:pt>
                <c:pt idx="29">
                  <c:v>25.917869258839382</c:v>
                </c:pt>
                <c:pt idx="30">
                  <c:v>26.326452592172714</c:v>
                </c:pt>
                <c:pt idx="31">
                  <c:v>26.659269258839384</c:v>
                </c:pt>
                <c:pt idx="32">
                  <c:v>27.119819258839385</c:v>
                </c:pt>
                <c:pt idx="33">
                  <c:v>27.689735925506049</c:v>
                </c:pt>
                <c:pt idx="34">
                  <c:v>28.253085925506049</c:v>
                </c:pt>
                <c:pt idx="35">
                  <c:v>29.221634611288604</c:v>
                </c:pt>
                <c:pt idx="36">
                  <c:v>29.907334611288604</c:v>
                </c:pt>
                <c:pt idx="37">
                  <c:v>30.881467944621935</c:v>
                </c:pt>
                <c:pt idx="38">
                  <c:v>31.457433333333331</c:v>
                </c:pt>
                <c:pt idx="39">
                  <c:v>31.282799999999995</c:v>
                </c:pt>
                <c:pt idx="40">
                  <c:v>31.037050000000001</c:v>
                </c:pt>
                <c:pt idx="41">
                  <c:v>30.669416666666667</c:v>
                </c:pt>
                <c:pt idx="42">
                  <c:v>30.024450000000002</c:v>
                </c:pt>
                <c:pt idx="43">
                  <c:v>29.692316666666667</c:v>
                </c:pt>
                <c:pt idx="44">
                  <c:v>29.521833333333337</c:v>
                </c:pt>
                <c:pt idx="45">
                  <c:v>29.328733333333336</c:v>
                </c:pt>
                <c:pt idx="46">
                  <c:v>29.439900000000002</c:v>
                </c:pt>
                <c:pt idx="47">
                  <c:v>28.790316666666669</c:v>
                </c:pt>
                <c:pt idx="48">
                  <c:v>28.318033333333336</c:v>
                </c:pt>
                <c:pt idx="49">
                  <c:v>27.507983333333335</c:v>
                </c:pt>
                <c:pt idx="50">
                  <c:v>27.054066666666671</c:v>
                </c:pt>
                <c:pt idx="51">
                  <c:v>27.626133333333343</c:v>
                </c:pt>
                <c:pt idx="52">
                  <c:v>26.689916666666672</c:v>
                </c:pt>
                <c:pt idx="53">
                  <c:v>27.891916666666667</c:v>
                </c:pt>
                <c:pt idx="54">
                  <c:v>28.089766666666666</c:v>
                </c:pt>
                <c:pt idx="55">
                  <c:v>28.480049999999995</c:v>
                </c:pt>
                <c:pt idx="56">
                  <c:v>28.230766666666664</c:v>
                </c:pt>
                <c:pt idx="57">
                  <c:v>27.954083333333333</c:v>
                </c:pt>
                <c:pt idx="58">
                  <c:v>27.43313333333333</c:v>
                </c:pt>
                <c:pt idx="59">
                  <c:v>27.200333333333333</c:v>
                </c:pt>
                <c:pt idx="60">
                  <c:v>27.324083333333334</c:v>
                </c:pt>
                <c:pt idx="61">
                  <c:v>27.372566666666671</c:v>
                </c:pt>
                <c:pt idx="62">
                  <c:v>26.900283333333334</c:v>
                </c:pt>
                <c:pt idx="63">
                  <c:v>26.088000000000001</c:v>
                </c:pt>
                <c:pt idx="64">
                  <c:v>26.340033333333331</c:v>
                </c:pt>
                <c:pt idx="65">
                  <c:v>25.281816666666668</c:v>
                </c:pt>
                <c:pt idx="66">
                  <c:v>25.047016666666668</c:v>
                </c:pt>
                <c:pt idx="67">
                  <c:v>24.463333333333335</c:v>
                </c:pt>
                <c:pt idx="68">
                  <c:v>24.465183333333336</c:v>
                </c:pt>
                <c:pt idx="69">
                  <c:v>24.470600000000001</c:v>
                </c:pt>
                <c:pt idx="70">
                  <c:v>24.6723</c:v>
                </c:pt>
                <c:pt idx="71">
                  <c:v>24.864716666666666</c:v>
                </c:pt>
                <c:pt idx="72">
                  <c:v>24.874883333333337</c:v>
                </c:pt>
                <c:pt idx="73">
                  <c:v>24.995433333333335</c:v>
                </c:pt>
                <c:pt idx="74">
                  <c:v>25.391016666666669</c:v>
                </c:pt>
                <c:pt idx="75">
                  <c:v>25.89606666666667</c:v>
                </c:pt>
                <c:pt idx="76">
                  <c:v>27.077333333333332</c:v>
                </c:pt>
                <c:pt idx="77">
                  <c:v>27.356783333333333</c:v>
                </c:pt>
                <c:pt idx="78">
                  <c:v>28.039950000000001</c:v>
                </c:pt>
                <c:pt idx="79">
                  <c:v>28.459916666666665</c:v>
                </c:pt>
                <c:pt idx="80">
                  <c:v>28.662800000000001</c:v>
                </c:pt>
                <c:pt idx="81">
                  <c:v>28.818616666666667</c:v>
                </c:pt>
                <c:pt idx="82">
                  <c:v>28.680700000000002</c:v>
                </c:pt>
                <c:pt idx="83">
                  <c:v>28.694600000000001</c:v>
                </c:pt>
                <c:pt idx="84">
                  <c:v>28.564766666666667</c:v>
                </c:pt>
                <c:pt idx="85">
                  <c:v>28.241166666666668</c:v>
                </c:pt>
                <c:pt idx="86">
                  <c:v>28.59</c:v>
                </c:pt>
                <c:pt idx="87">
                  <c:v>29.052133366666666</c:v>
                </c:pt>
                <c:pt idx="88">
                  <c:v>27.992525367532263</c:v>
                </c:pt>
                <c:pt idx="89">
                  <c:v>28.551820173953416</c:v>
                </c:pt>
                <c:pt idx="90">
                  <c:v>28.605361868397861</c:v>
                </c:pt>
                <c:pt idx="91">
                  <c:v>28.7751035628423</c:v>
                </c:pt>
                <c:pt idx="92">
                  <c:v>28.935217228231831</c:v>
                </c:pt>
                <c:pt idx="93">
                  <c:v>29.053075589342942</c:v>
                </c:pt>
                <c:pt idx="94">
                  <c:v>29.150928466481357</c:v>
                </c:pt>
                <c:pt idx="95">
                  <c:v>28.838953494259137</c:v>
                </c:pt>
                <c:pt idx="96">
                  <c:v>28.20944518870358</c:v>
                </c:pt>
                <c:pt idx="97">
                  <c:v>27.607645188703579</c:v>
                </c:pt>
                <c:pt idx="98">
                  <c:v>27.455878522036912</c:v>
                </c:pt>
                <c:pt idx="99">
                  <c:v>27.631478488703578</c:v>
                </c:pt>
                <c:pt idx="100">
                  <c:v>28.804403154504648</c:v>
                </c:pt>
                <c:pt idx="101">
                  <c:v>28.591308348083498</c:v>
                </c:pt>
                <c:pt idx="102">
                  <c:v>28.177299986972383</c:v>
                </c:pt>
                <c:pt idx="103">
                  <c:v>27.92152495919461</c:v>
                </c:pt>
                <c:pt idx="104">
                  <c:v>26.710377960471746</c:v>
                </c:pt>
                <c:pt idx="105">
                  <c:v>25.473419599360632</c:v>
                </c:pt>
                <c:pt idx="106">
                  <c:v>24.761066722222218</c:v>
                </c:pt>
                <c:pt idx="107">
                  <c:v>24.467758361111105</c:v>
                </c:pt>
                <c:pt idx="108">
                  <c:v>24.34473333333333</c:v>
                </c:pt>
                <c:pt idx="109">
                  <c:v>24.349316333333331</c:v>
                </c:pt>
                <c:pt idx="110">
                  <c:v>23.411349666666666</c:v>
                </c:pt>
                <c:pt idx="111">
                  <c:v>22.051133000000004</c:v>
                </c:pt>
                <c:pt idx="112">
                  <c:v>20.313449666666667</c:v>
                </c:pt>
                <c:pt idx="113">
                  <c:v>20.467583000000001</c:v>
                </c:pt>
                <c:pt idx="114">
                  <c:v>20.336632999999996</c:v>
                </c:pt>
                <c:pt idx="115">
                  <c:v>20.57884966666667</c:v>
                </c:pt>
                <c:pt idx="116">
                  <c:v>21.735583000000005</c:v>
                </c:pt>
                <c:pt idx="117">
                  <c:v>22.531933000000002</c:v>
                </c:pt>
                <c:pt idx="118">
                  <c:v>22.948549666666668</c:v>
                </c:pt>
                <c:pt idx="119">
                  <c:v>23.079349333333337</c:v>
                </c:pt>
                <c:pt idx="120">
                  <c:v>23.641032666666668</c:v>
                </c:pt>
                <c:pt idx="121">
                  <c:v>24.046299666666666</c:v>
                </c:pt>
                <c:pt idx="122">
                  <c:v>24.476182999999999</c:v>
                </c:pt>
                <c:pt idx="123">
                  <c:v>25.425633000000001</c:v>
                </c:pt>
                <c:pt idx="124">
                  <c:v>26.931349666666669</c:v>
                </c:pt>
                <c:pt idx="125">
                  <c:v>26.473099666666663</c:v>
                </c:pt>
                <c:pt idx="126">
                  <c:v>26.606516333333332</c:v>
                </c:pt>
                <c:pt idx="127">
                  <c:v>26.994649666666664</c:v>
                </c:pt>
                <c:pt idx="128">
                  <c:v>26.736682999999999</c:v>
                </c:pt>
                <c:pt idx="129">
                  <c:v>26.703066333333336</c:v>
                </c:pt>
                <c:pt idx="130">
                  <c:v>27.468249666666669</c:v>
                </c:pt>
                <c:pt idx="131">
                  <c:v>28.198933333333336</c:v>
                </c:pt>
                <c:pt idx="132">
                  <c:v>28.604650000000003</c:v>
                </c:pt>
                <c:pt idx="133">
                  <c:v>29.183516666666673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0A-49C7-8190-829342586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Vietnam!$K$27</c:f>
          <c:strCache>
            <c:ptCount val="1"/>
            <c:pt idx="0">
              <c:v>Vietnam : Coffee Exports | YTD : Oct-Sep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Vietnam!$S$7:$S$17</c:f>
              <c:strCache>
                <c:ptCount val="11"/>
                <c:pt idx="0">
                  <c:v>14/15</c:v>
                </c:pt>
                <c:pt idx="1">
                  <c:v>15/16</c:v>
                </c:pt>
                <c:pt idx="2">
                  <c:v>16/17</c:v>
                </c:pt>
                <c:pt idx="3">
                  <c:v>17/18</c:v>
                </c:pt>
                <c:pt idx="4">
                  <c:v>18/19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  <c:pt idx="10">
                  <c:v>24/25</c:v>
                </c:pt>
              </c:strCache>
            </c:strRef>
          </c:cat>
          <c:val>
            <c:numRef>
              <c:f>Vietnam!$T$7:$T$17</c:f>
              <c:numCache>
                <c:formatCode>#,##0</c:formatCode>
                <c:ptCount val="11"/>
                <c:pt idx="0">
                  <c:v>21554057.572397754</c:v>
                </c:pt>
                <c:pt idx="1">
                  <c:v>29064816.666666672</c:v>
                </c:pt>
                <c:pt idx="2">
                  <c:v>26439001.314217445</c:v>
                </c:pt>
                <c:pt idx="3">
                  <c:v>29907334.611288603</c:v>
                </c:pt>
                <c:pt idx="4">
                  <c:v>28318033.333333336</c:v>
                </c:pt>
                <c:pt idx="5">
                  <c:v>27324083.333333336</c:v>
                </c:pt>
                <c:pt idx="6">
                  <c:v>24874883.333333336</c:v>
                </c:pt>
                <c:pt idx="7">
                  <c:v>28564766.666666668</c:v>
                </c:pt>
                <c:pt idx="8">
                  <c:v>28209445.188703578</c:v>
                </c:pt>
                <c:pt idx="9">
                  <c:v>24344733.333333332</c:v>
                </c:pt>
                <c:pt idx="10">
                  <c:v>23641032.666666668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21-4105-8E4B-B17E3F88B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Vietnam!$Q$27</c:f>
          <c:strCache>
            <c:ptCount val="1"/>
            <c:pt idx="0">
              <c:v>Vietnam : Coffee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79827791938988"/>
          <c:y val="0.14257978353412537"/>
          <c:w val="0.87774762232500314"/>
          <c:h val="0.8142123665637202"/>
        </c:manualLayout>
      </c:layout>
      <c:lineChart>
        <c:grouping val="standard"/>
        <c:varyColors val="0"/>
        <c:ser>
          <c:idx val="2"/>
          <c:order val="2"/>
          <c:tx>
            <c:strRef>
              <c:f>Vietnam!$M$83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Vietnam!$N$75:$Y$75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Vietnam!$N$83:$Y$83</c:f>
              <c:numCache>
                <c:formatCode>#,##0</c:formatCode>
                <c:ptCount val="12"/>
                <c:pt idx="0">
                  <c:v>1654150</c:v>
                </c:pt>
                <c:pt idx="1">
                  <c:v>3445366.666666667</c:v>
                </c:pt>
                <c:pt idx="2">
                  <c:v>6267850</c:v>
                </c:pt>
                <c:pt idx="3">
                  <c:v>10125633.333333334</c:v>
                </c:pt>
                <c:pt idx="4">
                  <c:v>12455833.333333334</c:v>
                </c:pt>
                <c:pt idx="5">
                  <c:v>15965833.333333334</c:v>
                </c:pt>
                <c:pt idx="6">
                  <c:v>18586416.666666668</c:v>
                </c:pt>
                <c:pt idx="7">
                  <c:v>20960083.333333336</c:v>
                </c:pt>
                <c:pt idx="8">
                  <c:v>23249216.666666668</c:v>
                </c:pt>
                <c:pt idx="9">
                  <c:v>25146750</c:v>
                </c:pt>
                <c:pt idx="10">
                  <c:v>27022266.666666668</c:v>
                </c:pt>
                <c:pt idx="11">
                  <c:v>28564766.666666668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AD-473D-BB07-A4DB99500D7F}"/>
            </c:ext>
          </c:extLst>
        </c:ser>
        <c:ser>
          <c:idx val="3"/>
          <c:order val="3"/>
          <c:tx>
            <c:strRef>
              <c:f>Vietnam!$M$84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Vietnam!$N$75:$Y$75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Vietnam!$N$84:$Y$84</c:f>
              <c:numCache>
                <c:formatCode>#,##0</c:formatCode>
                <c:ptCount val="12"/>
                <c:pt idx="0">
                  <c:v>1330550</c:v>
                </c:pt>
                <c:pt idx="1">
                  <c:v>3470600</c:v>
                </c:pt>
                <c:pt idx="2">
                  <c:v>6755216.7000000002</c:v>
                </c:pt>
                <c:pt idx="3">
                  <c:v>9553392.0341989305</c:v>
                </c:pt>
                <c:pt idx="4">
                  <c:v>12442886.840620084</c:v>
                </c:pt>
                <c:pt idx="5">
                  <c:v>16006428.535064528</c:v>
                </c:pt>
                <c:pt idx="6">
                  <c:v>18796753.562842306</c:v>
                </c:pt>
                <c:pt idx="7">
                  <c:v>21330533.8948985</c:v>
                </c:pt>
                <c:pt idx="8">
                  <c:v>23737525.589342944</c:v>
                </c:pt>
                <c:pt idx="9">
                  <c:v>25732911.79981469</c:v>
                </c:pt>
                <c:pt idx="10">
                  <c:v>27296453.494259134</c:v>
                </c:pt>
                <c:pt idx="11">
                  <c:v>28209445.188703578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AD-473D-BB07-A4DB99500D7F}"/>
            </c:ext>
          </c:extLst>
        </c:ser>
        <c:ser>
          <c:idx val="4"/>
          <c:order val="4"/>
          <c:tx>
            <c:strRef>
              <c:f>Vietnam!$M$85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Vietnam!$N$75:$Y$75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Vietnam!$N$85:$Y$85</c:f>
              <c:numCache>
                <c:formatCode>#,##0</c:formatCode>
                <c:ptCount val="12"/>
                <c:pt idx="0">
                  <c:v>728750</c:v>
                </c:pt>
                <c:pt idx="1">
                  <c:v>2717033.3333333335</c:v>
                </c:pt>
                <c:pt idx="2">
                  <c:v>6177250</c:v>
                </c:pt>
                <c:pt idx="3">
                  <c:v>10148350</c:v>
                </c:pt>
                <c:pt idx="4">
                  <c:v>12824750</c:v>
                </c:pt>
                <c:pt idx="5">
                  <c:v>15974283.333333334</c:v>
                </c:pt>
                <c:pt idx="6">
                  <c:v>18508833.333333336</c:v>
                </c:pt>
                <c:pt idx="7">
                  <c:v>19831466.666666668</c:v>
                </c:pt>
                <c:pt idx="8">
                  <c:v>21001500</c:v>
                </c:pt>
                <c:pt idx="9">
                  <c:v>22284533.333333332</c:v>
                </c:pt>
                <c:pt idx="10">
                  <c:v>23554766.666666664</c:v>
                </c:pt>
                <c:pt idx="11">
                  <c:v>24344733.333333332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AD-473D-BB07-A4DB99500D7F}"/>
            </c:ext>
          </c:extLst>
        </c:ser>
        <c:ser>
          <c:idx val="5"/>
          <c:order val="5"/>
          <c:tx>
            <c:strRef>
              <c:f>Vietnam!$M$86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Vietnam!$N$75:$Y$75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Vietnam!$N$86:$Y$86</c:f>
              <c:numCache>
                <c:formatCode>#,##0</c:formatCode>
                <c:ptCount val="12"/>
                <c:pt idx="0">
                  <c:v>733333</c:v>
                </c:pt>
                <c:pt idx="1">
                  <c:v>1783649.6666666667</c:v>
                </c:pt>
                <c:pt idx="2">
                  <c:v>3883649.666666667</c:v>
                </c:pt>
                <c:pt idx="3">
                  <c:v>6117066.333333334</c:v>
                </c:pt>
                <c:pt idx="4">
                  <c:v>8947599.6666666679</c:v>
                </c:pt>
                <c:pt idx="5">
                  <c:v>11966183.000000002</c:v>
                </c:pt>
                <c:pt idx="6">
                  <c:v>14742949.666666668</c:v>
                </c:pt>
                <c:pt idx="7">
                  <c:v>17222316.333333336</c:v>
                </c:pt>
                <c:pt idx="8">
                  <c:v>19188699.666666668</c:v>
                </c:pt>
                <c:pt idx="9">
                  <c:v>20888349.666666668</c:v>
                </c:pt>
                <c:pt idx="10">
                  <c:v>22289382.666666668</c:v>
                </c:pt>
                <c:pt idx="11">
                  <c:v>23641032.666666668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AD-473D-BB07-A4DB99500D7F}"/>
            </c:ext>
          </c:extLst>
        </c:ser>
        <c:ser>
          <c:idx val="6"/>
          <c:order val="6"/>
          <c:tx>
            <c:strRef>
              <c:f>Vietnam!$M$87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Vietnam!$N$75:$Y$75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Vietnam!$N$87:$Y$87</c:f>
              <c:numCache>
                <c:formatCode>#,##0</c:formatCode>
                <c:ptCount val="12"/>
                <c:pt idx="0">
                  <c:v>1138600</c:v>
                </c:pt>
                <c:pt idx="1">
                  <c:v>2618800</c:v>
                </c:pt>
                <c:pt idx="2">
                  <c:v>5668250</c:v>
                </c:pt>
                <c:pt idx="3">
                  <c:v>9407383.333333334</c:v>
                </c:pt>
                <c:pt idx="4">
                  <c:v>11779666.666666668</c:v>
                </c:pt>
                <c:pt idx="5">
                  <c:v>14931666.666666668</c:v>
                </c:pt>
                <c:pt idx="6">
                  <c:v>18096566.666666668</c:v>
                </c:pt>
                <c:pt idx="7">
                  <c:v>20317966.666666668</c:v>
                </c:pt>
                <c:pt idx="8">
                  <c:v>22250733.333333336</c:v>
                </c:pt>
                <c:pt idx="9">
                  <c:v>24715566.666666668</c:v>
                </c:pt>
                <c:pt idx="10">
                  <c:v>26847283.333333336</c:v>
                </c:pt>
                <c:pt idx="11">
                  <c:v>28604650.000000004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4-480E-ABED-094E6C10567F}"/>
            </c:ext>
          </c:extLst>
        </c:ser>
        <c:ser>
          <c:idx val="8"/>
          <c:order val="8"/>
          <c:tx>
            <c:strRef>
              <c:f>Vietnam!$M$88</c:f>
              <c:strCache>
                <c:ptCount val="1"/>
                <c:pt idx="0">
                  <c:v>26/27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val>
            <c:numRef>
              <c:f>Vietnam!$N$88:$Y$88</c:f>
              <c:numCache>
                <c:formatCode>#,##0</c:formatCode>
                <c:ptCount val="12"/>
                <c:pt idx="0">
                  <c:v>1717466.6666666667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5-4962-B6D0-4253FB29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Vietnam!$M$81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Vietnam!$N$75:$Y$75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Vietnam!$N$81:$Y$81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1485116.6666666667</c:v>
                      </c:pt>
                      <c:pt idx="1">
                        <c:v>3353033.3333333335</c:v>
                      </c:pt>
                      <c:pt idx="2">
                        <c:v>6482750</c:v>
                      </c:pt>
                      <c:pt idx="3">
                        <c:v>8907233.333333334</c:v>
                      </c:pt>
                      <c:pt idx="4">
                        <c:v>12016200</c:v>
                      </c:pt>
                      <c:pt idx="5">
                        <c:v>15077833.333333334</c:v>
                      </c:pt>
                      <c:pt idx="6">
                        <c:v>17862133.333333336</c:v>
                      </c:pt>
                      <c:pt idx="7">
                        <c:v>20031066.666666668</c:v>
                      </c:pt>
                      <c:pt idx="8">
                        <c:v>22158966.666666668</c:v>
                      </c:pt>
                      <c:pt idx="9">
                        <c:v>23992716.666666668</c:v>
                      </c:pt>
                      <c:pt idx="10">
                        <c:v>25661916.666666668</c:v>
                      </c:pt>
                      <c:pt idx="11">
                        <c:v>27324083.333333336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9AD-473D-BB07-A4DB99500D7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Vietnam!$M$82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Vietnam!$N$75:$Y$75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Vietnam!$N$82:$Y$82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1533600</c:v>
                      </c:pt>
                      <c:pt idx="1">
                        <c:v>2929233.3333333335</c:v>
                      </c:pt>
                      <c:pt idx="2">
                        <c:v>5246666.666666667</c:v>
                      </c:pt>
                      <c:pt idx="3">
                        <c:v>7923183.333333334</c:v>
                      </c:pt>
                      <c:pt idx="4">
                        <c:v>9973933.333333334</c:v>
                      </c:pt>
                      <c:pt idx="5">
                        <c:v>12800766.666666668</c:v>
                      </c:pt>
                      <c:pt idx="6">
                        <c:v>15001383.333333336</c:v>
                      </c:pt>
                      <c:pt idx="7">
                        <c:v>17172166.666666668</c:v>
                      </c:pt>
                      <c:pt idx="8">
                        <c:v>19305483.333333336</c:v>
                      </c:pt>
                      <c:pt idx="9">
                        <c:v>21340933.333333336</c:v>
                      </c:pt>
                      <c:pt idx="10">
                        <c:v>23202550.000000004</c:v>
                      </c:pt>
                      <c:pt idx="11">
                        <c:v>24874883.333333336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9AD-473D-BB07-A4DB99500D7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Vietnam!$M$89</c15:sqref>
                        </c15:formulaRef>
                      </c:ext>
                    </c:extLst>
                    <c:strCache>
                      <c:ptCount val="1"/>
                      <c:pt idx="0">
                        <c:v>25/26 Fcst</c:v>
                      </c:pt>
                    </c:strCache>
                  </c:strRef>
                </c:tx>
                <c:spPr>
                  <a:ln w="22225" cap="rnd">
                    <a:solidFill>
                      <a:schemeClr val="tx2">
                        <a:lumMod val="75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tx2">
                          <a:lumMod val="75000"/>
                        </a:schemeClr>
                      </a:solidFill>
                      <a:prstDash val="sysDot"/>
                      <a:round/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Vietnam!$N$89:$Y$89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1138600</c:v>
                      </c:pt>
                      <c:pt idx="1">
                        <c:v>2618800</c:v>
                      </c:pt>
                      <c:pt idx="2">
                        <c:v>5668250</c:v>
                      </c:pt>
                      <c:pt idx="3">
                        <c:v>9407383.333333334</c:v>
                      </c:pt>
                      <c:pt idx="4">
                        <c:v>11779666.666666668</c:v>
                      </c:pt>
                      <c:pt idx="5">
                        <c:v>14931666.666666668</c:v>
                      </c:pt>
                      <c:pt idx="6">
                        <c:v>18096566.666666668</c:v>
                      </c:pt>
                      <c:pt idx="7">
                        <c:v>20317966.666666668</c:v>
                      </c:pt>
                      <c:pt idx="8">
                        <c:v>22250733.333333336</c:v>
                      </c:pt>
                      <c:pt idx="9">
                        <c:v>22250733.333333336</c:v>
                      </c:pt>
                      <c:pt idx="10">
                        <c:v>22250733.333333336</c:v>
                      </c:pt>
                      <c:pt idx="11">
                        <c:v>22250733.333333336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07C-48F4-8A3D-50FCEF389CFA}"/>
                  </c:ext>
                </c:extLst>
              </c15:ser>
            </c15:filteredLineSeries>
          </c:ext>
        </c:extLst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Vietnam flow to belgium</a:t>
            </a:r>
            <a:endParaRPr lang="en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'VTN to Terminals'!$AG$53</c:f>
              <c:strCache>
                <c:ptCount val="1"/>
                <c:pt idx="0">
                  <c:v>18/19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'VTN to Terminals'!$AH$46:$AS$46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Terminals'!$AH$53:$AS$53</c:f>
              <c:numCache>
                <c:formatCode>#,##0</c:formatCode>
                <c:ptCount val="12"/>
                <c:pt idx="0">
                  <c:v>42444.535000000011</c:v>
                </c:pt>
                <c:pt idx="1">
                  <c:v>116820.06000000003</c:v>
                </c:pt>
                <c:pt idx="2">
                  <c:v>234875.28750000003</c:v>
                </c:pt>
                <c:pt idx="3">
                  <c:v>384975.4825000001</c:v>
                </c:pt>
                <c:pt idx="4">
                  <c:v>460505.06250000012</c:v>
                </c:pt>
                <c:pt idx="5">
                  <c:v>574771.4175000001</c:v>
                </c:pt>
                <c:pt idx="6">
                  <c:v>628390.38500000013</c:v>
                </c:pt>
                <c:pt idx="7">
                  <c:v>692034.31500000018</c:v>
                </c:pt>
                <c:pt idx="8">
                  <c:v>745500.71750000014</c:v>
                </c:pt>
                <c:pt idx="9">
                  <c:v>815494.66250000009</c:v>
                </c:pt>
                <c:pt idx="10">
                  <c:v>888563.93500000006</c:v>
                </c:pt>
                <c:pt idx="11">
                  <c:v>947442.00250000006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2-4DCB-8BA1-326FBD2A20C0}"/>
            </c:ext>
          </c:extLst>
        </c:ser>
        <c:ser>
          <c:idx val="1"/>
          <c:order val="1"/>
          <c:tx>
            <c:strRef>
              <c:f>'VTN to Terminals'!$AG$54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'VTN to Terminals'!$AH$46:$AS$46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Terminals'!$AH$54:$AS$54</c:f>
              <c:numCache>
                <c:formatCode>#,##0</c:formatCode>
                <c:ptCount val="12"/>
                <c:pt idx="0">
                  <c:v>44811.066666666651</c:v>
                </c:pt>
                <c:pt idx="1">
                  <c:v>83602.126666666649</c:v>
                </c:pt>
                <c:pt idx="2">
                  <c:v>156694.68833333335</c:v>
                </c:pt>
                <c:pt idx="3">
                  <c:v>235346.99833333341</c:v>
                </c:pt>
                <c:pt idx="4">
                  <c:v>347578.93500000011</c:v>
                </c:pt>
                <c:pt idx="5">
                  <c:v>452782.03666666674</c:v>
                </c:pt>
                <c:pt idx="6">
                  <c:v>623086.69866666687</c:v>
                </c:pt>
                <c:pt idx="7">
                  <c:v>709152.29366666684</c:v>
                </c:pt>
                <c:pt idx="8">
                  <c:v>779110.8636666669</c:v>
                </c:pt>
                <c:pt idx="9">
                  <c:v>835022.9836666669</c:v>
                </c:pt>
                <c:pt idx="10">
                  <c:v>901985.54600000032</c:v>
                </c:pt>
                <c:pt idx="11">
                  <c:v>966097.21266666707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C2-4DCB-8BA1-326FBD2A20C0}"/>
            </c:ext>
          </c:extLst>
        </c:ser>
        <c:ser>
          <c:idx val="2"/>
          <c:order val="2"/>
          <c:tx>
            <c:strRef>
              <c:f>'VTN to Terminals'!$AG$55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'VTN to Terminals'!$AH$46:$AS$46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Terminals'!$AH$55:$AS$55</c:f>
              <c:numCache>
                <c:formatCode>#,##0</c:formatCode>
                <c:ptCount val="12"/>
                <c:pt idx="0">
                  <c:v>66644.508333333346</c:v>
                </c:pt>
                <c:pt idx="1">
                  <c:v>108397.36233333335</c:v>
                </c:pt>
                <c:pt idx="2">
                  <c:v>156556.69883333336</c:v>
                </c:pt>
                <c:pt idx="3">
                  <c:v>197543.37716666667</c:v>
                </c:pt>
                <c:pt idx="4">
                  <c:v>255181.58050000001</c:v>
                </c:pt>
                <c:pt idx="5">
                  <c:v>353713.3471666667</c:v>
                </c:pt>
                <c:pt idx="6">
                  <c:v>433326.21383333334</c:v>
                </c:pt>
                <c:pt idx="7">
                  <c:v>528781.09716666676</c:v>
                </c:pt>
                <c:pt idx="8">
                  <c:v>592673.64383333339</c:v>
                </c:pt>
                <c:pt idx="9">
                  <c:v>668528.54383333342</c:v>
                </c:pt>
                <c:pt idx="10">
                  <c:v>734593.44383333344</c:v>
                </c:pt>
                <c:pt idx="11">
                  <c:v>817155.19050000014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C2-4DCB-8BA1-326FBD2A20C0}"/>
            </c:ext>
          </c:extLst>
        </c:ser>
        <c:ser>
          <c:idx val="3"/>
          <c:order val="3"/>
          <c:tx>
            <c:strRef>
              <c:f>'VTN to Terminals'!$AG$56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'VTN to Terminals'!$AH$46:$AS$46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Terminals'!$AH$56:$AS$56</c:f>
              <c:numCache>
                <c:formatCode>#,##0</c:formatCode>
                <c:ptCount val="12"/>
                <c:pt idx="0">
                  <c:v>64406.283333333347</c:v>
                </c:pt>
                <c:pt idx="1">
                  <c:v>136458.66666666669</c:v>
                </c:pt>
                <c:pt idx="2">
                  <c:v>294800.18333333352</c:v>
                </c:pt>
                <c:pt idx="3">
                  <c:v>671076.45000000019</c:v>
                </c:pt>
                <c:pt idx="4">
                  <c:v>832000.9500000003</c:v>
                </c:pt>
                <c:pt idx="5">
                  <c:v>1091678.6833333338</c:v>
                </c:pt>
                <c:pt idx="6">
                  <c:v>1450109.6500000006</c:v>
                </c:pt>
                <c:pt idx="7">
                  <c:v>1553467.3000000005</c:v>
                </c:pt>
                <c:pt idx="8">
                  <c:v>1685510.3833333338</c:v>
                </c:pt>
                <c:pt idx="9">
                  <c:v>1752295.966666667</c:v>
                </c:pt>
                <c:pt idx="10">
                  <c:v>1809114.6333333338</c:v>
                </c:pt>
                <c:pt idx="11">
                  <c:v>1871949.5666666671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C2-4DCB-8BA1-326FBD2A20C0}"/>
            </c:ext>
          </c:extLst>
        </c:ser>
        <c:ser>
          <c:idx val="4"/>
          <c:order val="4"/>
          <c:tx>
            <c:strRef>
              <c:f>'VTN to Terminals'!$AG$57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'VTN to Terminals'!$AH$46:$AS$46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Terminals'!$AH$57:$AS$57</c:f>
              <c:numCache>
                <c:formatCode>#,##0</c:formatCode>
                <c:ptCount val="12"/>
                <c:pt idx="0">
                  <c:v>67829.666666666657</c:v>
                </c:pt>
                <c:pt idx="1">
                  <c:v>146508.99999999997</c:v>
                </c:pt>
                <c:pt idx="2">
                  <c:v>333609</c:v>
                </c:pt>
                <c:pt idx="3">
                  <c:v>488309</c:v>
                </c:pt>
                <c:pt idx="4">
                  <c:v>682059</c:v>
                </c:pt>
                <c:pt idx="5">
                  <c:v>799009</c:v>
                </c:pt>
                <c:pt idx="6">
                  <c:v>885642.33333333337</c:v>
                </c:pt>
                <c:pt idx="7">
                  <c:v>1018475.6666666667</c:v>
                </c:pt>
                <c:pt idx="8">
                  <c:v>1063175.6666666667</c:v>
                </c:pt>
                <c:pt idx="9">
                  <c:v>1123559</c:v>
                </c:pt>
                <c:pt idx="10">
                  <c:v>1148725.6666666667</c:v>
                </c:pt>
                <c:pt idx="11">
                  <c:v>1167275.6666666667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C2-4DCB-8BA1-326FBD2A20C0}"/>
            </c:ext>
          </c:extLst>
        </c:ser>
        <c:ser>
          <c:idx val="5"/>
          <c:order val="5"/>
          <c:tx>
            <c:strRef>
              <c:f>'VTN to Terminals'!$AG$58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'VTN to Terminals'!$AH$46:$AS$46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Terminals'!$AH$58:$AS$58</c:f>
              <c:numCache>
                <c:formatCode>#,##0</c:formatCode>
                <c:ptCount val="12"/>
                <c:pt idx="0">
                  <c:v>24566.666666666668</c:v>
                </c:pt>
                <c:pt idx="1">
                  <c:v>86733.333333333343</c:v>
                </c:pt>
                <c:pt idx="2">
                  <c:v>171966.66666666669</c:v>
                </c:pt>
                <c:pt idx="3">
                  <c:v>270233.33333333337</c:v>
                </c:pt>
                <c:pt idx="4">
                  <c:v>360250.00000000006</c:v>
                </c:pt>
                <c:pt idx="5">
                  <c:v>468916.66666666674</c:v>
                </c:pt>
                <c:pt idx="6">
                  <c:v>529933.33333333337</c:v>
                </c:pt>
                <c:pt idx="7">
                  <c:v>576683.33333333337</c:v>
                </c:pt>
                <c:pt idx="8">
                  <c:v>609166.66666666674</c:v>
                </c:pt>
                <c:pt idx="9">
                  <c:v>651433.33333333337</c:v>
                </c:pt>
                <c:pt idx="10">
                  <c:v>698283.33333333337</c:v>
                </c:pt>
                <c:pt idx="11">
                  <c:v>727016.66666666674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C2-4DCB-8BA1-326FBD2A20C0}"/>
            </c:ext>
          </c:extLst>
        </c:ser>
        <c:ser>
          <c:idx val="6"/>
          <c:order val="6"/>
          <c:tx>
            <c:strRef>
              <c:f>'VTN to Terminals'!$AG$59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'VTN to Terminals'!$AH$46:$AS$46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Terminals'!$AH$59:$AS$59</c:f>
              <c:numCache>
                <c:formatCode>#,##0</c:formatCode>
                <c:ptCount val="12"/>
                <c:pt idx="0">
                  <c:v>22166.666666666668</c:v>
                </c:pt>
                <c:pt idx="1">
                  <c:v>41800</c:v>
                </c:pt>
                <c:pt idx="2">
                  <c:v>108066.66666666667</c:v>
                </c:pt>
                <c:pt idx="3">
                  <c:v>158733.33333333334</c:v>
                </c:pt>
                <c:pt idx="4">
                  <c:v>305550</c:v>
                </c:pt>
                <c:pt idx="5">
                  <c:v>423633.33333333337</c:v>
                </c:pt>
                <c:pt idx="6">
                  <c:v>517650.00000000006</c:v>
                </c:pt>
                <c:pt idx="7">
                  <c:v>619616.66666666674</c:v>
                </c:pt>
                <c:pt idx="8">
                  <c:v>680383.33333333337</c:v>
                </c:pt>
                <c:pt idx="9">
                  <c:v>726658.33333333337</c:v>
                </c:pt>
                <c:pt idx="10">
                  <c:v>758441.66666666674</c:v>
                </c:pt>
                <c:pt idx="11">
                  <c:v>819375.00000000012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C2-4DCB-8BA1-326FBD2A2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073919"/>
        <c:axId val="2026066719"/>
      </c:lineChart>
      <c:catAx>
        <c:axId val="202607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66719"/>
        <c:crosses val="autoZero"/>
        <c:auto val="1"/>
        <c:lblAlgn val="ctr"/>
        <c:lblOffset val="100"/>
        <c:noMultiLvlLbl val="0"/>
      </c:catAx>
      <c:valAx>
        <c:axId val="202606671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7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'VTN to Terminals'!$AU$28:$AW$28</c:f>
          <c:strCache>
            <c:ptCount val="3"/>
            <c:pt idx="0">
              <c:v>OND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'VTN to Terminals'!$AU$28</c:f>
              <c:strCache>
                <c:ptCount val="1"/>
                <c:pt idx="0">
                  <c:v>OND</c:v>
                </c:pt>
              </c:strCache>
            </c:strRef>
          </c:tx>
          <c:spPr>
            <a:ln w="2857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Terminals'!$AU$29:$AU$40</c:f>
              <c:strCache>
                <c:ptCount val="12"/>
                <c:pt idx="0">
                  <c:v>12/13</c:v>
                </c:pt>
                <c:pt idx="1">
                  <c:v>13/14</c:v>
                </c:pt>
                <c:pt idx="2">
                  <c:v>14/15</c:v>
                </c:pt>
                <c:pt idx="3">
                  <c:v>15/16</c:v>
                </c:pt>
                <c:pt idx="4">
                  <c:v>16/17</c:v>
                </c:pt>
                <c:pt idx="5">
                  <c:v>17/18</c:v>
                </c:pt>
                <c:pt idx="6">
                  <c:v>18/19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'VTN to Terminals'!$AV$29:$AV$40</c:f>
              <c:numCache>
                <c:formatCode>#,##0</c:formatCode>
                <c:ptCount val="12"/>
                <c:pt idx="0">
                  <c:v>641956.66666666663</c:v>
                </c:pt>
                <c:pt idx="1">
                  <c:v>148893.33333333334</c:v>
                </c:pt>
                <c:pt idx="2">
                  <c:v>277900</c:v>
                </c:pt>
                <c:pt idx="3">
                  <c:v>239631.33333333337</c:v>
                </c:pt>
                <c:pt idx="4">
                  <c:v>545406.66666666651</c:v>
                </c:pt>
                <c:pt idx="5">
                  <c:v>141897.80499999999</c:v>
                </c:pt>
                <c:pt idx="6">
                  <c:v>234875.28750000003</c:v>
                </c:pt>
                <c:pt idx="7">
                  <c:v>156694.68833333335</c:v>
                </c:pt>
                <c:pt idx="8">
                  <c:v>156556.69883333336</c:v>
                </c:pt>
                <c:pt idx="9">
                  <c:v>294800.18333333352</c:v>
                </c:pt>
                <c:pt idx="10">
                  <c:v>333609</c:v>
                </c:pt>
                <c:pt idx="11">
                  <c:v>171966.66666666669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2E-4F8D-80DA-18E7D5223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1465759"/>
        <c:axId val="2041452799"/>
      </c:lineChart>
      <c:catAx>
        <c:axId val="204146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452799"/>
        <c:crosses val="autoZero"/>
        <c:auto val="1"/>
        <c:lblAlgn val="ctr"/>
        <c:lblOffset val="100"/>
        <c:noMultiLvlLbl val="0"/>
      </c:catAx>
      <c:valAx>
        <c:axId val="204145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46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flow to belgium</a:t>
            </a:r>
            <a:endParaRPr lang="en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'VTN to Terminals'!$AG$35</c:f>
              <c:strCache>
                <c:ptCount val="1"/>
                <c:pt idx="0">
                  <c:v>18/19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'VTN to Terminals'!$AH$28:$AS$28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Terminals'!$AH$35:$AS$35</c:f>
              <c:numCache>
                <c:formatCode>#,##0</c:formatCode>
                <c:ptCount val="12"/>
                <c:pt idx="0">
                  <c:v>42444.535000000011</c:v>
                </c:pt>
                <c:pt idx="1">
                  <c:v>74375.525000000009</c:v>
                </c:pt>
                <c:pt idx="2">
                  <c:v>118055.22750000002</c:v>
                </c:pt>
                <c:pt idx="3">
                  <c:v>150100.19500000007</c:v>
                </c:pt>
                <c:pt idx="4">
                  <c:v>75529.58</c:v>
                </c:pt>
                <c:pt idx="5">
                  <c:v>114266.35499999997</c:v>
                </c:pt>
                <c:pt idx="6">
                  <c:v>53618.967499999992</c:v>
                </c:pt>
                <c:pt idx="7">
                  <c:v>63643.930000000015</c:v>
                </c:pt>
                <c:pt idx="8">
                  <c:v>53466.402500000011</c:v>
                </c:pt>
                <c:pt idx="9">
                  <c:v>69993.945000000007</c:v>
                </c:pt>
                <c:pt idx="10">
                  <c:v>73069.272500000021</c:v>
                </c:pt>
                <c:pt idx="11">
                  <c:v>58878.067499999997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6-484D-8EDE-06C8CA90638C}"/>
            </c:ext>
          </c:extLst>
        </c:ser>
        <c:ser>
          <c:idx val="1"/>
          <c:order val="1"/>
          <c:tx>
            <c:strRef>
              <c:f>'VTN to Terminals'!$AG$36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'VTN to Terminals'!$AH$28:$AS$28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Terminals'!$AH$36:$AS$36</c:f>
              <c:numCache>
                <c:formatCode>#,##0</c:formatCode>
                <c:ptCount val="12"/>
                <c:pt idx="0">
                  <c:v>44811.066666666651</c:v>
                </c:pt>
                <c:pt idx="1">
                  <c:v>38791.060000000005</c:v>
                </c:pt>
                <c:pt idx="2">
                  <c:v>73092.56166666669</c:v>
                </c:pt>
                <c:pt idx="3">
                  <c:v>78652.310000000056</c:v>
                </c:pt>
                <c:pt idx="4">
                  <c:v>112231.9366666667</c:v>
                </c:pt>
                <c:pt idx="5">
                  <c:v>105203.10166666665</c:v>
                </c:pt>
                <c:pt idx="6">
                  <c:v>170304.6620000001</c:v>
                </c:pt>
                <c:pt idx="7">
                  <c:v>86065.594999999987</c:v>
                </c:pt>
                <c:pt idx="8">
                  <c:v>69958.570000000007</c:v>
                </c:pt>
                <c:pt idx="9">
                  <c:v>55912.120000000017</c:v>
                </c:pt>
                <c:pt idx="10">
                  <c:v>66962.562333333364</c:v>
                </c:pt>
                <c:pt idx="11">
                  <c:v>64111.666666666686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F6-484D-8EDE-06C8CA90638C}"/>
            </c:ext>
          </c:extLst>
        </c:ser>
        <c:ser>
          <c:idx val="2"/>
          <c:order val="2"/>
          <c:tx>
            <c:strRef>
              <c:f>'VTN to Terminals'!$AG$37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'VTN to Terminals'!$AH$28:$AS$28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Terminals'!$AH$37:$AS$37</c:f>
              <c:numCache>
                <c:formatCode>#,##0</c:formatCode>
                <c:ptCount val="12"/>
                <c:pt idx="0">
                  <c:v>66644.508333333346</c:v>
                </c:pt>
                <c:pt idx="1">
                  <c:v>41752.853999999999</c:v>
                </c:pt>
                <c:pt idx="2">
                  <c:v>48159.336499999998</c:v>
                </c:pt>
                <c:pt idx="3">
                  <c:v>40986.678333333322</c:v>
                </c:pt>
                <c:pt idx="4">
                  <c:v>57638.203333333338</c:v>
                </c:pt>
                <c:pt idx="5">
                  <c:v>98531.766666666706</c:v>
                </c:pt>
                <c:pt idx="6">
                  <c:v>79612.866666666654</c:v>
                </c:pt>
                <c:pt idx="7">
                  <c:v>95454.883333333375</c:v>
                </c:pt>
                <c:pt idx="8">
                  <c:v>63892.546666666676</c:v>
                </c:pt>
                <c:pt idx="9">
                  <c:v>75854.900000000052</c:v>
                </c:pt>
                <c:pt idx="10">
                  <c:v>66064.900000000009</c:v>
                </c:pt>
                <c:pt idx="11">
                  <c:v>82561.746666666688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F6-484D-8EDE-06C8CA90638C}"/>
            </c:ext>
          </c:extLst>
        </c:ser>
        <c:ser>
          <c:idx val="3"/>
          <c:order val="3"/>
          <c:tx>
            <c:strRef>
              <c:f>'VTN to Terminals'!$AG$38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'VTN to Terminals'!$AH$28:$AS$28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Terminals'!$AH$38:$AS$38</c:f>
              <c:numCache>
                <c:formatCode>#,##0</c:formatCode>
                <c:ptCount val="12"/>
                <c:pt idx="0">
                  <c:v>64406.283333333347</c:v>
                </c:pt>
                <c:pt idx="1">
                  <c:v>72052.383333333346</c:v>
                </c:pt>
                <c:pt idx="2">
                  <c:v>158341.51666666684</c:v>
                </c:pt>
                <c:pt idx="3">
                  <c:v>376276.26666666666</c:v>
                </c:pt>
                <c:pt idx="4">
                  <c:v>160924.50000000015</c:v>
                </c:pt>
                <c:pt idx="5">
                  <c:v>259677.73333333345</c:v>
                </c:pt>
                <c:pt idx="6">
                  <c:v>358430.96666666673</c:v>
                </c:pt>
                <c:pt idx="7">
                  <c:v>103357.65</c:v>
                </c:pt>
                <c:pt idx="8">
                  <c:v>132043.08333333334</c:v>
                </c:pt>
                <c:pt idx="9">
                  <c:v>66785.583333333343</c:v>
                </c:pt>
                <c:pt idx="10">
                  <c:v>56818.666666666679</c:v>
                </c:pt>
                <c:pt idx="11">
                  <c:v>62834.933333333334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F6-484D-8EDE-06C8CA90638C}"/>
            </c:ext>
          </c:extLst>
        </c:ser>
        <c:ser>
          <c:idx val="4"/>
          <c:order val="4"/>
          <c:tx>
            <c:strRef>
              <c:f>'VTN to Terminals'!$AG$39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'VTN to Terminals'!$AH$28:$AS$28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Terminals'!$AH$39:$AS$39</c:f>
              <c:numCache>
                <c:formatCode>#,##0</c:formatCode>
                <c:ptCount val="12"/>
                <c:pt idx="0">
                  <c:v>67829.666666666657</c:v>
                </c:pt>
                <c:pt idx="1">
                  <c:v>78679.333333333314</c:v>
                </c:pt>
                <c:pt idx="2">
                  <c:v>187100</c:v>
                </c:pt>
                <c:pt idx="3">
                  <c:v>154700</c:v>
                </c:pt>
                <c:pt idx="4">
                  <c:v>193750</c:v>
                </c:pt>
                <c:pt idx="5">
                  <c:v>116950</c:v>
                </c:pt>
                <c:pt idx="6">
                  <c:v>86633.333333333343</c:v>
                </c:pt>
                <c:pt idx="7">
                  <c:v>132833.33333333334</c:v>
                </c:pt>
                <c:pt idx="8">
                  <c:v>44700</c:v>
                </c:pt>
                <c:pt idx="9">
                  <c:v>60383.333333333336</c:v>
                </c:pt>
                <c:pt idx="10">
                  <c:v>25166.666666666668</c:v>
                </c:pt>
                <c:pt idx="11">
                  <c:v>18550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F6-484D-8EDE-06C8CA90638C}"/>
            </c:ext>
          </c:extLst>
        </c:ser>
        <c:ser>
          <c:idx val="5"/>
          <c:order val="5"/>
          <c:tx>
            <c:strRef>
              <c:f>'VTN to Terminals'!$AG$40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'VTN to Terminals'!$AH$28:$AS$28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Terminals'!$AH$40:$AS$40</c:f>
              <c:numCache>
                <c:formatCode>#,##0</c:formatCode>
                <c:ptCount val="12"/>
                <c:pt idx="0">
                  <c:v>24566.666666666668</c:v>
                </c:pt>
                <c:pt idx="1">
                  <c:v>62166.666666666672</c:v>
                </c:pt>
                <c:pt idx="2">
                  <c:v>85233.333333333343</c:v>
                </c:pt>
                <c:pt idx="3">
                  <c:v>98266.666666666672</c:v>
                </c:pt>
                <c:pt idx="4">
                  <c:v>90016.666666666672</c:v>
                </c:pt>
                <c:pt idx="5">
                  <c:v>108666.66666666667</c:v>
                </c:pt>
                <c:pt idx="6">
                  <c:v>61016.666666666672</c:v>
                </c:pt>
                <c:pt idx="7">
                  <c:v>46750</c:v>
                </c:pt>
                <c:pt idx="8">
                  <c:v>32483.333333333336</c:v>
                </c:pt>
                <c:pt idx="9">
                  <c:v>42266.666666666672</c:v>
                </c:pt>
                <c:pt idx="10">
                  <c:v>46850</c:v>
                </c:pt>
                <c:pt idx="11">
                  <c:v>28733.333333333336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F6-484D-8EDE-06C8CA90638C}"/>
            </c:ext>
          </c:extLst>
        </c:ser>
        <c:ser>
          <c:idx val="6"/>
          <c:order val="6"/>
          <c:tx>
            <c:strRef>
              <c:f>'VTN to Terminals'!$AG$41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'VTN to Terminals'!$AH$28:$AS$28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Terminals'!$AH$41:$AS$41</c:f>
              <c:numCache>
                <c:formatCode>#,##0</c:formatCode>
                <c:ptCount val="12"/>
                <c:pt idx="0">
                  <c:v>22166.666666666668</c:v>
                </c:pt>
                <c:pt idx="1">
                  <c:v>19633.333333333336</c:v>
                </c:pt>
                <c:pt idx="2">
                  <c:v>66266.666666666672</c:v>
                </c:pt>
                <c:pt idx="3">
                  <c:v>50666.666666666672</c:v>
                </c:pt>
                <c:pt idx="4">
                  <c:v>146816.66666666669</c:v>
                </c:pt>
                <c:pt idx="5">
                  <c:v>118083.33333333334</c:v>
                </c:pt>
                <c:pt idx="6">
                  <c:v>94016.666666666672</c:v>
                </c:pt>
                <c:pt idx="7">
                  <c:v>101966.66666666667</c:v>
                </c:pt>
                <c:pt idx="8">
                  <c:v>60766.666666666672</c:v>
                </c:pt>
                <c:pt idx="9">
                  <c:v>46275</c:v>
                </c:pt>
                <c:pt idx="10">
                  <c:v>31783.333333333336</c:v>
                </c:pt>
                <c:pt idx="11">
                  <c:v>60933.333333333336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F6-484D-8EDE-06C8CA906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3885887"/>
        <c:axId val="1923902207"/>
      </c:lineChart>
      <c:catAx>
        <c:axId val="192388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902207"/>
        <c:crosses val="autoZero"/>
        <c:auto val="1"/>
        <c:lblAlgn val="ctr"/>
        <c:lblOffset val="100"/>
        <c:noMultiLvlLbl val="0"/>
      </c:catAx>
      <c:valAx>
        <c:axId val="192390220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8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Min/Max/Avg</a:t>
            </a:r>
            <a:r>
              <a:rPr lang="en-GB" baseline="0"/>
              <a:t> Vs Current</a:t>
            </a:r>
            <a:endParaRPr lang="en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'VTN to Terminals'!$AU$47</c:f>
              <c:strCache>
                <c:ptCount val="1"/>
                <c:pt idx="0">
                  <c:v>25/26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Terminals'!$AV$46:$BG$46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Terminals'!$AV$47:$BG$47</c:f>
              <c:numCache>
                <c:formatCode>#,##0</c:formatCode>
                <c:ptCount val="12"/>
                <c:pt idx="0">
                  <c:v>20550</c:v>
                </c:pt>
                <c:pt idx="1">
                  <c:v>44033.333333333336</c:v>
                </c:pt>
                <c:pt idx="2">
                  <c:v>84650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57-44AF-A28A-9FD08AF8A4CA}"/>
            </c:ext>
          </c:extLst>
        </c:ser>
        <c:ser>
          <c:idx val="1"/>
          <c:order val="1"/>
          <c:tx>
            <c:strRef>
              <c:f>'VTN to Terminals'!$AU$48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Terminals'!$AV$46:$BG$46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Terminals'!$AV$48:$BG$48</c:f>
              <c:numCache>
                <c:formatCode>#,##0</c:formatCode>
                <c:ptCount val="12"/>
                <c:pt idx="0">
                  <c:v>22166.666666666668</c:v>
                </c:pt>
                <c:pt idx="1">
                  <c:v>19633.333333333336</c:v>
                </c:pt>
                <c:pt idx="2">
                  <c:v>48159.336499999998</c:v>
                </c:pt>
                <c:pt idx="3">
                  <c:v>40986.678333333322</c:v>
                </c:pt>
                <c:pt idx="4">
                  <c:v>57638.203333333338</c:v>
                </c:pt>
                <c:pt idx="5">
                  <c:v>59435.833333333328</c:v>
                </c:pt>
                <c:pt idx="6">
                  <c:v>53618.967499999992</c:v>
                </c:pt>
                <c:pt idx="7">
                  <c:v>46750</c:v>
                </c:pt>
                <c:pt idx="8">
                  <c:v>32483.333333333336</c:v>
                </c:pt>
                <c:pt idx="9">
                  <c:v>42266.666666666672</c:v>
                </c:pt>
                <c:pt idx="10">
                  <c:v>25166.666666666668</c:v>
                </c:pt>
                <c:pt idx="11">
                  <c:v>18550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57-44AF-A28A-9FD08AF8A4CA}"/>
            </c:ext>
          </c:extLst>
        </c:ser>
        <c:ser>
          <c:idx val="2"/>
          <c:order val="2"/>
          <c:tx>
            <c:strRef>
              <c:f>'VTN to Terminals'!$AU$49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Terminals'!$AV$46:$BG$46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Terminals'!$AV$49:$BG$49</c:f>
              <c:numCache>
                <c:formatCode>#,##0</c:formatCode>
                <c:ptCount val="12"/>
                <c:pt idx="0">
                  <c:v>249623.33333333334</c:v>
                </c:pt>
                <c:pt idx="1">
                  <c:v>270766.66666666669</c:v>
                </c:pt>
                <c:pt idx="2">
                  <c:v>369418.33333333326</c:v>
                </c:pt>
                <c:pt idx="3">
                  <c:v>376276.26666666666</c:v>
                </c:pt>
                <c:pt idx="4">
                  <c:v>212150</c:v>
                </c:pt>
                <c:pt idx="5">
                  <c:v>531266.66666666674</c:v>
                </c:pt>
                <c:pt idx="6">
                  <c:v>477900</c:v>
                </c:pt>
                <c:pt idx="7">
                  <c:v>237883.33333333334</c:v>
                </c:pt>
                <c:pt idx="8">
                  <c:v>132043.08333333334</c:v>
                </c:pt>
                <c:pt idx="9">
                  <c:v>112650</c:v>
                </c:pt>
                <c:pt idx="10">
                  <c:v>339800</c:v>
                </c:pt>
                <c:pt idx="11">
                  <c:v>83563.333333333343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57-44AF-A28A-9FD08AF8A4CA}"/>
            </c:ext>
          </c:extLst>
        </c:ser>
        <c:ser>
          <c:idx val="3"/>
          <c:order val="3"/>
          <c:tx>
            <c:strRef>
              <c:f>'VTN to Terminals'!$AU$50</c:f>
              <c:strCache>
                <c:ptCount val="1"/>
                <c:pt idx="0">
                  <c:v>LTA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'VTN to Terminals'!$AV$46:$BG$46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Terminals'!$AV$50:$BG$50</c:f>
              <c:numCache>
                <c:formatCode>#,##0</c:formatCode>
                <c:ptCount val="12"/>
                <c:pt idx="0">
                  <c:v>49660.910069444442</c:v>
                </c:pt>
                <c:pt idx="1">
                  <c:v>61297.667694444441</c:v>
                </c:pt>
                <c:pt idx="2">
                  <c:v>123232.94970833334</c:v>
                </c:pt>
                <c:pt idx="3">
                  <c:v>121175.16798611113</c:v>
                </c:pt>
                <c:pt idx="4">
                  <c:v>123574.34256944449</c:v>
                </c:pt>
                <c:pt idx="5">
                  <c:v>151432.69993055557</c:v>
                </c:pt>
                <c:pt idx="6">
                  <c:v>140515.57822222225</c:v>
                </c:pt>
                <c:pt idx="7">
                  <c:v>94500.547430555569</c:v>
                </c:pt>
                <c:pt idx="8">
                  <c:v>67778.192847222221</c:v>
                </c:pt>
                <c:pt idx="9">
                  <c:v>65647.253402777787</c:v>
                </c:pt>
                <c:pt idx="10">
                  <c:v>85324.866236111106</c:v>
                </c:pt>
                <c:pt idx="11">
                  <c:v>58037.386597222234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57-44AF-A28A-9FD08AF8A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884927"/>
        <c:axId val="1923886367"/>
      </c:lineChart>
      <c:catAx>
        <c:axId val="19238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86367"/>
        <c:crosses val="autoZero"/>
        <c:auto val="1"/>
        <c:lblAlgn val="ctr"/>
        <c:lblOffset val="100"/>
        <c:noMultiLvlLbl val="0"/>
      </c:catAx>
      <c:valAx>
        <c:axId val="192388636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8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Vietnam coffee flow to netherlands</a:t>
            </a:r>
            <a:endParaRPr lang="en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'VTN to Terminals'!$C$54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'VTN to Terminals'!$D$46:$O$46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Terminals'!$D$54:$O$54</c:f>
              <c:numCache>
                <c:formatCode>#,##0</c:formatCode>
                <c:ptCount val="12"/>
                <c:pt idx="0">
                  <c:v>20079.62</c:v>
                </c:pt>
                <c:pt idx="1">
                  <c:v>27603.62</c:v>
                </c:pt>
                <c:pt idx="2">
                  <c:v>35494.25</c:v>
                </c:pt>
                <c:pt idx="3">
                  <c:v>60791.06</c:v>
                </c:pt>
                <c:pt idx="4">
                  <c:v>76983.316666666666</c:v>
                </c:pt>
                <c:pt idx="5">
                  <c:v>108667.99166666667</c:v>
                </c:pt>
                <c:pt idx="6">
                  <c:v>127436.1</c:v>
                </c:pt>
                <c:pt idx="7">
                  <c:v>140634.34</c:v>
                </c:pt>
                <c:pt idx="8">
                  <c:v>150685.51666666666</c:v>
                </c:pt>
                <c:pt idx="9">
                  <c:v>157593.02166666667</c:v>
                </c:pt>
                <c:pt idx="10">
                  <c:v>166107.20500000002</c:v>
                </c:pt>
                <c:pt idx="11">
                  <c:v>177793.78833333336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9F-4C4B-BF47-231E9D5BA817}"/>
            </c:ext>
          </c:extLst>
        </c:ser>
        <c:ser>
          <c:idx val="2"/>
          <c:order val="2"/>
          <c:tx>
            <c:strRef>
              <c:f>'VTN to Terminals'!$C$55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'VTN to Terminals'!$D$46:$O$46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Terminals'!$D$55:$O$55</c:f>
              <c:numCache>
                <c:formatCode>#,##0</c:formatCode>
                <c:ptCount val="12"/>
                <c:pt idx="0">
                  <c:v>6093.2666666666682</c:v>
                </c:pt>
                <c:pt idx="1">
                  <c:v>16386.700000000004</c:v>
                </c:pt>
                <c:pt idx="2">
                  <c:v>32053.450000000004</c:v>
                </c:pt>
                <c:pt idx="3">
                  <c:v>50877.383333333331</c:v>
                </c:pt>
                <c:pt idx="4">
                  <c:v>58276.35</c:v>
                </c:pt>
                <c:pt idx="5">
                  <c:v>78272.516666666663</c:v>
                </c:pt>
                <c:pt idx="6">
                  <c:v>97606.483333333337</c:v>
                </c:pt>
                <c:pt idx="7">
                  <c:v>108940.15000000001</c:v>
                </c:pt>
                <c:pt idx="8">
                  <c:v>117564.15000000001</c:v>
                </c:pt>
                <c:pt idx="9">
                  <c:v>128890.48333333334</c:v>
                </c:pt>
                <c:pt idx="10">
                  <c:v>146831.48333333334</c:v>
                </c:pt>
                <c:pt idx="11">
                  <c:v>166965.15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9F-4C4B-BF47-231E9D5BA817}"/>
            </c:ext>
          </c:extLst>
        </c:ser>
        <c:ser>
          <c:idx val="3"/>
          <c:order val="3"/>
          <c:tx>
            <c:strRef>
              <c:f>'VTN to Terminals'!$C$56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'VTN to Terminals'!$D$46:$O$46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Terminals'!$D$56:$O$56</c:f>
              <c:numCache>
                <c:formatCode>#,##0</c:formatCode>
                <c:ptCount val="12"/>
                <c:pt idx="0">
                  <c:v>11436.33333333333</c:v>
                </c:pt>
                <c:pt idx="1">
                  <c:v>30521.333333333328</c:v>
                </c:pt>
                <c:pt idx="2">
                  <c:v>46394.333333333328</c:v>
                </c:pt>
                <c:pt idx="3">
                  <c:v>62545.999999999993</c:v>
                </c:pt>
                <c:pt idx="4">
                  <c:v>119699.79999999999</c:v>
                </c:pt>
                <c:pt idx="5">
                  <c:v>208141.45000000007</c:v>
                </c:pt>
                <c:pt idx="6">
                  <c:v>420467.11666666676</c:v>
                </c:pt>
                <c:pt idx="7">
                  <c:v>451087.45000000007</c:v>
                </c:pt>
                <c:pt idx="8">
                  <c:v>478906.45000000007</c:v>
                </c:pt>
                <c:pt idx="9">
                  <c:v>510111.70466666674</c:v>
                </c:pt>
                <c:pt idx="10">
                  <c:v>531990.44066666672</c:v>
                </c:pt>
                <c:pt idx="11">
                  <c:v>533156.44066666672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9F-4C4B-BF47-231E9D5BA817}"/>
            </c:ext>
          </c:extLst>
        </c:ser>
        <c:ser>
          <c:idx val="4"/>
          <c:order val="4"/>
          <c:tx>
            <c:strRef>
              <c:f>'VTN to Terminals'!$C$57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'VTN to Terminals'!$D$46:$O$46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Terminals'!$D$57:$O$57</c:f>
              <c:numCache>
                <c:formatCode>#,##0</c:formatCode>
                <c:ptCount val="12"/>
                <c:pt idx="0">
                  <c:v>8070.7366666666685</c:v>
                </c:pt>
                <c:pt idx="1">
                  <c:v>34243.403333333343</c:v>
                </c:pt>
                <c:pt idx="2">
                  <c:v>105610.07</c:v>
                </c:pt>
                <c:pt idx="3">
                  <c:v>160810.07</c:v>
                </c:pt>
                <c:pt idx="4">
                  <c:v>229293.40333333335</c:v>
                </c:pt>
                <c:pt idx="5">
                  <c:v>321160.07</c:v>
                </c:pt>
                <c:pt idx="6">
                  <c:v>380843.40333333332</c:v>
                </c:pt>
                <c:pt idx="7">
                  <c:v>440093.40333333332</c:v>
                </c:pt>
                <c:pt idx="8">
                  <c:v>517660.07</c:v>
                </c:pt>
                <c:pt idx="9">
                  <c:v>580793.40333333332</c:v>
                </c:pt>
                <c:pt idx="10">
                  <c:v>616476.73666666669</c:v>
                </c:pt>
                <c:pt idx="11">
                  <c:v>632810.07000000007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9F-4C4B-BF47-231E9D5BA817}"/>
            </c:ext>
          </c:extLst>
        </c:ser>
        <c:ser>
          <c:idx val="5"/>
          <c:order val="5"/>
          <c:tx>
            <c:strRef>
              <c:f>'VTN to Terminals'!$C$58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'VTN to Terminals'!$D$46:$O$46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Terminals'!$D$58:$O$58</c:f>
              <c:numCache>
                <c:formatCode>#,##0</c:formatCode>
                <c:ptCount val="12"/>
                <c:pt idx="0">
                  <c:v>18183.333333333336</c:v>
                </c:pt>
                <c:pt idx="1">
                  <c:v>54750.000000000007</c:v>
                </c:pt>
                <c:pt idx="2">
                  <c:v>211800</c:v>
                </c:pt>
                <c:pt idx="3">
                  <c:v>348050</c:v>
                </c:pt>
                <c:pt idx="4">
                  <c:v>452533.33333333337</c:v>
                </c:pt>
                <c:pt idx="5">
                  <c:v>565100</c:v>
                </c:pt>
                <c:pt idx="6">
                  <c:v>653533.33333333337</c:v>
                </c:pt>
                <c:pt idx="7">
                  <c:v>716208.33333333337</c:v>
                </c:pt>
                <c:pt idx="8">
                  <c:v>753125</c:v>
                </c:pt>
                <c:pt idx="9">
                  <c:v>789175</c:v>
                </c:pt>
                <c:pt idx="10">
                  <c:v>808841.66666666663</c:v>
                </c:pt>
                <c:pt idx="11">
                  <c:v>828158.33333333326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9F-4C4B-BF47-231E9D5BA817}"/>
            </c:ext>
          </c:extLst>
        </c:ser>
        <c:ser>
          <c:idx val="6"/>
          <c:order val="6"/>
          <c:tx>
            <c:strRef>
              <c:f>'VTN to Terminals'!$C$59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'VTN to Terminals'!$D$46:$O$46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Terminals'!$D$59:$O$59</c:f>
              <c:numCache>
                <c:formatCode>#,##0</c:formatCode>
                <c:ptCount val="12"/>
                <c:pt idx="0">
                  <c:v>35783.333333333336</c:v>
                </c:pt>
                <c:pt idx="1">
                  <c:v>94983.333333333343</c:v>
                </c:pt>
                <c:pt idx="2">
                  <c:v>281483.33333333337</c:v>
                </c:pt>
                <c:pt idx="3">
                  <c:v>437650.00000000006</c:v>
                </c:pt>
                <c:pt idx="4">
                  <c:v>534733.33333333337</c:v>
                </c:pt>
                <c:pt idx="5">
                  <c:v>602283.33333333337</c:v>
                </c:pt>
                <c:pt idx="6">
                  <c:v>721950</c:v>
                </c:pt>
                <c:pt idx="7">
                  <c:v>822350</c:v>
                </c:pt>
                <c:pt idx="8">
                  <c:v>919066.66666666663</c:v>
                </c:pt>
                <c:pt idx="9">
                  <c:v>998150</c:v>
                </c:pt>
                <c:pt idx="10">
                  <c:v>1059600</c:v>
                </c:pt>
                <c:pt idx="11">
                  <c:v>1097550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9F-4C4B-BF47-231E9D5BA817}"/>
            </c:ext>
          </c:extLst>
        </c:ser>
        <c:ser>
          <c:idx val="7"/>
          <c:order val="7"/>
          <c:tx>
            <c:strRef>
              <c:f>'VTN to Terminals'!$C$60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'VTN to Terminals'!$D$46:$O$46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Terminals'!$D$60:$O$60</c:f>
              <c:numCache>
                <c:formatCode>#,##0</c:formatCode>
                <c:ptCount val="12"/>
                <c:pt idx="0">
                  <c:v>33916.666666666672</c:v>
                </c:pt>
                <c:pt idx="1">
                  <c:v>89766.666666666672</c:v>
                </c:pt>
                <c:pt idx="2">
                  <c:v>253983.33333333337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FF-4584-9918-D58200CD0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073919"/>
        <c:axId val="20260667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'VTN to Terminals'!$C$53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'VTN to Terminals'!$D$46:$O$46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'VTN to Terminals'!$D$53:$O$53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11708.724999999999</c:v>
                      </c:pt>
                      <c:pt idx="1">
                        <c:v>21006.902525000001</c:v>
                      </c:pt>
                      <c:pt idx="2">
                        <c:v>26676.902525000001</c:v>
                      </c:pt>
                      <c:pt idx="3">
                        <c:v>45954.832525000005</c:v>
                      </c:pt>
                      <c:pt idx="4">
                        <c:v>57247.932525000004</c:v>
                      </c:pt>
                      <c:pt idx="5">
                        <c:v>70276.08752500001</c:v>
                      </c:pt>
                      <c:pt idx="6">
                        <c:v>80667.552525000006</c:v>
                      </c:pt>
                      <c:pt idx="7">
                        <c:v>96483.071475000004</c:v>
                      </c:pt>
                      <c:pt idx="8">
                        <c:v>135372.52505</c:v>
                      </c:pt>
                      <c:pt idx="9">
                        <c:v>147127.95615000001</c:v>
                      </c:pt>
                      <c:pt idx="10">
                        <c:v>158354.90615000002</c:v>
                      </c:pt>
                      <c:pt idx="11">
                        <c:v>170257.75865000003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99F-4C4B-BF47-231E9D5BA817}"/>
                  </c:ext>
                </c:extLst>
              </c15:ser>
            </c15:filteredLineSeries>
          </c:ext>
        </c:extLst>
      </c:lineChart>
      <c:catAx>
        <c:axId val="202607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66719"/>
        <c:crosses val="autoZero"/>
        <c:auto val="1"/>
        <c:lblAlgn val="ctr"/>
        <c:lblOffset val="100"/>
        <c:noMultiLvlLbl val="0"/>
      </c:catAx>
      <c:valAx>
        <c:axId val="202606671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7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flow to netherlands</a:t>
            </a:r>
            <a:endParaRPr lang="en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'VTN to Terminals'!$C$35</c:f>
              <c:strCache>
                <c:ptCount val="1"/>
                <c:pt idx="0">
                  <c:v>18/19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'VTN to Terminals'!$D$28:$O$28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Terminals'!$D$35:$O$35</c:f>
              <c:numCache>
                <c:formatCode>#,##0</c:formatCode>
                <c:ptCount val="12"/>
                <c:pt idx="0">
                  <c:v>11708.724999999999</c:v>
                </c:pt>
                <c:pt idx="1">
                  <c:v>9298.1775250000028</c:v>
                </c:pt>
                <c:pt idx="2">
                  <c:v>5670.0000000000009</c:v>
                </c:pt>
                <c:pt idx="3">
                  <c:v>19277.93</c:v>
                </c:pt>
                <c:pt idx="4">
                  <c:v>11293.1</c:v>
                </c:pt>
                <c:pt idx="5">
                  <c:v>13028.155000000001</c:v>
                </c:pt>
                <c:pt idx="6">
                  <c:v>10391.465000000002</c:v>
                </c:pt>
                <c:pt idx="7">
                  <c:v>15815.518949999998</c:v>
                </c:pt>
                <c:pt idx="8">
                  <c:v>38889.453575</c:v>
                </c:pt>
                <c:pt idx="9">
                  <c:v>11755.431100000003</c:v>
                </c:pt>
                <c:pt idx="10">
                  <c:v>11226.950000000003</c:v>
                </c:pt>
                <c:pt idx="11">
                  <c:v>11902.852500000001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D5-40D2-9927-042FBF46E6E9}"/>
            </c:ext>
          </c:extLst>
        </c:ser>
        <c:ser>
          <c:idx val="1"/>
          <c:order val="1"/>
          <c:tx>
            <c:strRef>
              <c:f>'VTN to Terminals'!$C$36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'VTN to Terminals'!$D$28:$O$28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Terminals'!$D$36:$O$36</c:f>
              <c:numCache>
                <c:formatCode>#,##0</c:formatCode>
                <c:ptCount val="12"/>
                <c:pt idx="0">
                  <c:v>20079.62</c:v>
                </c:pt>
                <c:pt idx="1">
                  <c:v>7523.9999999999991</c:v>
                </c:pt>
                <c:pt idx="2">
                  <c:v>7890.6299999999992</c:v>
                </c:pt>
                <c:pt idx="3">
                  <c:v>25296.809999999998</c:v>
                </c:pt>
                <c:pt idx="4">
                  <c:v>16192.256666666666</c:v>
                </c:pt>
                <c:pt idx="5">
                  <c:v>31684.674999999996</c:v>
                </c:pt>
                <c:pt idx="6">
                  <c:v>18768.108333333334</c:v>
                </c:pt>
                <c:pt idx="7">
                  <c:v>13198.24</c:v>
                </c:pt>
                <c:pt idx="8">
                  <c:v>10051.176666666664</c:v>
                </c:pt>
                <c:pt idx="9">
                  <c:v>6907.5050000000019</c:v>
                </c:pt>
                <c:pt idx="10">
                  <c:v>8514.1833333333343</c:v>
                </c:pt>
                <c:pt idx="11">
                  <c:v>11686.583333333336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D5-40D2-9927-042FBF46E6E9}"/>
            </c:ext>
          </c:extLst>
        </c:ser>
        <c:ser>
          <c:idx val="2"/>
          <c:order val="2"/>
          <c:tx>
            <c:strRef>
              <c:f>'VTN to Terminals'!$C$37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'VTN to Terminals'!$D$28:$O$28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Terminals'!$D$37:$O$37</c:f>
              <c:numCache>
                <c:formatCode>#,##0</c:formatCode>
                <c:ptCount val="12"/>
                <c:pt idx="0">
                  <c:v>6093.2666666666682</c:v>
                </c:pt>
                <c:pt idx="1">
                  <c:v>10293.433333333334</c:v>
                </c:pt>
                <c:pt idx="2">
                  <c:v>15666.749999999998</c:v>
                </c:pt>
                <c:pt idx="3">
                  <c:v>18823.933333333331</c:v>
                </c:pt>
                <c:pt idx="4">
                  <c:v>7398.9666666666662</c:v>
                </c:pt>
                <c:pt idx="5">
                  <c:v>19996.166666666668</c:v>
                </c:pt>
                <c:pt idx="6">
                  <c:v>19333.966666666667</c:v>
                </c:pt>
                <c:pt idx="7">
                  <c:v>11333.666666666666</c:v>
                </c:pt>
                <c:pt idx="8">
                  <c:v>8624.0000000000018</c:v>
                </c:pt>
                <c:pt idx="9">
                  <c:v>11326.333333333332</c:v>
                </c:pt>
                <c:pt idx="10">
                  <c:v>17940.999999999996</c:v>
                </c:pt>
                <c:pt idx="11">
                  <c:v>20133.666666666664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D5-40D2-9927-042FBF46E6E9}"/>
            </c:ext>
          </c:extLst>
        </c:ser>
        <c:ser>
          <c:idx val="3"/>
          <c:order val="3"/>
          <c:tx>
            <c:strRef>
              <c:f>'VTN to Terminals'!$C$38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'VTN to Terminals'!$D$28:$O$28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Terminals'!$D$38:$O$38</c:f>
              <c:numCache>
                <c:formatCode>#,##0</c:formatCode>
                <c:ptCount val="12"/>
                <c:pt idx="0">
                  <c:v>11436.33333333333</c:v>
                </c:pt>
                <c:pt idx="1">
                  <c:v>19084.999999999996</c:v>
                </c:pt>
                <c:pt idx="2">
                  <c:v>15873</c:v>
                </c:pt>
                <c:pt idx="3">
                  <c:v>16151.666666666666</c:v>
                </c:pt>
                <c:pt idx="4">
                  <c:v>57153.799999999988</c:v>
                </c:pt>
                <c:pt idx="5">
                  <c:v>88441.650000000067</c:v>
                </c:pt>
                <c:pt idx="6">
                  <c:v>212325.66666666669</c:v>
                </c:pt>
                <c:pt idx="7">
                  <c:v>30620.333333333339</c:v>
                </c:pt>
                <c:pt idx="8">
                  <c:v>27819</c:v>
                </c:pt>
                <c:pt idx="9">
                  <c:v>31205.254666666671</c:v>
                </c:pt>
                <c:pt idx="10">
                  <c:v>21878.736000000008</c:v>
                </c:pt>
                <c:pt idx="11">
                  <c:v>1166.0000000000002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D5-40D2-9927-042FBF46E6E9}"/>
            </c:ext>
          </c:extLst>
        </c:ser>
        <c:ser>
          <c:idx val="4"/>
          <c:order val="4"/>
          <c:tx>
            <c:strRef>
              <c:f>'VTN to Terminals'!$C$39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'VTN to Terminals'!$D$28:$O$28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Terminals'!$D$39:$O$39</c:f>
              <c:numCache>
                <c:formatCode>#,##0</c:formatCode>
                <c:ptCount val="12"/>
                <c:pt idx="0">
                  <c:v>8070.7366666666685</c:v>
                </c:pt>
                <c:pt idx="1">
                  <c:v>26172.666666666672</c:v>
                </c:pt>
                <c:pt idx="2">
                  <c:v>71366.666666666672</c:v>
                </c:pt>
                <c:pt idx="3">
                  <c:v>55200</c:v>
                </c:pt>
                <c:pt idx="4">
                  <c:v>68483.333333333343</c:v>
                </c:pt>
                <c:pt idx="5">
                  <c:v>91866.666666666672</c:v>
                </c:pt>
                <c:pt idx="6">
                  <c:v>59683.333333333336</c:v>
                </c:pt>
                <c:pt idx="7">
                  <c:v>59250</c:v>
                </c:pt>
                <c:pt idx="8">
                  <c:v>77566.666666666672</c:v>
                </c:pt>
                <c:pt idx="9">
                  <c:v>63133.333333333336</c:v>
                </c:pt>
                <c:pt idx="10">
                  <c:v>35683.333333333336</c:v>
                </c:pt>
                <c:pt idx="11">
                  <c:v>16333.333333333334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D5-40D2-9927-042FBF46E6E9}"/>
            </c:ext>
          </c:extLst>
        </c:ser>
        <c:ser>
          <c:idx val="5"/>
          <c:order val="5"/>
          <c:tx>
            <c:strRef>
              <c:f>'VTN to Terminals'!$C$40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'VTN to Terminals'!$D$28:$O$28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Terminals'!$D$40:$O$40</c:f>
              <c:numCache>
                <c:formatCode>#,##0</c:formatCode>
                <c:ptCount val="12"/>
                <c:pt idx="0">
                  <c:v>18183.333333333336</c:v>
                </c:pt>
                <c:pt idx="1">
                  <c:v>36566.666666666672</c:v>
                </c:pt>
                <c:pt idx="2">
                  <c:v>157050</c:v>
                </c:pt>
                <c:pt idx="3">
                  <c:v>136250</c:v>
                </c:pt>
                <c:pt idx="4">
                  <c:v>104483.33333333334</c:v>
                </c:pt>
                <c:pt idx="5">
                  <c:v>112566.66666666667</c:v>
                </c:pt>
                <c:pt idx="6">
                  <c:v>88433.333333333343</c:v>
                </c:pt>
                <c:pt idx="7">
                  <c:v>62675</c:v>
                </c:pt>
                <c:pt idx="8">
                  <c:v>36916.666666666672</c:v>
                </c:pt>
                <c:pt idx="9">
                  <c:v>36050</c:v>
                </c:pt>
                <c:pt idx="10">
                  <c:v>19666.666666666668</c:v>
                </c:pt>
                <c:pt idx="11">
                  <c:v>19316.666666666668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D5-40D2-9927-042FBF46E6E9}"/>
            </c:ext>
          </c:extLst>
        </c:ser>
        <c:ser>
          <c:idx val="6"/>
          <c:order val="6"/>
          <c:tx>
            <c:strRef>
              <c:f>'VTN to Terminals'!$C$41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'VTN to Terminals'!$D$28:$O$28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Terminals'!$D$41:$O$41</c:f>
              <c:numCache>
                <c:formatCode>#,##0</c:formatCode>
                <c:ptCount val="12"/>
                <c:pt idx="0">
                  <c:v>35783.333333333336</c:v>
                </c:pt>
                <c:pt idx="1">
                  <c:v>59200</c:v>
                </c:pt>
                <c:pt idx="2">
                  <c:v>186500</c:v>
                </c:pt>
                <c:pt idx="3">
                  <c:v>156166.66666666669</c:v>
                </c:pt>
                <c:pt idx="4">
                  <c:v>97083.333333333343</c:v>
                </c:pt>
                <c:pt idx="5">
                  <c:v>67550</c:v>
                </c:pt>
                <c:pt idx="6">
                  <c:v>119666.66666666667</c:v>
                </c:pt>
                <c:pt idx="7">
                  <c:v>100400</c:v>
                </c:pt>
                <c:pt idx="8">
                  <c:v>96716.666666666672</c:v>
                </c:pt>
                <c:pt idx="9">
                  <c:v>79083.333333333343</c:v>
                </c:pt>
                <c:pt idx="10">
                  <c:v>61450</c:v>
                </c:pt>
                <c:pt idx="11">
                  <c:v>37950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D5-40D2-9927-042FBF46E6E9}"/>
            </c:ext>
          </c:extLst>
        </c:ser>
        <c:ser>
          <c:idx val="7"/>
          <c:order val="7"/>
          <c:tx>
            <c:strRef>
              <c:f>'VTN to Terminals'!$C$42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'VTN to Terminals'!$D$28:$O$28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Terminals'!$D$42:$O$42</c:f>
              <c:numCache>
                <c:formatCode>#,##0</c:formatCode>
                <c:ptCount val="12"/>
                <c:pt idx="0">
                  <c:v>33916.666666666672</c:v>
                </c:pt>
                <c:pt idx="1">
                  <c:v>55850</c:v>
                </c:pt>
                <c:pt idx="2">
                  <c:v>164216.66666666669</c:v>
                </c:pt>
                <c:pt idx="3">
                  <c:v>159700</c:v>
                </c:pt>
                <c:pt idx="4">
                  <c:v>86666.666666666672</c:v>
                </c:pt>
                <c:pt idx="5">
                  <c:v>132966.66666666669</c:v>
                </c:pt>
                <c:pt idx="6">
                  <c:v>132933.33333333334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3-4B2F-8735-6FCC6F727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3885887"/>
        <c:axId val="1923902207"/>
      </c:lineChart>
      <c:catAx>
        <c:axId val="192388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902207"/>
        <c:crosses val="autoZero"/>
        <c:auto val="1"/>
        <c:lblAlgn val="ctr"/>
        <c:lblOffset val="100"/>
        <c:noMultiLvlLbl val="0"/>
      </c:catAx>
      <c:valAx>
        <c:axId val="192390220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8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Min/Max/Avg</a:t>
            </a:r>
            <a:r>
              <a:rPr lang="en-GB" baseline="0"/>
              <a:t> Vs Current</a:t>
            </a:r>
            <a:endParaRPr lang="en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'VTN to Terminals'!$Q$47</c:f>
              <c:strCache>
                <c:ptCount val="1"/>
                <c:pt idx="0">
                  <c:v>25/26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Terminals'!$R$46:$AC$46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Terminals'!$R$47:$AC$47</c:f>
              <c:numCache>
                <c:formatCode>#,##0</c:formatCode>
                <c:ptCount val="12"/>
                <c:pt idx="0">
                  <c:v>33916.666666666672</c:v>
                </c:pt>
                <c:pt idx="1">
                  <c:v>55850</c:v>
                </c:pt>
                <c:pt idx="2">
                  <c:v>164216.66666666669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0D-4A5F-A30D-624A21952881}"/>
            </c:ext>
          </c:extLst>
        </c:ser>
        <c:ser>
          <c:idx val="1"/>
          <c:order val="1"/>
          <c:tx>
            <c:strRef>
              <c:f>'VTN to Terminals'!$Q$48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Terminals'!$R$46:$AC$46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Terminals'!$R$48:$AC$48</c:f>
              <c:numCache>
                <c:formatCode>#,##0</c:formatCode>
                <c:ptCount val="12"/>
                <c:pt idx="0">
                  <c:v>6093.2666666666682</c:v>
                </c:pt>
                <c:pt idx="1">
                  <c:v>5670.0000000000009</c:v>
                </c:pt>
                <c:pt idx="2">
                  <c:v>5670.0000000000009</c:v>
                </c:pt>
                <c:pt idx="3">
                  <c:v>14061.666666666668</c:v>
                </c:pt>
                <c:pt idx="4">
                  <c:v>6901.3246750000017</c:v>
                </c:pt>
                <c:pt idx="5">
                  <c:v>13028.155000000001</c:v>
                </c:pt>
                <c:pt idx="6">
                  <c:v>10391.465000000002</c:v>
                </c:pt>
                <c:pt idx="7">
                  <c:v>11333.666666666666</c:v>
                </c:pt>
                <c:pt idx="8">
                  <c:v>5933.3333333333339</c:v>
                </c:pt>
                <c:pt idx="9">
                  <c:v>6907.5050000000019</c:v>
                </c:pt>
                <c:pt idx="10">
                  <c:v>8514.1833333333343</c:v>
                </c:pt>
                <c:pt idx="11">
                  <c:v>1166.0000000000002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0D-4A5F-A30D-624A21952881}"/>
            </c:ext>
          </c:extLst>
        </c:ser>
        <c:ser>
          <c:idx val="2"/>
          <c:order val="2"/>
          <c:tx>
            <c:strRef>
              <c:f>'VTN to Terminals'!$Q$49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Terminals'!$R$46:$AC$46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Terminals'!$R$49:$AC$49</c:f>
              <c:numCache>
                <c:formatCode>#,##0</c:formatCode>
                <c:ptCount val="12"/>
                <c:pt idx="0">
                  <c:v>35783.333333333336</c:v>
                </c:pt>
                <c:pt idx="1">
                  <c:v>59200</c:v>
                </c:pt>
                <c:pt idx="2">
                  <c:v>186500</c:v>
                </c:pt>
                <c:pt idx="3">
                  <c:v>156166.66666666669</c:v>
                </c:pt>
                <c:pt idx="4">
                  <c:v>104483.33333333334</c:v>
                </c:pt>
                <c:pt idx="5">
                  <c:v>112566.66666666667</c:v>
                </c:pt>
                <c:pt idx="6">
                  <c:v>212325.66666666669</c:v>
                </c:pt>
                <c:pt idx="7">
                  <c:v>100400</c:v>
                </c:pt>
                <c:pt idx="8">
                  <c:v>96716.666666666672</c:v>
                </c:pt>
                <c:pt idx="9">
                  <c:v>79083.333333333343</c:v>
                </c:pt>
                <c:pt idx="10">
                  <c:v>61450</c:v>
                </c:pt>
                <c:pt idx="11">
                  <c:v>37950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0D-4A5F-A30D-624A21952881}"/>
            </c:ext>
          </c:extLst>
        </c:ser>
        <c:ser>
          <c:idx val="3"/>
          <c:order val="3"/>
          <c:tx>
            <c:strRef>
              <c:f>'VTN to Terminals'!$Q$50</c:f>
              <c:strCache>
                <c:ptCount val="1"/>
                <c:pt idx="0">
                  <c:v>LTA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'VTN to Terminals'!$R$46:$AC$46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Terminals'!$R$50:$AC$50</c:f>
              <c:numCache>
                <c:formatCode>#,##0</c:formatCode>
                <c:ptCount val="12"/>
                <c:pt idx="0">
                  <c:v>17252.047200000001</c:v>
                </c:pt>
                <c:pt idx="1">
                  <c:v>20097.148127083336</c:v>
                </c:pt>
                <c:pt idx="2">
                  <c:v>47005.142777777779</c:v>
                </c:pt>
                <c:pt idx="3">
                  <c:v>42884.191527777773</c:v>
                </c:pt>
                <c:pt idx="4">
                  <c:v>35731.204000694444</c:v>
                </c:pt>
                <c:pt idx="5">
                  <c:v>43100.638819444452</c:v>
                </c:pt>
                <c:pt idx="6">
                  <c:v>51759.261283333326</c:v>
                </c:pt>
                <c:pt idx="7">
                  <c:v>32490.796579166668</c:v>
                </c:pt>
                <c:pt idx="8">
                  <c:v>34660.517797916669</c:v>
                </c:pt>
                <c:pt idx="9">
                  <c:v>27980.762425000004</c:v>
                </c:pt>
                <c:pt idx="10">
                  <c:v>21255.922444444444</c:v>
                </c:pt>
                <c:pt idx="11">
                  <c:v>16654.544413888889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0D-4A5F-A30D-624A21952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884927"/>
        <c:axId val="1923886367"/>
      </c:lineChart>
      <c:catAx>
        <c:axId val="19238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86367"/>
        <c:crosses val="autoZero"/>
        <c:auto val="1"/>
        <c:lblAlgn val="ctr"/>
        <c:lblOffset val="100"/>
        <c:noMultiLvlLbl val="0"/>
      </c:catAx>
      <c:valAx>
        <c:axId val="192388636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8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Vietnam flow to UK</a:t>
            </a:r>
            <a:endParaRPr lang="en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'VTN to Terminals'!$BL$56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'VTN to Terminals'!$BM$46:$BX$46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Terminals'!$BM$56:$BX$56</c:f>
              <c:numCache>
                <c:formatCode>#,##0</c:formatCode>
                <c:ptCount val="12"/>
                <c:pt idx="0">
                  <c:v>9401.3333333333339</c:v>
                </c:pt>
                <c:pt idx="1">
                  <c:v>23156.833333333336</c:v>
                </c:pt>
                <c:pt idx="2">
                  <c:v>59232.616666666661</c:v>
                </c:pt>
                <c:pt idx="3">
                  <c:v>120814.28333333333</c:v>
                </c:pt>
                <c:pt idx="4">
                  <c:v>256964.28333333333</c:v>
                </c:pt>
                <c:pt idx="5">
                  <c:v>378367.89166666672</c:v>
                </c:pt>
                <c:pt idx="6">
                  <c:v>411660.30833333341</c:v>
                </c:pt>
                <c:pt idx="7">
                  <c:v>473388.64166666672</c:v>
                </c:pt>
                <c:pt idx="8">
                  <c:v>496575.83683333342</c:v>
                </c:pt>
                <c:pt idx="9">
                  <c:v>508331.17016666674</c:v>
                </c:pt>
                <c:pt idx="10">
                  <c:v>519589.67016666674</c:v>
                </c:pt>
                <c:pt idx="11">
                  <c:v>536626.42616666679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0A-44FB-A0AB-E78670AF8A1F}"/>
            </c:ext>
          </c:extLst>
        </c:ser>
        <c:ser>
          <c:idx val="4"/>
          <c:order val="4"/>
          <c:tx>
            <c:strRef>
              <c:f>'VTN to Terminals'!$BL$57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'VTN to Terminals'!$BM$46:$BX$46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Terminals'!$BM$57:$BX$57</c:f>
              <c:numCache>
                <c:formatCode>#,##0</c:formatCode>
                <c:ptCount val="12"/>
                <c:pt idx="0">
                  <c:v>12085.333333333336</c:v>
                </c:pt>
                <c:pt idx="1">
                  <c:v>34261.150000000009</c:v>
                </c:pt>
                <c:pt idx="2">
                  <c:v>70161.150000000009</c:v>
                </c:pt>
                <c:pt idx="3">
                  <c:v>110461.15000000001</c:v>
                </c:pt>
                <c:pt idx="4">
                  <c:v>173127.81666666668</c:v>
                </c:pt>
                <c:pt idx="5">
                  <c:v>230611.15000000002</c:v>
                </c:pt>
                <c:pt idx="6">
                  <c:v>316827.81666666671</c:v>
                </c:pt>
                <c:pt idx="7">
                  <c:v>361794.4833333334</c:v>
                </c:pt>
                <c:pt idx="8">
                  <c:v>427444.4833333334</c:v>
                </c:pt>
                <c:pt idx="9">
                  <c:v>465611.15000000008</c:v>
                </c:pt>
                <c:pt idx="10">
                  <c:v>522594.4833333334</c:v>
                </c:pt>
                <c:pt idx="11">
                  <c:v>562677.81666666677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0A-44FB-A0AB-E78670AF8A1F}"/>
            </c:ext>
          </c:extLst>
        </c:ser>
        <c:ser>
          <c:idx val="5"/>
          <c:order val="5"/>
          <c:tx>
            <c:strRef>
              <c:f>'VTN to Terminals'!$BL$58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'VTN to Terminals'!$BM$46:$BX$46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Terminals'!$BM$58:$BX$58</c:f>
              <c:numCache>
                <c:formatCode>#,##0</c:formatCode>
                <c:ptCount val="12"/>
                <c:pt idx="0">
                  <c:v>21233.333333333336</c:v>
                </c:pt>
                <c:pt idx="1">
                  <c:v>47816.666666666672</c:v>
                </c:pt>
                <c:pt idx="2">
                  <c:v>103833.33333333334</c:v>
                </c:pt>
                <c:pt idx="3">
                  <c:v>169416.66666666669</c:v>
                </c:pt>
                <c:pt idx="4">
                  <c:v>219666.66666666669</c:v>
                </c:pt>
                <c:pt idx="5">
                  <c:v>267383.33333333337</c:v>
                </c:pt>
                <c:pt idx="6">
                  <c:v>313983.33333333337</c:v>
                </c:pt>
                <c:pt idx="7">
                  <c:v>355458.33333333337</c:v>
                </c:pt>
                <c:pt idx="8">
                  <c:v>391808.33333333337</c:v>
                </c:pt>
                <c:pt idx="9">
                  <c:v>421741.66666666669</c:v>
                </c:pt>
                <c:pt idx="10">
                  <c:v>455408.33333333337</c:v>
                </c:pt>
                <c:pt idx="11">
                  <c:v>493641.66666666669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0A-44FB-A0AB-E78670AF8A1F}"/>
            </c:ext>
          </c:extLst>
        </c:ser>
        <c:ser>
          <c:idx val="6"/>
          <c:order val="6"/>
          <c:tx>
            <c:strRef>
              <c:f>'VTN to Terminals'!$BL$59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'VTN to Terminals'!$BM$46:$BX$46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Terminals'!$BM$59:$BX$59</c:f>
              <c:numCache>
                <c:formatCode>#,##0</c:formatCode>
                <c:ptCount val="12"/>
                <c:pt idx="0">
                  <c:v>20583.333333333336</c:v>
                </c:pt>
                <c:pt idx="1">
                  <c:v>55666.666666666672</c:v>
                </c:pt>
                <c:pt idx="2">
                  <c:v>87300</c:v>
                </c:pt>
                <c:pt idx="3">
                  <c:v>140550</c:v>
                </c:pt>
                <c:pt idx="4">
                  <c:v>201116.66666666669</c:v>
                </c:pt>
                <c:pt idx="5">
                  <c:v>302466.66666666669</c:v>
                </c:pt>
                <c:pt idx="6">
                  <c:v>338550</c:v>
                </c:pt>
                <c:pt idx="7">
                  <c:v>380808.33333333331</c:v>
                </c:pt>
                <c:pt idx="8">
                  <c:v>429241.66666666663</c:v>
                </c:pt>
                <c:pt idx="9">
                  <c:v>469966.66666666663</c:v>
                </c:pt>
                <c:pt idx="10">
                  <c:v>502983.33333333331</c:v>
                </c:pt>
                <c:pt idx="11">
                  <c:v>541083.33333333326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0A-44FB-A0AB-E78670AF8A1F}"/>
            </c:ext>
          </c:extLst>
        </c:ser>
        <c:ser>
          <c:idx val="7"/>
          <c:order val="7"/>
          <c:tx>
            <c:strRef>
              <c:f>'VTN to Terminals'!$BL$60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'VTN to Terminals'!$BM$46:$BX$46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Terminals'!$BM$60:$BX$60</c:f>
              <c:numCache>
                <c:formatCode>#,##0</c:formatCode>
                <c:ptCount val="12"/>
                <c:pt idx="0">
                  <c:v>19833.333333333336</c:v>
                </c:pt>
                <c:pt idx="1">
                  <c:v>40000</c:v>
                </c:pt>
                <c:pt idx="2">
                  <c:v>86783.333333333343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B1-4C64-BF5F-95C7C9638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073919"/>
        <c:axId val="20260667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'VTN to Terminals'!$BL$53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'VTN to Terminals'!$BM$46:$BX$46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'VTN to Terminals'!$BM$53:$BX$53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50016.050000000017</c:v>
                      </c:pt>
                      <c:pt idx="1">
                        <c:v>114995.17750000001</c:v>
                      </c:pt>
                      <c:pt idx="2">
                        <c:v>153866.8075</c:v>
                      </c:pt>
                      <c:pt idx="3">
                        <c:v>243426.76749999999</c:v>
                      </c:pt>
                      <c:pt idx="4">
                        <c:v>283685.11499999999</c:v>
                      </c:pt>
                      <c:pt idx="5">
                        <c:v>336731.09749999997</c:v>
                      </c:pt>
                      <c:pt idx="6">
                        <c:v>367902.95499999996</c:v>
                      </c:pt>
                      <c:pt idx="7">
                        <c:v>411282.26999999996</c:v>
                      </c:pt>
                      <c:pt idx="8">
                        <c:v>461775.50999999995</c:v>
                      </c:pt>
                      <c:pt idx="9">
                        <c:v>515602.28999999992</c:v>
                      </c:pt>
                      <c:pt idx="10">
                        <c:v>556183.40749999997</c:v>
                      </c:pt>
                      <c:pt idx="11">
                        <c:v>590952.14500000002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A0A-44FB-A0AB-E78670AF8A1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Terminals'!$BL$54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Terminals'!$BM$46:$BX$46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Terminals'!$BM$54:$BX$54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52800.605000000003</c:v>
                      </c:pt>
                      <c:pt idx="1">
                        <c:v>97809.066666666651</c:v>
                      </c:pt>
                      <c:pt idx="2">
                        <c:v>147935.73666666663</c:v>
                      </c:pt>
                      <c:pt idx="3">
                        <c:v>175155.34666666662</c:v>
                      </c:pt>
                      <c:pt idx="4">
                        <c:v>239431.48533333329</c:v>
                      </c:pt>
                      <c:pt idx="5">
                        <c:v>274615.51699999993</c:v>
                      </c:pt>
                      <c:pt idx="6">
                        <c:v>306081.89699999994</c:v>
                      </c:pt>
                      <c:pt idx="7">
                        <c:v>330900.92199999996</c:v>
                      </c:pt>
                      <c:pt idx="8">
                        <c:v>368404.16433333326</c:v>
                      </c:pt>
                      <c:pt idx="9">
                        <c:v>404961.27099999995</c:v>
                      </c:pt>
                      <c:pt idx="10">
                        <c:v>418601.41766666662</c:v>
                      </c:pt>
                      <c:pt idx="11">
                        <c:v>444805.7533333333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A0A-44FB-A0AB-E78670AF8A1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Terminals'!$BL$55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Terminals'!$BM$46:$BX$46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Terminals'!$BM$55:$BX$55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4614.2937500000007</c:v>
                      </c:pt>
                      <c:pt idx="1">
                        <c:v>21470.431583333335</c:v>
                      </c:pt>
                      <c:pt idx="2">
                        <c:v>43356.63658333334</c:v>
                      </c:pt>
                      <c:pt idx="3">
                        <c:v>78121.091583333342</c:v>
                      </c:pt>
                      <c:pt idx="4">
                        <c:v>121681.09158333336</c:v>
                      </c:pt>
                      <c:pt idx="5">
                        <c:v>207518.39991666676</c:v>
                      </c:pt>
                      <c:pt idx="6">
                        <c:v>231190.39991666676</c:v>
                      </c:pt>
                      <c:pt idx="7">
                        <c:v>261447.73325000011</c:v>
                      </c:pt>
                      <c:pt idx="8">
                        <c:v>278087.06658333342</c:v>
                      </c:pt>
                      <c:pt idx="9">
                        <c:v>305304.73325000011</c:v>
                      </c:pt>
                      <c:pt idx="10">
                        <c:v>327183.73325000011</c:v>
                      </c:pt>
                      <c:pt idx="11">
                        <c:v>349611.26658333343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A0A-44FB-A0AB-E78670AF8A1F}"/>
                  </c:ext>
                </c:extLst>
              </c15:ser>
            </c15:filteredLineSeries>
          </c:ext>
        </c:extLst>
      </c:lineChart>
      <c:catAx>
        <c:axId val="202607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66719"/>
        <c:crosses val="autoZero"/>
        <c:auto val="1"/>
        <c:lblAlgn val="ctr"/>
        <c:lblOffset val="100"/>
        <c:noMultiLvlLbl val="0"/>
      </c:catAx>
      <c:valAx>
        <c:axId val="202606671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7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'VTN to Terminals'!$BZ$28</c:f>
              <c:strCache>
                <c:ptCount val="1"/>
                <c:pt idx="0">
                  <c:v>OND</c:v>
                </c:pt>
              </c:strCache>
            </c:strRef>
          </c:tx>
          <c:spPr>
            <a:ln w="2857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Terminals'!$BZ$29:$BZ$40</c:f>
              <c:strCache>
                <c:ptCount val="12"/>
                <c:pt idx="0">
                  <c:v>12/13</c:v>
                </c:pt>
                <c:pt idx="1">
                  <c:v>13/14</c:v>
                </c:pt>
                <c:pt idx="2">
                  <c:v>14/15</c:v>
                </c:pt>
                <c:pt idx="3">
                  <c:v>15/16</c:v>
                </c:pt>
                <c:pt idx="4">
                  <c:v>16/17</c:v>
                </c:pt>
                <c:pt idx="5">
                  <c:v>17/18</c:v>
                </c:pt>
                <c:pt idx="6">
                  <c:v>18/19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'VTN to Terminals'!$CA$29:$CA$40</c:f>
              <c:numCache>
                <c:formatCode>#,##0</c:formatCode>
                <c:ptCount val="12"/>
                <c:pt idx="0">
                  <c:v>119600</c:v>
                </c:pt>
                <c:pt idx="1">
                  <c:v>137516.66666666669</c:v>
                </c:pt>
                <c:pt idx="2">
                  <c:v>107100</c:v>
                </c:pt>
                <c:pt idx="3">
                  <c:v>103616.33333333337</c:v>
                </c:pt>
                <c:pt idx="4">
                  <c:v>79771.666666666672</c:v>
                </c:pt>
                <c:pt idx="5">
                  <c:v>89706.662500000006</c:v>
                </c:pt>
                <c:pt idx="6">
                  <c:v>153866.8075</c:v>
                </c:pt>
                <c:pt idx="7">
                  <c:v>147935.73666666663</c:v>
                </c:pt>
                <c:pt idx="8">
                  <c:v>43356.63658333334</c:v>
                </c:pt>
                <c:pt idx="9">
                  <c:v>59232.616666666661</c:v>
                </c:pt>
                <c:pt idx="10">
                  <c:v>70161.150000000009</c:v>
                </c:pt>
                <c:pt idx="11">
                  <c:v>103833.33333333334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0-48ED-A3FF-794C29010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1465759"/>
        <c:axId val="2041452799"/>
      </c:lineChart>
      <c:catAx>
        <c:axId val="204146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452799"/>
        <c:crosses val="autoZero"/>
        <c:auto val="1"/>
        <c:lblAlgn val="ctr"/>
        <c:lblOffset val="100"/>
        <c:noMultiLvlLbl val="0"/>
      </c:catAx>
      <c:valAx>
        <c:axId val="204145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46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flow to UK</a:t>
            </a:r>
            <a:endParaRPr lang="en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'VTN to Terminals'!$BL$35</c:f>
              <c:strCache>
                <c:ptCount val="1"/>
                <c:pt idx="0">
                  <c:v>18/19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'VTN to Terminals'!$BM$28:$BX$28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Terminals'!$BM$35:$BX$35</c:f>
              <c:numCache>
                <c:formatCode>#,##0</c:formatCode>
                <c:ptCount val="12"/>
                <c:pt idx="0">
                  <c:v>50016.050000000017</c:v>
                </c:pt>
                <c:pt idx="1">
                  <c:v>64979.127499999988</c:v>
                </c:pt>
                <c:pt idx="2">
                  <c:v>38871.629999999997</c:v>
                </c:pt>
                <c:pt idx="3">
                  <c:v>89559.959999999992</c:v>
                </c:pt>
                <c:pt idx="4">
                  <c:v>40258.347500000018</c:v>
                </c:pt>
                <c:pt idx="5">
                  <c:v>53045.982499999984</c:v>
                </c:pt>
                <c:pt idx="6">
                  <c:v>31171.857500000002</c:v>
                </c:pt>
                <c:pt idx="7">
                  <c:v>43379.314999999988</c:v>
                </c:pt>
                <c:pt idx="8">
                  <c:v>50493.239999999983</c:v>
                </c:pt>
                <c:pt idx="9">
                  <c:v>53826.779999999992</c:v>
                </c:pt>
                <c:pt idx="10">
                  <c:v>40581.1175</c:v>
                </c:pt>
                <c:pt idx="11">
                  <c:v>34768.737500000017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3-4388-854E-6599D97BB141}"/>
            </c:ext>
          </c:extLst>
        </c:ser>
        <c:ser>
          <c:idx val="1"/>
          <c:order val="1"/>
          <c:tx>
            <c:strRef>
              <c:f>'VTN to Terminals'!$BL$36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'VTN to Terminals'!$BM$28:$BX$28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Terminals'!$BM$36:$BX$36</c:f>
              <c:numCache>
                <c:formatCode>#,##0</c:formatCode>
                <c:ptCount val="12"/>
                <c:pt idx="0">
                  <c:v>52800.605000000003</c:v>
                </c:pt>
                <c:pt idx="1">
                  <c:v>45008.461666666655</c:v>
                </c:pt>
                <c:pt idx="2">
                  <c:v>50126.67</c:v>
                </c:pt>
                <c:pt idx="3">
                  <c:v>27219.609999999997</c:v>
                </c:pt>
                <c:pt idx="4">
                  <c:v>64276.138666666666</c:v>
                </c:pt>
                <c:pt idx="5">
                  <c:v>35184.031666666662</c:v>
                </c:pt>
                <c:pt idx="6">
                  <c:v>31466.38</c:v>
                </c:pt>
                <c:pt idx="7">
                  <c:v>24819.025000000001</c:v>
                </c:pt>
                <c:pt idx="8">
                  <c:v>37503.242333333328</c:v>
                </c:pt>
                <c:pt idx="9">
                  <c:v>36557.106666666659</c:v>
                </c:pt>
                <c:pt idx="10">
                  <c:v>13640.146666666667</c:v>
                </c:pt>
                <c:pt idx="11">
                  <c:v>26204.33566666667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43-4388-854E-6599D97BB141}"/>
            </c:ext>
          </c:extLst>
        </c:ser>
        <c:ser>
          <c:idx val="2"/>
          <c:order val="2"/>
          <c:tx>
            <c:strRef>
              <c:f>'VTN to Terminals'!$BL$37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'VTN to Terminals'!$BM$28:$BX$28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Terminals'!$BM$37:$BX$37</c:f>
              <c:numCache>
                <c:formatCode>#,##0</c:formatCode>
                <c:ptCount val="12"/>
                <c:pt idx="0">
                  <c:v>4614.2937500000007</c:v>
                </c:pt>
                <c:pt idx="1">
                  <c:v>16856.137833333334</c:v>
                </c:pt>
                <c:pt idx="2">
                  <c:v>21886.205000000005</c:v>
                </c:pt>
                <c:pt idx="3">
                  <c:v>34764.455000000002</c:v>
                </c:pt>
                <c:pt idx="4">
                  <c:v>43560.000000000007</c:v>
                </c:pt>
                <c:pt idx="5">
                  <c:v>85837.308333333407</c:v>
                </c:pt>
                <c:pt idx="6">
                  <c:v>23671.999999999996</c:v>
                </c:pt>
                <c:pt idx="7">
                  <c:v>30257.333333333328</c:v>
                </c:pt>
                <c:pt idx="8">
                  <c:v>16639.333333333336</c:v>
                </c:pt>
                <c:pt idx="9">
                  <c:v>27217.666666666664</c:v>
                </c:pt>
                <c:pt idx="10">
                  <c:v>21879.000000000004</c:v>
                </c:pt>
                <c:pt idx="11">
                  <c:v>22427.533333333333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43-4388-854E-6599D97BB141}"/>
            </c:ext>
          </c:extLst>
        </c:ser>
        <c:ser>
          <c:idx val="3"/>
          <c:order val="3"/>
          <c:tx>
            <c:strRef>
              <c:f>'VTN to Terminals'!$BL$38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'VTN to Terminals'!$BM$28:$BX$28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Terminals'!$BM$38:$BX$38</c:f>
              <c:numCache>
                <c:formatCode>#,##0</c:formatCode>
                <c:ptCount val="12"/>
                <c:pt idx="0">
                  <c:v>9401.3333333333339</c:v>
                </c:pt>
                <c:pt idx="1">
                  <c:v>13755.500000000002</c:v>
                </c:pt>
                <c:pt idx="2">
                  <c:v>36075.783333333326</c:v>
                </c:pt>
                <c:pt idx="3">
                  <c:v>61581.666666666672</c:v>
                </c:pt>
                <c:pt idx="4">
                  <c:v>136150</c:v>
                </c:pt>
                <c:pt idx="5">
                  <c:v>121403.6083333334</c:v>
                </c:pt>
                <c:pt idx="6">
                  <c:v>33292.416666666679</c:v>
                </c:pt>
                <c:pt idx="7">
                  <c:v>61728.333333333336</c:v>
                </c:pt>
                <c:pt idx="8">
                  <c:v>23187.195166666676</c:v>
                </c:pt>
                <c:pt idx="9">
                  <c:v>11755.333333333338</c:v>
                </c:pt>
                <c:pt idx="10">
                  <c:v>11258.500000000004</c:v>
                </c:pt>
                <c:pt idx="11">
                  <c:v>17036.756000000001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43-4388-854E-6599D97BB141}"/>
            </c:ext>
          </c:extLst>
        </c:ser>
        <c:ser>
          <c:idx val="4"/>
          <c:order val="4"/>
          <c:tx>
            <c:strRef>
              <c:f>'VTN to Terminals'!$BL$39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'VTN to Terminals'!$BM$28:$BX$28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Terminals'!$BM$39:$BX$39</c:f>
              <c:numCache>
                <c:formatCode>#,##0</c:formatCode>
                <c:ptCount val="12"/>
                <c:pt idx="0">
                  <c:v>12085.333333333336</c:v>
                </c:pt>
                <c:pt idx="1">
                  <c:v>22175.816666666673</c:v>
                </c:pt>
                <c:pt idx="2">
                  <c:v>35900</c:v>
                </c:pt>
                <c:pt idx="3">
                  <c:v>40300</c:v>
                </c:pt>
                <c:pt idx="4">
                  <c:v>62666.666666666672</c:v>
                </c:pt>
                <c:pt idx="5">
                  <c:v>57483.333333333336</c:v>
                </c:pt>
                <c:pt idx="6">
                  <c:v>86216.666666666672</c:v>
                </c:pt>
                <c:pt idx="7">
                  <c:v>44966.666666666672</c:v>
                </c:pt>
                <c:pt idx="8">
                  <c:v>65650</c:v>
                </c:pt>
                <c:pt idx="9">
                  <c:v>38166.666666666672</c:v>
                </c:pt>
                <c:pt idx="10">
                  <c:v>56983.333333333336</c:v>
                </c:pt>
                <c:pt idx="11">
                  <c:v>40083.333333333336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43-4388-854E-6599D97BB141}"/>
            </c:ext>
          </c:extLst>
        </c:ser>
        <c:ser>
          <c:idx val="5"/>
          <c:order val="5"/>
          <c:tx>
            <c:strRef>
              <c:f>'VTN to Terminals'!$BL$40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'VTN to Terminals'!$BM$28:$BX$28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Terminals'!$BM$40:$BX$40</c:f>
              <c:numCache>
                <c:formatCode>#,##0</c:formatCode>
                <c:ptCount val="12"/>
                <c:pt idx="0">
                  <c:v>21233.333333333336</c:v>
                </c:pt>
                <c:pt idx="1">
                  <c:v>26583.333333333336</c:v>
                </c:pt>
                <c:pt idx="2">
                  <c:v>56016.666666666672</c:v>
                </c:pt>
                <c:pt idx="3">
                  <c:v>65583.333333333343</c:v>
                </c:pt>
                <c:pt idx="4">
                  <c:v>50250</c:v>
                </c:pt>
                <c:pt idx="5">
                  <c:v>47716.666666666672</c:v>
                </c:pt>
                <c:pt idx="6">
                  <c:v>46600</c:v>
                </c:pt>
                <c:pt idx="7">
                  <c:v>41475</c:v>
                </c:pt>
                <c:pt idx="8">
                  <c:v>36350</c:v>
                </c:pt>
                <c:pt idx="9">
                  <c:v>29933.333333333336</c:v>
                </c:pt>
                <c:pt idx="10">
                  <c:v>33666.666666666672</c:v>
                </c:pt>
                <c:pt idx="11">
                  <c:v>38233.333333333336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43-4388-854E-6599D97BB141}"/>
            </c:ext>
          </c:extLst>
        </c:ser>
        <c:ser>
          <c:idx val="6"/>
          <c:order val="6"/>
          <c:tx>
            <c:strRef>
              <c:f>'VTN to Terminals'!$BL$41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'VTN to Terminals'!$BM$28:$BX$28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Terminals'!$BM$41:$BX$41</c:f>
              <c:numCache>
                <c:formatCode>#,##0</c:formatCode>
                <c:ptCount val="12"/>
                <c:pt idx="0">
                  <c:v>20583.333333333336</c:v>
                </c:pt>
                <c:pt idx="1">
                  <c:v>35083.333333333336</c:v>
                </c:pt>
                <c:pt idx="2">
                  <c:v>31633.333333333336</c:v>
                </c:pt>
                <c:pt idx="3">
                  <c:v>53250</c:v>
                </c:pt>
                <c:pt idx="4">
                  <c:v>60566.666666666672</c:v>
                </c:pt>
                <c:pt idx="5">
                  <c:v>101350</c:v>
                </c:pt>
                <c:pt idx="6">
                  <c:v>36083.333333333336</c:v>
                </c:pt>
                <c:pt idx="7">
                  <c:v>42258.333333333336</c:v>
                </c:pt>
                <c:pt idx="8">
                  <c:v>48433.333333333336</c:v>
                </c:pt>
                <c:pt idx="9">
                  <c:v>40725</c:v>
                </c:pt>
                <c:pt idx="10">
                  <c:v>33016.666666666672</c:v>
                </c:pt>
                <c:pt idx="11">
                  <c:v>38100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43-4388-854E-6599D97BB141}"/>
            </c:ext>
          </c:extLst>
        </c:ser>
        <c:ser>
          <c:idx val="7"/>
          <c:order val="7"/>
          <c:tx>
            <c:strRef>
              <c:f>'VTN to Terminals'!$BL$42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'VTN to Terminals'!$BM$28:$BX$28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Terminals'!$BM$42:$BX$42</c:f>
              <c:numCache>
                <c:formatCode>#,##0</c:formatCode>
                <c:ptCount val="12"/>
                <c:pt idx="0">
                  <c:v>19833.333333333336</c:v>
                </c:pt>
                <c:pt idx="1">
                  <c:v>20166.666666666668</c:v>
                </c:pt>
                <c:pt idx="2">
                  <c:v>46783.333333333336</c:v>
                </c:pt>
                <c:pt idx="3">
                  <c:v>97350</c:v>
                </c:pt>
                <c:pt idx="4">
                  <c:v>54950</c:v>
                </c:pt>
                <c:pt idx="5">
                  <c:v>78983.333333333343</c:v>
                </c:pt>
                <c:pt idx="6">
                  <c:v>56333.333333333336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2-4BF1-9E8A-E4AB70136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3885887"/>
        <c:axId val="1923902207"/>
      </c:lineChart>
      <c:catAx>
        <c:axId val="192388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902207"/>
        <c:crosses val="autoZero"/>
        <c:auto val="1"/>
        <c:lblAlgn val="ctr"/>
        <c:lblOffset val="100"/>
        <c:noMultiLvlLbl val="0"/>
      </c:catAx>
      <c:valAx>
        <c:axId val="192390220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8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Min/Max/Avg</a:t>
            </a:r>
            <a:r>
              <a:rPr lang="en-GB" baseline="0"/>
              <a:t> Vs Current</a:t>
            </a:r>
            <a:endParaRPr lang="en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'VTN to Terminals'!$BZ$47</c:f>
              <c:strCache>
                <c:ptCount val="1"/>
                <c:pt idx="0">
                  <c:v>25/26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Terminals'!$CA$46:$CL$46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Terminals'!$CA$47:$CL$47</c:f>
              <c:numCache>
                <c:formatCode>#,##0</c:formatCode>
                <c:ptCount val="12"/>
                <c:pt idx="0">
                  <c:v>19833.333333333336</c:v>
                </c:pt>
                <c:pt idx="1">
                  <c:v>20166.666666666668</c:v>
                </c:pt>
                <c:pt idx="2">
                  <c:v>46783.333333333336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E-492F-B71E-9FB5B5C84918}"/>
            </c:ext>
          </c:extLst>
        </c:ser>
        <c:ser>
          <c:idx val="1"/>
          <c:order val="1"/>
          <c:tx>
            <c:strRef>
              <c:f>'VTN to Terminals'!$BZ$48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Terminals'!$CA$46:$CL$46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Terminals'!$CA$48:$CL$48</c:f>
              <c:numCache>
                <c:formatCode>#,##0</c:formatCode>
                <c:ptCount val="12"/>
                <c:pt idx="0">
                  <c:v>4614.2937500000007</c:v>
                </c:pt>
                <c:pt idx="1">
                  <c:v>13755.500000000002</c:v>
                </c:pt>
                <c:pt idx="2">
                  <c:v>21886.205000000005</c:v>
                </c:pt>
                <c:pt idx="3">
                  <c:v>19377.5</c:v>
                </c:pt>
                <c:pt idx="4">
                  <c:v>34902.499999999993</c:v>
                </c:pt>
                <c:pt idx="5">
                  <c:v>35184.031666666662</c:v>
                </c:pt>
                <c:pt idx="6">
                  <c:v>23671.999999999996</c:v>
                </c:pt>
                <c:pt idx="7">
                  <c:v>24819.025000000001</c:v>
                </c:pt>
                <c:pt idx="8">
                  <c:v>16639.333333333336</c:v>
                </c:pt>
                <c:pt idx="9">
                  <c:v>11755.333333333338</c:v>
                </c:pt>
                <c:pt idx="10">
                  <c:v>11095.774999999998</c:v>
                </c:pt>
                <c:pt idx="11">
                  <c:v>17036.756000000001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5E-492F-B71E-9FB5B5C84918}"/>
            </c:ext>
          </c:extLst>
        </c:ser>
        <c:ser>
          <c:idx val="2"/>
          <c:order val="2"/>
          <c:tx>
            <c:strRef>
              <c:f>'VTN to Terminals'!$BZ$49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Terminals'!$CA$46:$CL$46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Terminals'!$CA$49:$CL$49</c:f>
              <c:numCache>
                <c:formatCode>#,##0</c:formatCode>
                <c:ptCount val="12"/>
                <c:pt idx="0">
                  <c:v>52800.605000000003</c:v>
                </c:pt>
                <c:pt idx="1">
                  <c:v>64979.127499999988</c:v>
                </c:pt>
                <c:pt idx="2">
                  <c:v>70700</c:v>
                </c:pt>
                <c:pt idx="3">
                  <c:v>89559.959999999992</c:v>
                </c:pt>
                <c:pt idx="4">
                  <c:v>136150</c:v>
                </c:pt>
                <c:pt idx="5">
                  <c:v>121403.6083333334</c:v>
                </c:pt>
                <c:pt idx="6">
                  <c:v>86216.666666666672</c:v>
                </c:pt>
                <c:pt idx="7">
                  <c:v>77000.000000000015</c:v>
                </c:pt>
                <c:pt idx="8">
                  <c:v>74690.000000000029</c:v>
                </c:pt>
                <c:pt idx="9">
                  <c:v>66166.666666666672</c:v>
                </c:pt>
                <c:pt idx="10">
                  <c:v>69960.000000000029</c:v>
                </c:pt>
                <c:pt idx="11">
                  <c:v>47407.499999999993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5E-492F-B71E-9FB5B5C84918}"/>
            </c:ext>
          </c:extLst>
        </c:ser>
        <c:ser>
          <c:idx val="3"/>
          <c:order val="3"/>
          <c:tx>
            <c:strRef>
              <c:f>'VTN to Terminals'!$BZ$50</c:f>
              <c:strCache>
                <c:ptCount val="1"/>
                <c:pt idx="0">
                  <c:v>LTA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'VTN to Terminals'!$CA$46:$CL$46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Terminals'!$CA$50:$CL$50</c:f>
              <c:numCache>
                <c:formatCode>#,##0</c:formatCode>
                <c:ptCount val="12"/>
                <c:pt idx="0">
                  <c:v>25881.952395833334</c:v>
                </c:pt>
                <c:pt idx="1">
                  <c:v>28273.143847222218</c:v>
                </c:pt>
                <c:pt idx="2">
                  <c:v>44461.371250000004</c:v>
                </c:pt>
                <c:pt idx="3">
                  <c:v>48680.626666666671</c:v>
                </c:pt>
                <c:pt idx="4">
                  <c:v>55542.597180555553</c:v>
                </c:pt>
                <c:pt idx="5">
                  <c:v>73313.009513888901</c:v>
                </c:pt>
                <c:pt idx="6">
                  <c:v>44487.852430555562</c:v>
                </c:pt>
                <c:pt idx="7">
                  <c:v>45848.938750000001</c:v>
                </c:pt>
                <c:pt idx="8">
                  <c:v>43584.038680555554</c:v>
                </c:pt>
                <c:pt idx="9">
                  <c:v>33994.603055555555</c:v>
                </c:pt>
                <c:pt idx="10">
                  <c:v>32735.137291666673</c:v>
                </c:pt>
                <c:pt idx="11">
                  <c:v>35500.606614583325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5E-492F-B71E-9FB5B5C84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884927"/>
        <c:axId val="1923886367"/>
      </c:lineChart>
      <c:catAx>
        <c:axId val="19238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86367"/>
        <c:crosses val="autoZero"/>
        <c:auto val="1"/>
        <c:lblAlgn val="ctr"/>
        <c:lblOffset val="100"/>
        <c:noMultiLvlLbl val="0"/>
      </c:catAx>
      <c:valAx>
        <c:axId val="192388636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8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'VTN to Terminals'!$Q$28</c:f>
          <c:strCache>
            <c:ptCount val="1"/>
            <c:pt idx="0">
              <c:v>OND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Terminals'!$Q$29:$Q$41</c:f>
              <c:strCache>
                <c:ptCount val="13"/>
                <c:pt idx="0">
                  <c:v>12/13</c:v>
                </c:pt>
                <c:pt idx="1">
                  <c:v>13/14</c:v>
                </c:pt>
                <c:pt idx="2">
                  <c:v>14/15</c:v>
                </c:pt>
                <c:pt idx="3">
                  <c:v>15/16</c:v>
                </c:pt>
                <c:pt idx="4">
                  <c:v>16/17</c:v>
                </c:pt>
                <c:pt idx="5">
                  <c:v>17/18</c:v>
                </c:pt>
                <c:pt idx="6">
                  <c:v>18/19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  <c:pt idx="12">
                  <c:v>24/25</c:v>
                </c:pt>
              </c:strCache>
            </c:strRef>
          </c:cat>
          <c:val>
            <c:numRef>
              <c:f>'VTN to Terminals'!$R$29:$R$41</c:f>
              <c:numCache>
                <c:formatCode>#,##0</c:formatCode>
                <c:ptCount val="13"/>
                <c:pt idx="0">
                  <c:v>106166.66666666669</c:v>
                </c:pt>
                <c:pt idx="1">
                  <c:v>55283.333333333336</c:v>
                </c:pt>
                <c:pt idx="2">
                  <c:v>42245</c:v>
                </c:pt>
                <c:pt idx="3">
                  <c:v>57365.000000000007</c:v>
                </c:pt>
                <c:pt idx="4">
                  <c:v>85253.333333333328</c:v>
                </c:pt>
                <c:pt idx="5">
                  <c:v>32593.0514</c:v>
                </c:pt>
                <c:pt idx="6">
                  <c:v>26676.902525000001</c:v>
                </c:pt>
                <c:pt idx="7">
                  <c:v>35494.25</c:v>
                </c:pt>
                <c:pt idx="8">
                  <c:v>32053.450000000004</c:v>
                </c:pt>
                <c:pt idx="9">
                  <c:v>46394.333333333328</c:v>
                </c:pt>
                <c:pt idx="10">
                  <c:v>105610.07</c:v>
                </c:pt>
                <c:pt idx="11">
                  <c:v>211800</c:v>
                </c:pt>
                <c:pt idx="12">
                  <c:v>281483.33333333337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B3-4C5C-AAC1-7532E2FE0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426032"/>
        <c:axId val="87453488"/>
      </c:lineChart>
      <c:catAx>
        <c:axId val="132642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53488"/>
        <c:crosses val="autoZero"/>
        <c:auto val="1"/>
        <c:lblAlgn val="ctr"/>
        <c:lblOffset val="100"/>
        <c:noMultiLvlLbl val="0"/>
      </c:catAx>
      <c:valAx>
        <c:axId val="8745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2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Min/Max/Avg</a:t>
            </a:r>
            <a:r>
              <a:rPr lang="en-GB" baseline="0"/>
              <a:t> Vs Current</a:t>
            </a:r>
            <a:endParaRPr lang="en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'VTN to Terminals'!$BZ$47</c:f>
              <c:strCache>
                <c:ptCount val="1"/>
                <c:pt idx="0">
                  <c:v>25/26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Terminals'!$DE$46:$DP$46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Terminals'!$DE$47:$DP$47</c:f>
              <c:numCache>
                <c:formatCode>#,##0</c:formatCode>
                <c:ptCount val="12"/>
                <c:pt idx="0">
                  <c:v>74300</c:v>
                </c:pt>
                <c:pt idx="1">
                  <c:v>120050</c:v>
                </c:pt>
                <c:pt idx="2">
                  <c:v>295650</c:v>
                </c:pt>
                <c:pt idx="3">
                  <c:v>407633.33333333337</c:v>
                </c:pt>
                <c:pt idx="4">
                  <c:v>250366.66666666669</c:v>
                </c:pt>
                <c:pt idx="5">
                  <c:v>388050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D-4BF3-8C5A-2B2D05CD9310}"/>
            </c:ext>
          </c:extLst>
        </c:ser>
        <c:ser>
          <c:idx val="1"/>
          <c:order val="1"/>
          <c:tx>
            <c:strRef>
              <c:f>'VTN to Terminals'!$BZ$48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Terminals'!$DE$46:$DP$46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Terminals'!$DE$48:$DP$48</c:f>
              <c:numCache>
                <c:formatCode>#,##0</c:formatCode>
                <c:ptCount val="12"/>
                <c:pt idx="0">
                  <c:v>63983.333333333336</c:v>
                </c:pt>
                <c:pt idx="1">
                  <c:v>68902.425166666668</c:v>
                </c:pt>
                <c:pt idx="2">
                  <c:v>85712.291500000007</c:v>
                </c:pt>
                <c:pt idx="3">
                  <c:v>94575.066666666666</c:v>
                </c:pt>
                <c:pt idx="4">
                  <c:v>108597.17</c:v>
                </c:pt>
                <c:pt idx="5">
                  <c:v>160755</c:v>
                </c:pt>
                <c:pt idx="6">
                  <c:v>95182.29</c:v>
                </c:pt>
                <c:pt idx="7">
                  <c:v>110337.50000000003</c:v>
                </c:pt>
                <c:pt idx="8">
                  <c:v>89155.88</c:v>
                </c:pt>
                <c:pt idx="9">
                  <c:v>99376.731666666688</c:v>
                </c:pt>
                <c:pt idx="10">
                  <c:v>89116.892333333366</c:v>
                </c:pt>
                <c:pt idx="11">
                  <c:v>74966.666666666672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DD-4BF3-8C5A-2B2D05CD9310}"/>
            </c:ext>
          </c:extLst>
        </c:ser>
        <c:ser>
          <c:idx val="2"/>
          <c:order val="2"/>
          <c:tx>
            <c:strRef>
              <c:f>'VTN to Terminals'!$BZ$49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Terminals'!$DE$46:$DP$46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Terminals'!$DE$49:$DP$49</c:f>
              <c:numCache>
                <c:formatCode>#,##0</c:formatCode>
                <c:ptCount val="12"/>
                <c:pt idx="0">
                  <c:v>320240</c:v>
                </c:pt>
                <c:pt idx="1">
                  <c:v>344275</c:v>
                </c:pt>
                <c:pt idx="2">
                  <c:v>433185.83333333326</c:v>
                </c:pt>
                <c:pt idx="3">
                  <c:v>454009.60000000003</c:v>
                </c:pt>
                <c:pt idx="4">
                  <c:v>354228.3000000001</c:v>
                </c:pt>
                <c:pt idx="5">
                  <c:v>636833.33333333349</c:v>
                </c:pt>
                <c:pt idx="6">
                  <c:v>604049.05000000005</c:v>
                </c:pt>
                <c:pt idx="7">
                  <c:v>295000</c:v>
                </c:pt>
                <c:pt idx="8">
                  <c:v>205916.66666666669</c:v>
                </c:pt>
                <c:pt idx="9">
                  <c:v>167350</c:v>
                </c:pt>
                <c:pt idx="10">
                  <c:v>393533.33333333337</c:v>
                </c:pt>
                <c:pt idx="11">
                  <c:v>146813.33333333334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DD-4BF3-8C5A-2B2D05CD9310}"/>
            </c:ext>
          </c:extLst>
        </c:ser>
        <c:ser>
          <c:idx val="3"/>
          <c:order val="3"/>
          <c:tx>
            <c:strRef>
              <c:f>'VTN to Terminals'!$BZ$50</c:f>
              <c:strCache>
                <c:ptCount val="1"/>
                <c:pt idx="0">
                  <c:v>LTA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Terminals'!$DE$46:$DP$46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Terminals'!$DE$50:$DP$50</c:f>
              <c:numCache>
                <c:formatCode>#,##0</c:formatCode>
                <c:ptCount val="12"/>
                <c:pt idx="0">
                  <c:v>92794.909665277766</c:v>
                </c:pt>
                <c:pt idx="1">
                  <c:v>109667.95966875002</c:v>
                </c:pt>
                <c:pt idx="2">
                  <c:v>214699.46373611115</c:v>
                </c:pt>
                <c:pt idx="3">
                  <c:v>212739.98618055557</c:v>
                </c:pt>
                <c:pt idx="4">
                  <c:v>214848.14375069443</c:v>
                </c:pt>
                <c:pt idx="5">
                  <c:v>267846.34826388891</c:v>
                </c:pt>
                <c:pt idx="6">
                  <c:v>236762.69193611116</c:v>
                </c:pt>
                <c:pt idx="7">
                  <c:v>172840.28275972223</c:v>
                </c:pt>
                <c:pt idx="8">
                  <c:v>146022.74932569449</c:v>
                </c:pt>
                <c:pt idx="9">
                  <c:v>127622.61888333333</c:v>
                </c:pt>
                <c:pt idx="10">
                  <c:v>139315.92597222221</c:v>
                </c:pt>
                <c:pt idx="11">
                  <c:v>110192.53762569446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DD-4BF3-8C5A-2B2D05CD9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884927"/>
        <c:axId val="1923886367"/>
      </c:lineChart>
      <c:catAx>
        <c:axId val="19238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86367"/>
        <c:crosses val="autoZero"/>
        <c:auto val="1"/>
        <c:lblAlgn val="ctr"/>
        <c:lblOffset val="100"/>
        <c:noMultiLvlLbl val="0"/>
      </c:catAx>
      <c:valAx>
        <c:axId val="192388636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8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'VTN to Terminals'!$DD$28</c:f>
          <c:strCache>
            <c:ptCount val="1"/>
            <c:pt idx="0">
              <c:v>Oct-Mar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Terminals'!$DD$28:$DD$41</c:f>
              <c:strCache>
                <c:ptCount val="14"/>
                <c:pt idx="0">
                  <c:v>Oct-Mar</c:v>
                </c:pt>
                <c:pt idx="1">
                  <c:v>12/13</c:v>
                </c:pt>
                <c:pt idx="2">
                  <c:v>13/14</c:v>
                </c:pt>
                <c:pt idx="3">
                  <c:v>14/15</c:v>
                </c:pt>
                <c:pt idx="4">
                  <c:v>15/16</c:v>
                </c:pt>
                <c:pt idx="5">
                  <c:v>16/17</c:v>
                </c:pt>
                <c:pt idx="6">
                  <c:v>17/18</c:v>
                </c:pt>
                <c:pt idx="7">
                  <c:v>18/19</c:v>
                </c:pt>
                <c:pt idx="8">
                  <c:v>19/20</c:v>
                </c:pt>
                <c:pt idx="9">
                  <c:v>20/21</c:v>
                </c:pt>
                <c:pt idx="10">
                  <c:v>21/22</c:v>
                </c:pt>
                <c:pt idx="11">
                  <c:v>22/23</c:v>
                </c:pt>
                <c:pt idx="12">
                  <c:v>23/24</c:v>
                </c:pt>
                <c:pt idx="13">
                  <c:v>24/25</c:v>
                </c:pt>
              </c:strCache>
            </c:strRef>
          </c:cat>
          <c:val>
            <c:numRef>
              <c:f>'VTN to Terminals'!$DE$28:$DE$41</c:f>
              <c:numCache>
                <c:formatCode>#,##0</c:formatCode>
                <c:ptCount val="14"/>
                <c:pt idx="1">
                  <c:v>1615600</c:v>
                </c:pt>
                <c:pt idx="2">
                  <c:v>1457793.3333333335</c:v>
                </c:pt>
                <c:pt idx="3">
                  <c:v>884030</c:v>
                </c:pt>
                <c:pt idx="4">
                  <c:v>852474.33333333349</c:v>
                </c:pt>
                <c:pt idx="5">
                  <c:v>1219229.9999999998</c:v>
                </c:pt>
                <c:pt idx="6">
                  <c:v>821534.07857499993</c:v>
                </c:pt>
                <c:pt idx="7">
                  <c:v>981778.60252499999</c:v>
                </c:pt>
                <c:pt idx="8">
                  <c:v>836065.54533333331</c:v>
                </c:pt>
                <c:pt idx="9">
                  <c:v>639504.26375000004</c:v>
                </c:pt>
                <c:pt idx="10">
                  <c:v>1678188.0250000006</c:v>
                </c:pt>
                <c:pt idx="11">
                  <c:v>1350780.22</c:v>
                </c:pt>
                <c:pt idx="12">
                  <c:v>1301400</c:v>
                </c:pt>
                <c:pt idx="13">
                  <c:v>1328383.3333333335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D-41A6-8219-64C478D16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8038624"/>
        <c:axId val="1018037664"/>
      </c:lineChart>
      <c:catAx>
        <c:axId val="101803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037664"/>
        <c:crosses val="autoZero"/>
        <c:auto val="1"/>
        <c:lblAlgn val="ctr"/>
        <c:lblOffset val="100"/>
        <c:noMultiLvlLbl val="0"/>
      </c:catAx>
      <c:valAx>
        <c:axId val="10180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03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8"/>
          <c:order val="8"/>
          <c:tx>
            <c:strRef>
              <c:f>'VTN to Terminals'!$CP$37</c:f>
              <c:strCache>
                <c:ptCount val="1"/>
                <c:pt idx="0">
                  <c:v>20/21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Terminals'!$CQ$28:$DB$28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Terminals'!$CQ$37:$DB$37</c:f>
              <c:numCache>
                <c:formatCode>#,##0</c:formatCode>
                <c:ptCount val="12"/>
                <c:pt idx="0">
                  <c:v>77352.068750000006</c:v>
                </c:pt>
                <c:pt idx="1">
                  <c:v>68902.425166666668</c:v>
                </c:pt>
                <c:pt idx="2">
                  <c:v>85712.291500000007</c:v>
                </c:pt>
                <c:pt idx="3">
                  <c:v>94575.066666666666</c:v>
                </c:pt>
                <c:pt idx="4">
                  <c:v>108597.17</c:v>
                </c:pt>
                <c:pt idx="5">
                  <c:v>204365.24166666679</c:v>
                </c:pt>
                <c:pt idx="6">
                  <c:v>122618.83333333331</c:v>
                </c:pt>
                <c:pt idx="7">
                  <c:v>137045.88333333336</c:v>
                </c:pt>
                <c:pt idx="8">
                  <c:v>89155.88</c:v>
                </c:pt>
                <c:pt idx="9">
                  <c:v>114398.90000000004</c:v>
                </c:pt>
                <c:pt idx="10">
                  <c:v>105884.90000000001</c:v>
                </c:pt>
                <c:pt idx="11">
                  <c:v>125122.94666666668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FB3-4620-A341-A0BA6B3A0D18}"/>
            </c:ext>
          </c:extLst>
        </c:ser>
        <c:ser>
          <c:idx val="9"/>
          <c:order val="9"/>
          <c:tx>
            <c:strRef>
              <c:f>'VTN to Terminals'!$CP$38</c:f>
              <c:strCache>
                <c:ptCount val="1"/>
                <c:pt idx="0">
                  <c:v>21/22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Terminals'!$CQ$28:$DB$28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Terminals'!$CQ$38:$DB$38</c:f>
              <c:numCache>
                <c:formatCode>#,##0</c:formatCode>
                <c:ptCount val="12"/>
                <c:pt idx="0">
                  <c:v>85243.950000000012</c:v>
                </c:pt>
                <c:pt idx="1">
                  <c:v>104892.88333333335</c:v>
                </c:pt>
                <c:pt idx="2">
                  <c:v>210290.30000000016</c:v>
                </c:pt>
                <c:pt idx="3">
                  <c:v>454009.60000000003</c:v>
                </c:pt>
                <c:pt idx="4">
                  <c:v>354228.3000000001</c:v>
                </c:pt>
                <c:pt idx="5">
                  <c:v>469522.99166666693</c:v>
                </c:pt>
                <c:pt idx="6">
                  <c:v>604049.05000000005</c:v>
                </c:pt>
                <c:pt idx="7">
                  <c:v>195706.31666666668</c:v>
                </c:pt>
                <c:pt idx="8">
                  <c:v>183049.27850000001</c:v>
                </c:pt>
                <c:pt idx="9">
                  <c:v>109746.17133333336</c:v>
                </c:pt>
                <c:pt idx="10">
                  <c:v>89955.90266666669</c:v>
                </c:pt>
                <c:pt idx="11">
                  <c:v>81037.689333333343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FB3-4620-A341-A0BA6B3A0D18}"/>
            </c:ext>
          </c:extLst>
        </c:ser>
        <c:ser>
          <c:idx val="10"/>
          <c:order val="10"/>
          <c:tx>
            <c:strRef>
              <c:f>'VTN to Terminals'!$CP$39</c:f>
              <c:strCache>
                <c:ptCount val="1"/>
                <c:pt idx="0">
                  <c:v>22/23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Terminals'!$CQ$28:$DB$28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Terminals'!$CQ$39:$DB$39</c:f>
              <c:numCache>
                <c:formatCode>#,##0</c:formatCode>
                <c:ptCount val="12"/>
                <c:pt idx="0">
                  <c:v>87985.736666666664</c:v>
                </c:pt>
                <c:pt idx="1">
                  <c:v>127027.81666666667</c:v>
                </c:pt>
                <c:pt idx="2">
                  <c:v>294366.66666666669</c:v>
                </c:pt>
                <c:pt idx="3">
                  <c:v>250200</c:v>
                </c:pt>
                <c:pt idx="4">
                  <c:v>324900</c:v>
                </c:pt>
                <c:pt idx="5">
                  <c:v>266300</c:v>
                </c:pt>
                <c:pt idx="6">
                  <c:v>232533.33333333334</c:v>
                </c:pt>
                <c:pt idx="7">
                  <c:v>237050</c:v>
                </c:pt>
                <c:pt idx="8">
                  <c:v>187916.66666666669</c:v>
                </c:pt>
                <c:pt idx="9">
                  <c:v>161683.33333333334</c:v>
                </c:pt>
                <c:pt idx="10">
                  <c:v>117833.33333333334</c:v>
                </c:pt>
                <c:pt idx="11">
                  <c:v>74966.666666666672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FB3-4620-A341-A0BA6B3A0D18}"/>
            </c:ext>
          </c:extLst>
        </c:ser>
        <c:ser>
          <c:idx val="11"/>
          <c:order val="11"/>
          <c:tx>
            <c:strRef>
              <c:f>'VTN to Terminals'!$CP$40</c:f>
              <c:strCache>
                <c:ptCount val="1"/>
                <c:pt idx="0">
                  <c:v>23/24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Terminals'!$CQ$28:$DB$28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Terminals'!$CQ$40:$DB$40</c:f>
              <c:numCache>
                <c:formatCode>#,##0</c:formatCode>
                <c:ptCount val="12"/>
                <c:pt idx="0">
                  <c:v>63983.333333333336</c:v>
                </c:pt>
                <c:pt idx="1">
                  <c:v>125316.66666666667</c:v>
                </c:pt>
                <c:pt idx="2">
                  <c:v>298300</c:v>
                </c:pt>
                <c:pt idx="3">
                  <c:v>300100</c:v>
                </c:pt>
                <c:pt idx="4">
                  <c:v>244750.00000000003</c:v>
                </c:pt>
                <c:pt idx="5">
                  <c:v>268950</c:v>
                </c:pt>
                <c:pt idx="6">
                  <c:v>196050</c:v>
                </c:pt>
                <c:pt idx="7">
                  <c:v>150900</c:v>
                </c:pt>
                <c:pt idx="8">
                  <c:v>105750.00000000001</c:v>
                </c:pt>
                <c:pt idx="9">
                  <c:v>108250</c:v>
                </c:pt>
                <c:pt idx="10">
                  <c:v>100183.33333333334</c:v>
                </c:pt>
                <c:pt idx="11">
                  <c:v>86283.333333333343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FB3-4620-A341-A0BA6B3A0D18}"/>
            </c:ext>
          </c:extLst>
        </c:ser>
        <c:ser>
          <c:idx val="12"/>
          <c:order val="12"/>
          <c:tx>
            <c:strRef>
              <c:f>'VTN to Terminals'!$CP$41</c:f>
              <c:strCache>
                <c:ptCount val="1"/>
                <c:pt idx="0">
                  <c:v>24/25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Terminals'!$CQ$28:$DB$28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Terminals'!$CQ$41:$DB$41</c:f>
              <c:numCache>
                <c:formatCode>#,##0</c:formatCode>
                <c:ptCount val="12"/>
                <c:pt idx="0">
                  <c:v>78533.333333333343</c:v>
                </c:pt>
                <c:pt idx="1">
                  <c:v>113916.66666666667</c:v>
                </c:pt>
                <c:pt idx="2">
                  <c:v>284400</c:v>
                </c:pt>
                <c:pt idx="3">
                  <c:v>260083.33333333337</c:v>
                </c:pt>
                <c:pt idx="4">
                  <c:v>304466.66666666674</c:v>
                </c:pt>
                <c:pt idx="5">
                  <c:v>286983.33333333337</c:v>
                </c:pt>
                <c:pt idx="6">
                  <c:v>249766.66666666669</c:v>
                </c:pt>
                <c:pt idx="7">
                  <c:v>244625</c:v>
                </c:pt>
                <c:pt idx="8">
                  <c:v>205916.66666666669</c:v>
                </c:pt>
                <c:pt idx="9">
                  <c:v>166083.33333333334</c:v>
                </c:pt>
                <c:pt idx="10">
                  <c:v>126250</c:v>
                </c:pt>
                <c:pt idx="11">
                  <c:v>136983.33333333334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FB3-4620-A341-A0BA6B3A0D18}"/>
            </c:ext>
          </c:extLst>
        </c:ser>
        <c:ser>
          <c:idx val="13"/>
          <c:order val="13"/>
          <c:tx>
            <c:strRef>
              <c:f>'VTN to Terminals'!$CP$42</c:f>
              <c:strCache>
                <c:ptCount val="1"/>
                <c:pt idx="0">
                  <c:v>25/26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Terminals'!$CQ$28:$DB$28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Terminals'!$CQ$42:$DB$42</c:f>
              <c:numCache>
                <c:formatCode>#,##0</c:formatCode>
                <c:ptCount val="12"/>
                <c:pt idx="0">
                  <c:v>74300</c:v>
                </c:pt>
                <c:pt idx="1">
                  <c:v>120050</c:v>
                </c:pt>
                <c:pt idx="2">
                  <c:v>295650</c:v>
                </c:pt>
                <c:pt idx="3">
                  <c:v>407633.33333333337</c:v>
                </c:pt>
                <c:pt idx="4">
                  <c:v>250366.66666666669</c:v>
                </c:pt>
                <c:pt idx="5">
                  <c:v>388050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FB3-4620-A341-A0BA6B3A0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075232"/>
        <c:axId val="8050627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'VTN to Terminals'!$CP$29</c15:sqref>
                        </c15:formulaRef>
                      </c:ext>
                    </c:extLst>
                    <c:strCache>
                      <c:ptCount val="1"/>
                      <c:pt idx="0">
                        <c:v>12/13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'VTN to Terminals'!$CQ$28:$DB$28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'VTN to Terminals'!$CQ$29:$DB$29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320240</c:v>
                      </c:pt>
                      <c:pt idx="1">
                        <c:v>344275</c:v>
                      </c:pt>
                      <c:pt idx="2">
                        <c:v>203208.33333333334</c:v>
                      </c:pt>
                      <c:pt idx="3">
                        <c:v>240216.66666666669</c:v>
                      </c:pt>
                      <c:pt idx="4">
                        <c:v>183493.33333333334</c:v>
                      </c:pt>
                      <c:pt idx="5">
                        <c:v>324166.66666666669</c:v>
                      </c:pt>
                      <c:pt idx="6">
                        <c:v>130316.66666666669</c:v>
                      </c:pt>
                      <c:pt idx="7">
                        <c:v>153513.33333333334</c:v>
                      </c:pt>
                      <c:pt idx="8">
                        <c:v>127136.66666666667</c:v>
                      </c:pt>
                      <c:pt idx="9">
                        <c:v>140116.66666666666</c:v>
                      </c:pt>
                      <c:pt idx="10">
                        <c:v>114043.33333333334</c:v>
                      </c:pt>
                      <c:pt idx="11">
                        <c:v>101300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FB3-4620-A341-A0BA6B3A0D1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Terminals'!$CP$30</c15:sqref>
                        </c15:formulaRef>
                      </c:ext>
                    </c:extLst>
                    <c:strCache>
                      <c:ptCount val="1"/>
                      <c:pt idx="0">
                        <c:v>13/14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Terminals'!$CQ$28:$DB$28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Terminals'!$CQ$30:$DB$30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85950</c:v>
                      </c:pt>
                      <c:pt idx="1">
                        <c:v>82666.666666666672</c:v>
                      </c:pt>
                      <c:pt idx="2">
                        <c:v>173076.66666666669</c:v>
                      </c:pt>
                      <c:pt idx="3">
                        <c:v>204933.33333333334</c:v>
                      </c:pt>
                      <c:pt idx="4">
                        <c:v>274333.33333333331</c:v>
                      </c:pt>
                      <c:pt idx="5">
                        <c:v>636833.33333333349</c:v>
                      </c:pt>
                      <c:pt idx="6">
                        <c:v>545916.66666666674</c:v>
                      </c:pt>
                      <c:pt idx="7">
                        <c:v>295000</c:v>
                      </c:pt>
                      <c:pt idx="8">
                        <c:v>182283.33333333334</c:v>
                      </c:pt>
                      <c:pt idx="9">
                        <c:v>167350</c:v>
                      </c:pt>
                      <c:pt idx="10">
                        <c:v>393533.33333333337</c:v>
                      </c:pt>
                      <c:pt idx="11">
                        <c:v>142063.33333333334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FB3-4620-A341-A0BA6B3A0D1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Terminals'!$CP$31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Terminals'!$CQ$28:$DB$28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Terminals'!$CQ$31:$DB$31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117215</c:v>
                      </c:pt>
                      <c:pt idx="1">
                        <c:v>97685.000000000029</c:v>
                      </c:pt>
                      <c:pt idx="2">
                        <c:v>212344.99999999997</c:v>
                      </c:pt>
                      <c:pt idx="3">
                        <c:v>158480.00000000003</c:v>
                      </c:pt>
                      <c:pt idx="4">
                        <c:v>137550</c:v>
                      </c:pt>
                      <c:pt idx="5">
                        <c:v>160755</c:v>
                      </c:pt>
                      <c:pt idx="6">
                        <c:v>132772.50000000003</c:v>
                      </c:pt>
                      <c:pt idx="7">
                        <c:v>110337.50000000003</c:v>
                      </c:pt>
                      <c:pt idx="8">
                        <c:v>105490.00000000001</c:v>
                      </c:pt>
                      <c:pt idx="9">
                        <c:v>109532.5</c:v>
                      </c:pt>
                      <c:pt idx="10">
                        <c:v>111457.50000000004</c:v>
                      </c:pt>
                      <c:pt idx="11">
                        <c:v>132772.5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FB3-4620-A341-A0BA6B3A0D1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Terminals'!$CP$32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Terminals'!$CQ$28:$DB$28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Terminals'!$CQ$32:$DB$32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121564.66666666669</c:v>
                      </c:pt>
                      <c:pt idx="1">
                        <c:v>117370.00000000003</c:v>
                      </c:pt>
                      <c:pt idx="2">
                        <c:v>161678.00000000003</c:v>
                      </c:pt>
                      <c:pt idx="3">
                        <c:v>119441.66666666667</c:v>
                      </c:pt>
                      <c:pt idx="4">
                        <c:v>142725.00000000003</c:v>
                      </c:pt>
                      <c:pt idx="5">
                        <c:v>189695.00000000003</c:v>
                      </c:pt>
                      <c:pt idx="6">
                        <c:v>182783.33333333334</c:v>
                      </c:pt>
                      <c:pt idx="7">
                        <c:v>158748.33333333334</c:v>
                      </c:pt>
                      <c:pt idx="8">
                        <c:v>185808.33333333337</c:v>
                      </c:pt>
                      <c:pt idx="9">
                        <c:v>110165.00000000003</c:v>
                      </c:pt>
                      <c:pt idx="10">
                        <c:v>150296.66666666672</c:v>
                      </c:pt>
                      <c:pt idx="11">
                        <c:v>146813.33333333334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FB3-4620-A341-A0BA6B3A0D1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Terminals'!$CP$33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Terminals'!$CQ$28:$DB$28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Terminals'!$CQ$33:$DB$33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109441.66666666666</c:v>
                      </c:pt>
                      <c:pt idx="1">
                        <c:v>167804.16666666663</c:v>
                      </c:pt>
                      <c:pt idx="2">
                        <c:v>433185.83333333326</c:v>
                      </c:pt>
                      <c:pt idx="3">
                        <c:v>129049.1666666667</c:v>
                      </c:pt>
                      <c:pt idx="4">
                        <c:v>214628.33333333328</c:v>
                      </c:pt>
                      <c:pt idx="5">
                        <c:v>165120.83333333334</c:v>
                      </c:pt>
                      <c:pt idx="6">
                        <c:v>133706.66666666666</c:v>
                      </c:pt>
                      <c:pt idx="7">
                        <c:v>126423.33333333334</c:v>
                      </c:pt>
                      <c:pt idx="8">
                        <c:v>111070.83333333331</c:v>
                      </c:pt>
                      <c:pt idx="9">
                        <c:v>112423.23333333334</c:v>
                      </c:pt>
                      <c:pt idx="10">
                        <c:v>130020.14999999997</c:v>
                      </c:pt>
                      <c:pt idx="11">
                        <c:v>95161.829166666663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FB3-4620-A341-A0BA6B3A0D1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Terminals'!$CP$34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Terminals'!$CQ$28:$DB$28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Terminals'!$CQ$34:$DB$34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64408.558900000004</c:v>
                      </c:pt>
                      <c:pt idx="1">
                        <c:v>70456.872500000012</c:v>
                      </c:pt>
                      <c:pt idx="2">
                        <c:v>129332.08749999998</c:v>
                      </c:pt>
                      <c:pt idx="3">
                        <c:v>191900.85249999998</c:v>
                      </c:pt>
                      <c:pt idx="4">
                        <c:v>152217.562175</c:v>
                      </c:pt>
                      <c:pt idx="5">
                        <c:v>213218.14500000005</c:v>
                      </c:pt>
                      <c:pt idx="6">
                        <c:v>125233.81289999998</c:v>
                      </c:pt>
                      <c:pt idx="7">
                        <c:v>171325.4025</c:v>
                      </c:pt>
                      <c:pt idx="8">
                        <c:v>135469.91500000001</c:v>
                      </c:pt>
                      <c:pt idx="9">
                        <c:v>136886.06750000003</c:v>
                      </c:pt>
                      <c:pt idx="10">
                        <c:v>132381.75999999998</c:v>
                      </c:pt>
                      <c:pt idx="11">
                        <c:v>93553.243174999981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FB3-4620-A341-A0BA6B3A0D1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Terminals'!$CP$35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Terminals'!$CQ$28:$DB$28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Terminals'!$CQ$35:$DB$35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104169.31000000003</c:v>
                      </c:pt>
                      <c:pt idx="1">
                        <c:v>148652.830025</c:v>
                      </c:pt>
                      <c:pt idx="2">
                        <c:v>162596.85750000001</c:v>
                      </c:pt>
                      <c:pt idx="3">
                        <c:v>258938.08500000005</c:v>
                      </c:pt>
                      <c:pt idx="4">
                        <c:v>127081.02750000003</c:v>
                      </c:pt>
                      <c:pt idx="5">
                        <c:v>180340.49249999996</c:v>
                      </c:pt>
                      <c:pt idx="6">
                        <c:v>95182.29</c:v>
                      </c:pt>
                      <c:pt idx="7">
                        <c:v>122838.76394999999</c:v>
                      </c:pt>
                      <c:pt idx="8">
                        <c:v>142849.09607499998</c:v>
                      </c:pt>
                      <c:pt idx="9">
                        <c:v>135576.15610000002</c:v>
                      </c:pt>
                      <c:pt idx="10">
                        <c:v>124877.34000000001</c:v>
                      </c:pt>
                      <c:pt idx="11">
                        <c:v>105549.65750000003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FB3-4620-A341-A0BA6B3A0D1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Terminals'!$CP$36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Terminals'!$CQ$28:$DB$28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Terminals'!$CQ$36:$DB$36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117691.29166666666</c:v>
                      </c:pt>
                      <c:pt idx="1">
                        <c:v>91323.521666666667</c:v>
                      </c:pt>
                      <c:pt idx="2">
                        <c:v>131109.86166666669</c:v>
                      </c:pt>
                      <c:pt idx="3">
                        <c:v>131168.73000000004</c:v>
                      </c:pt>
                      <c:pt idx="4">
                        <c:v>192700.33200000002</c:v>
                      </c:pt>
                      <c:pt idx="5">
                        <c:v>172071.80833333329</c:v>
                      </c:pt>
                      <c:pt idx="6">
                        <c:v>220539.15033333344</c:v>
                      </c:pt>
                      <c:pt idx="7">
                        <c:v>124082.86</c:v>
                      </c:pt>
                      <c:pt idx="8">
                        <c:v>117512.989</c:v>
                      </c:pt>
                      <c:pt idx="9">
                        <c:v>99376.731666666688</c:v>
                      </c:pt>
                      <c:pt idx="10">
                        <c:v>89116.892333333366</c:v>
                      </c:pt>
                      <c:pt idx="11">
                        <c:v>102002.58566666668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FB3-4620-A341-A0BA6B3A0D18}"/>
                  </c:ext>
                </c:extLst>
              </c15:ser>
            </c15:filteredLineSeries>
          </c:ext>
        </c:extLst>
      </c:lineChart>
      <c:catAx>
        <c:axId val="80507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062752"/>
        <c:crosses val="autoZero"/>
        <c:auto val="1"/>
        <c:lblAlgn val="ctr"/>
        <c:lblOffset val="100"/>
        <c:noMultiLvlLbl val="0"/>
      </c:catAx>
      <c:valAx>
        <c:axId val="80506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07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'VTN to Terminals'!$CP$53</c:f>
              <c:strCache>
                <c:ptCount val="1"/>
                <c:pt idx="0">
                  <c:v>18/19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Terminals'!$CQ$46:$DB$46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Terminals'!$CQ$53:$DB$53</c:f>
              <c:numCache>
                <c:formatCode>#,##0</c:formatCode>
                <c:ptCount val="12"/>
                <c:pt idx="0">
                  <c:v>104169.31000000003</c:v>
                </c:pt>
                <c:pt idx="1">
                  <c:v>252822.14002500003</c:v>
                </c:pt>
                <c:pt idx="2">
                  <c:v>415418.99752500001</c:v>
                </c:pt>
                <c:pt idx="3">
                  <c:v>674357.08252500009</c:v>
                </c:pt>
                <c:pt idx="4">
                  <c:v>801438.11002500006</c:v>
                </c:pt>
                <c:pt idx="5">
                  <c:v>981778.60252499999</c:v>
                </c:pt>
                <c:pt idx="6">
                  <c:v>1076960.892525</c:v>
                </c:pt>
                <c:pt idx="7">
                  <c:v>1199799.6564750001</c:v>
                </c:pt>
                <c:pt idx="8">
                  <c:v>1342648.7525500001</c:v>
                </c:pt>
                <c:pt idx="9">
                  <c:v>1478224.9086500001</c:v>
                </c:pt>
                <c:pt idx="10">
                  <c:v>1603102.2486500002</c:v>
                </c:pt>
                <c:pt idx="11">
                  <c:v>1708651.9061500002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EE-4FD6-AB48-C6CBDEEF0903}"/>
            </c:ext>
          </c:extLst>
        </c:ser>
        <c:ser>
          <c:idx val="7"/>
          <c:order val="7"/>
          <c:tx>
            <c:strRef>
              <c:f>'VTN to Terminals'!$CP$54</c:f>
              <c:strCache>
                <c:ptCount val="1"/>
                <c:pt idx="0">
                  <c:v>19/20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Terminals'!$CQ$46:$DB$46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Terminals'!$CQ$54:$DB$54</c:f>
              <c:numCache>
                <c:formatCode>#,##0</c:formatCode>
                <c:ptCount val="12"/>
                <c:pt idx="0">
                  <c:v>117691.29166666666</c:v>
                </c:pt>
                <c:pt idx="1">
                  <c:v>209014.81333333332</c:v>
                </c:pt>
                <c:pt idx="2">
                  <c:v>340124.67500000005</c:v>
                </c:pt>
                <c:pt idx="3">
                  <c:v>471293.40500000009</c:v>
                </c:pt>
                <c:pt idx="4">
                  <c:v>663993.73700000008</c:v>
                </c:pt>
                <c:pt idx="5">
                  <c:v>836065.54533333331</c:v>
                </c:pt>
                <c:pt idx="6">
                  <c:v>1056604.6956666668</c:v>
                </c:pt>
                <c:pt idx="7">
                  <c:v>1180687.5556666669</c:v>
                </c:pt>
                <c:pt idx="8">
                  <c:v>1298200.544666667</c:v>
                </c:pt>
                <c:pt idx="9">
                  <c:v>1397577.2763333337</c:v>
                </c:pt>
                <c:pt idx="10">
                  <c:v>1486694.1686666671</c:v>
                </c:pt>
                <c:pt idx="11">
                  <c:v>1588696.7543333338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8EE-4FD6-AB48-C6CBDEEF0903}"/>
            </c:ext>
          </c:extLst>
        </c:ser>
        <c:ser>
          <c:idx val="8"/>
          <c:order val="8"/>
          <c:tx>
            <c:strRef>
              <c:f>'VTN to Terminals'!$CP$55</c:f>
              <c:strCache>
                <c:ptCount val="1"/>
                <c:pt idx="0">
                  <c:v>20/21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Terminals'!$CQ$46:$DB$46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Terminals'!$CQ$55:$DB$55</c:f>
              <c:numCache>
                <c:formatCode>#,##0</c:formatCode>
                <c:ptCount val="12"/>
                <c:pt idx="0">
                  <c:v>77352.068750000006</c:v>
                </c:pt>
                <c:pt idx="1">
                  <c:v>146254.49391666666</c:v>
                </c:pt>
                <c:pt idx="2">
                  <c:v>231966.78541666665</c:v>
                </c:pt>
                <c:pt idx="3">
                  <c:v>326541.8520833333</c:v>
                </c:pt>
                <c:pt idx="4">
                  <c:v>435139.02208333329</c:v>
                </c:pt>
                <c:pt idx="5">
                  <c:v>639504.26375000004</c:v>
                </c:pt>
                <c:pt idx="6">
                  <c:v>762123.09708333341</c:v>
                </c:pt>
                <c:pt idx="7">
                  <c:v>899168.98041666672</c:v>
                </c:pt>
                <c:pt idx="8">
                  <c:v>988324.86041666672</c:v>
                </c:pt>
                <c:pt idx="9">
                  <c:v>1102723.7604166667</c:v>
                </c:pt>
                <c:pt idx="10">
                  <c:v>1208608.6604166667</c:v>
                </c:pt>
                <c:pt idx="11">
                  <c:v>1333731.6070833334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8EE-4FD6-AB48-C6CBDEEF0903}"/>
            </c:ext>
          </c:extLst>
        </c:ser>
        <c:ser>
          <c:idx val="9"/>
          <c:order val="9"/>
          <c:tx>
            <c:strRef>
              <c:f>'VTN to Terminals'!$CP$56</c:f>
              <c:strCache>
                <c:ptCount val="1"/>
                <c:pt idx="0">
                  <c:v>21/22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Terminals'!$CQ$46:$DB$46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Terminals'!$CQ$56:$DB$56</c:f>
              <c:numCache>
                <c:formatCode>#,##0</c:formatCode>
                <c:ptCount val="12"/>
                <c:pt idx="0">
                  <c:v>85243.950000000012</c:v>
                </c:pt>
                <c:pt idx="1">
                  <c:v>190136.83333333337</c:v>
                </c:pt>
                <c:pt idx="2">
                  <c:v>400427.13333333354</c:v>
                </c:pt>
                <c:pt idx="3">
                  <c:v>854436.73333333363</c:v>
                </c:pt>
                <c:pt idx="4">
                  <c:v>1208665.0333333337</c:v>
                </c:pt>
                <c:pt idx="5">
                  <c:v>1678188.0250000006</c:v>
                </c:pt>
                <c:pt idx="6">
                  <c:v>2282237.0750000007</c:v>
                </c:pt>
                <c:pt idx="7">
                  <c:v>2477943.3916666675</c:v>
                </c:pt>
                <c:pt idx="8">
                  <c:v>2660992.6701666676</c:v>
                </c:pt>
                <c:pt idx="9">
                  <c:v>2770738.841500001</c:v>
                </c:pt>
                <c:pt idx="10">
                  <c:v>2860694.7441666676</c:v>
                </c:pt>
                <c:pt idx="11">
                  <c:v>2941732.4335000007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8EE-4FD6-AB48-C6CBDEEF0903}"/>
            </c:ext>
          </c:extLst>
        </c:ser>
        <c:ser>
          <c:idx val="10"/>
          <c:order val="10"/>
          <c:tx>
            <c:strRef>
              <c:f>'VTN to Terminals'!$CP$57</c:f>
              <c:strCache>
                <c:ptCount val="1"/>
                <c:pt idx="0">
                  <c:v>22/23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Terminals'!$CQ$46:$DB$46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Terminals'!$CQ$57:$DB$57</c:f>
              <c:numCache>
                <c:formatCode>#,##0</c:formatCode>
                <c:ptCount val="12"/>
                <c:pt idx="0">
                  <c:v>87985.736666666664</c:v>
                </c:pt>
                <c:pt idx="1">
                  <c:v>215013.55333333334</c:v>
                </c:pt>
                <c:pt idx="2">
                  <c:v>509380.22000000003</c:v>
                </c:pt>
                <c:pt idx="3">
                  <c:v>759580.22</c:v>
                </c:pt>
                <c:pt idx="4">
                  <c:v>1084480.22</c:v>
                </c:pt>
                <c:pt idx="5">
                  <c:v>1350780.22</c:v>
                </c:pt>
                <c:pt idx="6">
                  <c:v>1583313.5533333332</c:v>
                </c:pt>
                <c:pt idx="7">
                  <c:v>1820363.5533333332</c:v>
                </c:pt>
                <c:pt idx="8">
                  <c:v>2008280.22</c:v>
                </c:pt>
                <c:pt idx="9">
                  <c:v>2169963.5533333332</c:v>
                </c:pt>
                <c:pt idx="10">
                  <c:v>2287796.8866666667</c:v>
                </c:pt>
                <c:pt idx="11">
                  <c:v>2362763.5533333332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8EE-4FD6-AB48-C6CBDEEF0903}"/>
            </c:ext>
          </c:extLst>
        </c:ser>
        <c:ser>
          <c:idx val="11"/>
          <c:order val="11"/>
          <c:tx>
            <c:strRef>
              <c:f>'VTN to Terminals'!$CP$58</c:f>
              <c:strCache>
                <c:ptCount val="1"/>
                <c:pt idx="0">
                  <c:v>23/24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Terminals'!$CQ$46:$DB$46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Terminals'!$CQ$58:$DB$58</c:f>
              <c:numCache>
                <c:formatCode>#,##0</c:formatCode>
                <c:ptCount val="12"/>
                <c:pt idx="0">
                  <c:v>63983.333333333336</c:v>
                </c:pt>
                <c:pt idx="1">
                  <c:v>189300</c:v>
                </c:pt>
                <c:pt idx="2">
                  <c:v>487600</c:v>
                </c:pt>
                <c:pt idx="3">
                  <c:v>787700</c:v>
                </c:pt>
                <c:pt idx="4">
                  <c:v>1032450</c:v>
                </c:pt>
                <c:pt idx="5">
                  <c:v>1301400</c:v>
                </c:pt>
                <c:pt idx="6">
                  <c:v>1497450</c:v>
                </c:pt>
                <c:pt idx="7">
                  <c:v>1648350</c:v>
                </c:pt>
                <c:pt idx="8">
                  <c:v>1754100</c:v>
                </c:pt>
                <c:pt idx="9">
                  <c:v>1862350</c:v>
                </c:pt>
                <c:pt idx="10">
                  <c:v>1962533.3333333333</c:v>
                </c:pt>
                <c:pt idx="11">
                  <c:v>2048816.6666666665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8EE-4FD6-AB48-C6CBDEEF0903}"/>
            </c:ext>
          </c:extLst>
        </c:ser>
        <c:ser>
          <c:idx val="12"/>
          <c:order val="12"/>
          <c:tx>
            <c:strRef>
              <c:f>'VTN to Terminals'!$CP$59</c:f>
              <c:strCache>
                <c:ptCount val="1"/>
                <c:pt idx="0">
                  <c:v>24/25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Terminals'!$CQ$46:$DB$46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Terminals'!$CQ$59:$DB$59</c:f>
              <c:numCache>
                <c:formatCode>#,##0</c:formatCode>
                <c:ptCount val="12"/>
                <c:pt idx="0">
                  <c:v>78533.333333333343</c:v>
                </c:pt>
                <c:pt idx="1">
                  <c:v>192450</c:v>
                </c:pt>
                <c:pt idx="2">
                  <c:v>476850</c:v>
                </c:pt>
                <c:pt idx="3">
                  <c:v>736933.33333333337</c:v>
                </c:pt>
                <c:pt idx="4">
                  <c:v>1041400.0000000001</c:v>
                </c:pt>
                <c:pt idx="5">
                  <c:v>1328383.3333333335</c:v>
                </c:pt>
                <c:pt idx="6">
                  <c:v>1578150.0000000002</c:v>
                </c:pt>
                <c:pt idx="7">
                  <c:v>1822775.0000000002</c:v>
                </c:pt>
                <c:pt idx="8">
                  <c:v>2028691.666666667</c:v>
                </c:pt>
                <c:pt idx="9">
                  <c:v>2194775.0000000005</c:v>
                </c:pt>
                <c:pt idx="10">
                  <c:v>2321025.0000000005</c:v>
                </c:pt>
                <c:pt idx="11">
                  <c:v>2458008.333333334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8EE-4FD6-AB48-C6CBDEEF0903}"/>
            </c:ext>
          </c:extLst>
        </c:ser>
        <c:ser>
          <c:idx val="13"/>
          <c:order val="13"/>
          <c:tx>
            <c:strRef>
              <c:f>'VTN to Terminals'!$CP$60</c:f>
              <c:strCache>
                <c:ptCount val="1"/>
                <c:pt idx="0">
                  <c:v>25/26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'VTN to Terminals'!$CQ$46:$DB$46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'VTN to Terminals'!$CQ$60:$DB$60</c:f>
              <c:numCache>
                <c:formatCode>#,##0</c:formatCode>
                <c:ptCount val="12"/>
                <c:pt idx="0">
                  <c:v>74300</c:v>
                </c:pt>
                <c:pt idx="1">
                  <c:v>194350</c:v>
                </c:pt>
                <c:pt idx="2">
                  <c:v>490000</c:v>
                </c:pt>
                <c:pt idx="3">
                  <c:v>897633.33333333337</c:v>
                </c:pt>
                <c:pt idx="4">
                  <c:v>1148000</c:v>
                </c:pt>
                <c:pt idx="5">
                  <c:v>1536050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8EE-4FD6-AB48-C6CBDEEF0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8160159"/>
        <c:axId val="209815919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'VTN to Terminals'!$CP$47</c15:sqref>
                        </c15:formulaRef>
                      </c:ext>
                    </c:extLst>
                    <c:strCache>
                      <c:ptCount val="1"/>
                      <c:pt idx="0">
                        <c:v>12/13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'VTN to Terminals'!$CQ$46:$DB$46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'VTN to Terminals'!$CQ$47:$DB$47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320240</c:v>
                      </c:pt>
                      <c:pt idx="1">
                        <c:v>664515</c:v>
                      </c:pt>
                      <c:pt idx="2">
                        <c:v>867723.33333333337</c:v>
                      </c:pt>
                      <c:pt idx="3">
                        <c:v>1107940</c:v>
                      </c:pt>
                      <c:pt idx="4">
                        <c:v>1291433.3333333333</c:v>
                      </c:pt>
                      <c:pt idx="5">
                        <c:v>1615600</c:v>
                      </c:pt>
                      <c:pt idx="6">
                        <c:v>1745916.6666666667</c:v>
                      </c:pt>
                      <c:pt idx="7">
                        <c:v>1899430</c:v>
                      </c:pt>
                      <c:pt idx="8">
                        <c:v>2026566.6666666667</c:v>
                      </c:pt>
                      <c:pt idx="9">
                        <c:v>2166683.3333333335</c:v>
                      </c:pt>
                      <c:pt idx="10">
                        <c:v>2280726.666666667</c:v>
                      </c:pt>
                      <c:pt idx="11">
                        <c:v>2382026.666666667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8EE-4FD6-AB48-C6CBDEEF090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Terminals'!$CP$48</c15:sqref>
                        </c15:formulaRef>
                      </c:ext>
                    </c:extLst>
                    <c:strCache>
                      <c:ptCount val="1"/>
                      <c:pt idx="0">
                        <c:v>13/14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Terminals'!$CQ$46:$DB$46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Terminals'!$CQ$48:$DB$48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85950</c:v>
                      </c:pt>
                      <c:pt idx="1">
                        <c:v>168616.66666666669</c:v>
                      </c:pt>
                      <c:pt idx="2">
                        <c:v>341693.33333333337</c:v>
                      </c:pt>
                      <c:pt idx="3">
                        <c:v>546626.66666666674</c:v>
                      </c:pt>
                      <c:pt idx="4">
                        <c:v>820960</c:v>
                      </c:pt>
                      <c:pt idx="5">
                        <c:v>1457793.3333333335</c:v>
                      </c:pt>
                      <c:pt idx="6">
                        <c:v>2003710.0000000002</c:v>
                      </c:pt>
                      <c:pt idx="7">
                        <c:v>2298710</c:v>
                      </c:pt>
                      <c:pt idx="8">
                        <c:v>2480993.3333333335</c:v>
                      </c:pt>
                      <c:pt idx="9">
                        <c:v>2648343.3333333335</c:v>
                      </c:pt>
                      <c:pt idx="10">
                        <c:v>3041876.666666667</c:v>
                      </c:pt>
                      <c:pt idx="11">
                        <c:v>3183940.0000000005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8EE-4FD6-AB48-C6CBDEEF090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Terminals'!$CP$49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Terminals'!$CQ$46:$DB$46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Terminals'!$CQ$49:$DB$49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117215</c:v>
                      </c:pt>
                      <c:pt idx="1">
                        <c:v>214900.00000000003</c:v>
                      </c:pt>
                      <c:pt idx="2">
                        <c:v>427245</c:v>
                      </c:pt>
                      <c:pt idx="3">
                        <c:v>585725</c:v>
                      </c:pt>
                      <c:pt idx="4">
                        <c:v>723275</c:v>
                      </c:pt>
                      <c:pt idx="5">
                        <c:v>884030</c:v>
                      </c:pt>
                      <c:pt idx="6">
                        <c:v>1016802.5</c:v>
                      </c:pt>
                      <c:pt idx="7">
                        <c:v>1127140</c:v>
                      </c:pt>
                      <c:pt idx="8">
                        <c:v>1232630</c:v>
                      </c:pt>
                      <c:pt idx="9">
                        <c:v>1342162.5</c:v>
                      </c:pt>
                      <c:pt idx="10">
                        <c:v>1453620</c:v>
                      </c:pt>
                      <c:pt idx="11">
                        <c:v>1586392.5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8EE-4FD6-AB48-C6CBDEEF090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Terminals'!$CP$50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Terminals'!$CQ$46:$DB$46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Terminals'!$CQ$50:$DB$50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121564.66666666669</c:v>
                      </c:pt>
                      <c:pt idx="1">
                        <c:v>238934.66666666672</c:v>
                      </c:pt>
                      <c:pt idx="2">
                        <c:v>400612.66666666674</c:v>
                      </c:pt>
                      <c:pt idx="3">
                        <c:v>520054.33333333343</c:v>
                      </c:pt>
                      <c:pt idx="4">
                        <c:v>662779.33333333349</c:v>
                      </c:pt>
                      <c:pt idx="5">
                        <c:v>852474.33333333349</c:v>
                      </c:pt>
                      <c:pt idx="6">
                        <c:v>1035257.6666666669</c:v>
                      </c:pt>
                      <c:pt idx="7">
                        <c:v>1194006.0000000002</c:v>
                      </c:pt>
                      <c:pt idx="8">
                        <c:v>1379814.3333333335</c:v>
                      </c:pt>
                      <c:pt idx="9">
                        <c:v>1489979.3333333335</c:v>
                      </c:pt>
                      <c:pt idx="10">
                        <c:v>1640276.0000000002</c:v>
                      </c:pt>
                      <c:pt idx="11">
                        <c:v>1787089.3333333335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8EE-4FD6-AB48-C6CBDEEF090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Terminals'!$CP$51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Terminals'!$CQ$46:$DB$46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Terminals'!$CQ$51:$DB$51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109441.66666666666</c:v>
                      </c:pt>
                      <c:pt idx="1">
                        <c:v>277245.83333333326</c:v>
                      </c:pt>
                      <c:pt idx="2">
                        <c:v>710431.66666666651</c:v>
                      </c:pt>
                      <c:pt idx="3">
                        <c:v>839480.83333333326</c:v>
                      </c:pt>
                      <c:pt idx="4">
                        <c:v>1054109.1666666665</c:v>
                      </c:pt>
                      <c:pt idx="5">
                        <c:v>1219229.9999999998</c:v>
                      </c:pt>
                      <c:pt idx="6">
                        <c:v>1352936.6666666665</c:v>
                      </c:pt>
                      <c:pt idx="7">
                        <c:v>1479359.9999999998</c:v>
                      </c:pt>
                      <c:pt idx="8">
                        <c:v>1590430.833333333</c:v>
                      </c:pt>
                      <c:pt idx="9">
                        <c:v>1702854.0666666664</c:v>
                      </c:pt>
                      <c:pt idx="10">
                        <c:v>1832874.2166666663</c:v>
                      </c:pt>
                      <c:pt idx="11">
                        <c:v>1928036.0458333329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8EE-4FD6-AB48-C6CBDEEF090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Terminals'!$CP$52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Terminals'!$CQ$46:$DB$46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'VTN to Terminals'!$CQ$52:$DB$52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64408.558900000004</c:v>
                      </c:pt>
                      <c:pt idx="1">
                        <c:v>134865.4314</c:v>
                      </c:pt>
                      <c:pt idx="2">
                        <c:v>264197.51889999997</c:v>
                      </c:pt>
                      <c:pt idx="3">
                        <c:v>456098.37139999995</c:v>
                      </c:pt>
                      <c:pt idx="4">
                        <c:v>608315.93357499992</c:v>
                      </c:pt>
                      <c:pt idx="5">
                        <c:v>821534.07857499993</c:v>
                      </c:pt>
                      <c:pt idx="6">
                        <c:v>946767.89147499995</c:v>
                      </c:pt>
                      <c:pt idx="7">
                        <c:v>1118093.293975</c:v>
                      </c:pt>
                      <c:pt idx="8">
                        <c:v>1253563.2089750001</c:v>
                      </c:pt>
                      <c:pt idx="9">
                        <c:v>1390449.2764750002</c:v>
                      </c:pt>
                      <c:pt idx="10">
                        <c:v>1522831.0364750002</c:v>
                      </c:pt>
                      <c:pt idx="11">
                        <c:v>1616384.2796500002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8EE-4FD6-AB48-C6CBDEEF0903}"/>
                  </c:ext>
                </c:extLst>
              </c15:ser>
            </c15:filteredLineSeries>
          </c:ext>
        </c:extLst>
      </c:lineChart>
      <c:catAx>
        <c:axId val="209816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159199"/>
        <c:crosses val="autoZero"/>
        <c:auto val="1"/>
        <c:lblAlgn val="ctr"/>
        <c:lblOffset val="100"/>
        <c:noMultiLvlLbl val="0"/>
      </c:catAx>
      <c:valAx>
        <c:axId val="209815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16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'Brazil Robusta'!$C$5</c:f>
          <c:strCache>
            <c:ptCount val="1"/>
            <c:pt idx="0">
              <c:v>Brazil : Robusta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'Brazil Robusta'!$B$12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5">
                    <a:lumMod val="20000"/>
                    <a:lumOff val="80000"/>
                  </a:schemeClr>
                </a:solidFill>
                <a:round/>
              </a:ln>
              <a:effectLst/>
            </c:spPr>
          </c:marker>
          <c:cat>
            <c:strRef>
              <c:f>'Brazil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Robusta'!$C$12:$N$12</c:f>
              <c:numCache>
                <c:formatCode>#,##0</c:formatCode>
                <c:ptCount val="12"/>
                <c:pt idx="0">
                  <c:v>601684</c:v>
                </c:pt>
                <c:pt idx="1">
                  <c:v>461635</c:v>
                </c:pt>
                <c:pt idx="2">
                  <c:v>346970</c:v>
                </c:pt>
                <c:pt idx="3">
                  <c:v>359186</c:v>
                </c:pt>
                <c:pt idx="4">
                  <c:v>204055</c:v>
                </c:pt>
                <c:pt idx="5">
                  <c:v>345873</c:v>
                </c:pt>
                <c:pt idx="6">
                  <c:v>223828</c:v>
                </c:pt>
                <c:pt idx="7">
                  <c:v>218905</c:v>
                </c:pt>
                <c:pt idx="8">
                  <c:v>253550</c:v>
                </c:pt>
                <c:pt idx="9">
                  <c:v>316695</c:v>
                </c:pt>
                <c:pt idx="10">
                  <c:v>486571</c:v>
                </c:pt>
                <c:pt idx="11">
                  <c:v>638835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19-481D-805F-1D1477D3FD18}"/>
            </c:ext>
          </c:extLst>
        </c:ser>
        <c:ser>
          <c:idx val="6"/>
          <c:order val="6"/>
          <c:tx>
            <c:strRef>
              <c:f>'Brazil Robusta'!$B$13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'Brazil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Robusta'!$C$13:$N$13</c:f>
              <c:numCache>
                <c:formatCode>#,##0</c:formatCode>
                <c:ptCount val="12"/>
                <c:pt idx="0">
                  <c:v>448158</c:v>
                </c:pt>
                <c:pt idx="1">
                  <c:v>474827</c:v>
                </c:pt>
                <c:pt idx="2">
                  <c:v>676325</c:v>
                </c:pt>
                <c:pt idx="3">
                  <c:v>470493</c:v>
                </c:pt>
                <c:pt idx="4">
                  <c:v>334632</c:v>
                </c:pt>
                <c:pt idx="5">
                  <c:v>384365</c:v>
                </c:pt>
                <c:pt idx="6">
                  <c:v>242217</c:v>
                </c:pt>
                <c:pt idx="7">
                  <c:v>313689</c:v>
                </c:pt>
                <c:pt idx="8">
                  <c:v>348268</c:v>
                </c:pt>
                <c:pt idx="9">
                  <c:v>336280</c:v>
                </c:pt>
                <c:pt idx="10">
                  <c:v>303723</c:v>
                </c:pt>
                <c:pt idx="11">
                  <c:v>398004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19-481D-805F-1D1477D3FD18}"/>
            </c:ext>
          </c:extLst>
        </c:ser>
        <c:ser>
          <c:idx val="7"/>
          <c:order val="7"/>
          <c:tx>
            <c:strRef>
              <c:f>'Brazil Robusta'!$B$14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'Brazil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Robusta'!$C$14:$N$14</c:f>
              <c:numCache>
                <c:formatCode>#,##0</c:formatCode>
                <c:ptCount val="12"/>
                <c:pt idx="0">
                  <c:v>410766</c:v>
                </c:pt>
                <c:pt idx="1">
                  <c:v>345711</c:v>
                </c:pt>
                <c:pt idx="2">
                  <c:v>390102</c:v>
                </c:pt>
                <c:pt idx="3">
                  <c:v>301607</c:v>
                </c:pt>
                <c:pt idx="4">
                  <c:v>221353</c:v>
                </c:pt>
                <c:pt idx="5">
                  <c:v>131056</c:v>
                </c:pt>
                <c:pt idx="6">
                  <c:v>99847</c:v>
                </c:pt>
                <c:pt idx="7">
                  <c:v>143956</c:v>
                </c:pt>
                <c:pt idx="8">
                  <c:v>135661</c:v>
                </c:pt>
                <c:pt idx="9">
                  <c:v>142826</c:v>
                </c:pt>
                <c:pt idx="10">
                  <c:v>131486</c:v>
                </c:pt>
                <c:pt idx="11">
                  <c:v>143421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19-481D-805F-1D1477D3FD18}"/>
            </c:ext>
          </c:extLst>
        </c:ser>
        <c:ser>
          <c:idx val="8"/>
          <c:order val="8"/>
          <c:tx>
            <c:strRef>
              <c:f>'Brazil Robusta'!$B$15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'Brazil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Robusta'!$C$15:$N$15</c:f>
              <c:numCache>
                <c:formatCode>#,##0</c:formatCode>
                <c:ptCount val="12"/>
                <c:pt idx="0">
                  <c:v>113367</c:v>
                </c:pt>
                <c:pt idx="1">
                  <c:v>110021</c:v>
                </c:pt>
                <c:pt idx="2">
                  <c:v>61991</c:v>
                </c:pt>
                <c:pt idx="3">
                  <c:v>75853</c:v>
                </c:pt>
                <c:pt idx="4">
                  <c:v>87500</c:v>
                </c:pt>
                <c:pt idx="5">
                  <c:v>107267</c:v>
                </c:pt>
                <c:pt idx="6">
                  <c:v>124206</c:v>
                </c:pt>
                <c:pt idx="7">
                  <c:v>131689</c:v>
                </c:pt>
                <c:pt idx="8">
                  <c:v>230653</c:v>
                </c:pt>
                <c:pt idx="9">
                  <c:v>494527</c:v>
                </c:pt>
                <c:pt idx="10">
                  <c:v>703148</c:v>
                </c:pt>
                <c:pt idx="11">
                  <c:v>647088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19-481D-805F-1D1477D3FD18}"/>
            </c:ext>
          </c:extLst>
        </c:ser>
        <c:ser>
          <c:idx val="9"/>
          <c:order val="9"/>
          <c:tx>
            <c:strRef>
              <c:f>'Brazil Robusta'!$B$16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'Brazil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Robusta'!$C$16:$N$16</c:f>
              <c:numCache>
                <c:formatCode>#,##0</c:formatCode>
                <c:ptCount val="12"/>
                <c:pt idx="0">
                  <c:v>679949</c:v>
                </c:pt>
                <c:pt idx="1">
                  <c:v>898666</c:v>
                </c:pt>
                <c:pt idx="2">
                  <c:v>526974</c:v>
                </c:pt>
                <c:pt idx="3">
                  <c:v>459987</c:v>
                </c:pt>
                <c:pt idx="4">
                  <c:v>564930</c:v>
                </c:pt>
                <c:pt idx="5">
                  <c:v>862569</c:v>
                </c:pt>
                <c:pt idx="6">
                  <c:v>685508</c:v>
                </c:pt>
                <c:pt idx="7">
                  <c:v>879905</c:v>
                </c:pt>
                <c:pt idx="8">
                  <c:v>823727</c:v>
                </c:pt>
                <c:pt idx="9">
                  <c:v>902637</c:v>
                </c:pt>
                <c:pt idx="10">
                  <c:v>945047</c:v>
                </c:pt>
                <c:pt idx="11">
                  <c:v>930992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19-481D-805F-1D1477D3FD18}"/>
            </c:ext>
          </c:extLst>
        </c:ser>
        <c:ser>
          <c:idx val="10"/>
          <c:order val="10"/>
          <c:tx>
            <c:strRef>
              <c:f>'Brazil Robusta'!$B$17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'Brazil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Robusta'!$C$17:$N$17</c:f>
              <c:numCache>
                <c:formatCode>#,##0</c:formatCode>
                <c:ptCount val="12"/>
                <c:pt idx="0">
                  <c:v>922913</c:v>
                </c:pt>
                <c:pt idx="1">
                  <c:v>714206</c:v>
                </c:pt>
                <c:pt idx="2">
                  <c:v>800000</c:v>
                </c:pt>
                <c:pt idx="3">
                  <c:v>333801</c:v>
                </c:pt>
                <c:pt idx="4">
                  <c:v>230785</c:v>
                </c:pt>
                <c:pt idx="5">
                  <c:v>139002</c:v>
                </c:pt>
                <c:pt idx="6">
                  <c:v>104837</c:v>
                </c:pt>
                <c:pt idx="7">
                  <c:v>203686</c:v>
                </c:pt>
                <c:pt idx="8">
                  <c:v>477200</c:v>
                </c:pt>
                <c:pt idx="9">
                  <c:v>461625</c:v>
                </c:pt>
                <c:pt idx="10">
                  <c:v>621010</c:v>
                </c:pt>
                <c:pt idx="11">
                  <c:v>493018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719-481D-805F-1D1477D3FD18}"/>
            </c:ext>
          </c:extLst>
        </c:ser>
        <c:ser>
          <c:idx val="11"/>
          <c:order val="11"/>
          <c:tx>
            <c:strRef>
              <c:f>'Brazil Robusta'!$B$18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'Brazil Robusta'!$C$6:$N$6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Robusta'!$C$18:$N$18</c:f>
              <c:numCache>
                <c:formatCode>#,##0</c:formatCode>
                <c:ptCount val="12"/>
                <c:pt idx="0">
                  <c:v>448556</c:v>
                </c:pt>
                <c:pt idx="1">
                  <c:v>259323</c:v>
                </c:pt>
                <c:pt idx="2">
                  <c:v>222147</c:v>
                </c:pt>
                <c:pt idx="3">
                  <c:v>182225</c:v>
                </c:pt>
                <c:pt idx="4">
                  <c:v>230555</c:v>
                </c:pt>
                <c:pt idx="5">
                  <c:v>373858</c:v>
                </c:pt>
                <c:pt idx="6">
                  <c:v>501403</c:v>
                </c:pt>
                <c:pt idx="7">
                  <c:v>603995</c:v>
                </c:pt>
                <c:pt idx="8">
                  <c:v>643659</c:v>
                </c:pt>
                <c:pt idx="9">
                  <c:v>461625</c:v>
                </c:pt>
                <c:pt idx="10">
                  <c:v>962607</c:v>
                </c:pt>
                <c:pt idx="11">
                  <c:v>813904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6-4789-8E55-CCFA1C330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'Brazil Robusta'!$B$7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'Brazil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'Brazil Robusta'!$C$7:$N$7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428747</c:v>
                      </c:pt>
                      <c:pt idx="1">
                        <c:v>386086</c:v>
                      </c:pt>
                      <c:pt idx="2">
                        <c:v>249505</c:v>
                      </c:pt>
                      <c:pt idx="3">
                        <c:v>279538</c:v>
                      </c:pt>
                      <c:pt idx="4">
                        <c:v>450196</c:v>
                      </c:pt>
                      <c:pt idx="5">
                        <c:v>463415</c:v>
                      </c:pt>
                      <c:pt idx="6">
                        <c:v>344794</c:v>
                      </c:pt>
                      <c:pt idx="7">
                        <c:v>254532</c:v>
                      </c:pt>
                      <c:pt idx="8">
                        <c:v>348628</c:v>
                      </c:pt>
                      <c:pt idx="9">
                        <c:v>530599</c:v>
                      </c:pt>
                      <c:pt idx="10">
                        <c:v>413222</c:v>
                      </c:pt>
                      <c:pt idx="11">
                        <c:v>414995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719-481D-805F-1D1477D3FD1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Robusta'!$B$8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Robusta'!$C$8:$N$8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411461</c:v>
                      </c:pt>
                      <c:pt idx="1">
                        <c:v>396050</c:v>
                      </c:pt>
                      <c:pt idx="2">
                        <c:v>335911</c:v>
                      </c:pt>
                      <c:pt idx="3">
                        <c:v>359906</c:v>
                      </c:pt>
                      <c:pt idx="4">
                        <c:v>293859</c:v>
                      </c:pt>
                      <c:pt idx="5">
                        <c:v>109996</c:v>
                      </c:pt>
                      <c:pt idx="6">
                        <c:v>78044</c:v>
                      </c:pt>
                      <c:pt idx="7">
                        <c:v>70205</c:v>
                      </c:pt>
                      <c:pt idx="8">
                        <c:v>61531</c:v>
                      </c:pt>
                      <c:pt idx="9">
                        <c:v>59647</c:v>
                      </c:pt>
                      <c:pt idx="10">
                        <c:v>68141</c:v>
                      </c:pt>
                      <c:pt idx="11">
                        <c:v>83464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719-481D-805F-1D1477D3FD1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Robusta'!$B$9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Robusta'!$C$9:$N$9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38238</c:v>
                      </c:pt>
                      <c:pt idx="1">
                        <c:v>39647</c:v>
                      </c:pt>
                      <c:pt idx="2">
                        <c:v>30486</c:v>
                      </c:pt>
                      <c:pt idx="3">
                        <c:v>11483</c:v>
                      </c:pt>
                      <c:pt idx="4">
                        <c:v>28390</c:v>
                      </c:pt>
                      <c:pt idx="5">
                        <c:v>11037</c:v>
                      </c:pt>
                      <c:pt idx="6">
                        <c:v>22338</c:v>
                      </c:pt>
                      <c:pt idx="7">
                        <c:v>9862</c:v>
                      </c:pt>
                      <c:pt idx="8">
                        <c:v>20626</c:v>
                      </c:pt>
                      <c:pt idx="9">
                        <c:v>26611</c:v>
                      </c:pt>
                      <c:pt idx="10">
                        <c:v>19799</c:v>
                      </c:pt>
                      <c:pt idx="11">
                        <c:v>19908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719-481D-805F-1D1477D3FD1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Robusta'!$B$10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Robusta'!$C$10:$N$10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20272</c:v>
                      </c:pt>
                      <c:pt idx="1">
                        <c:v>29972</c:v>
                      </c:pt>
                      <c:pt idx="2">
                        <c:v>24475</c:v>
                      </c:pt>
                      <c:pt idx="3">
                        <c:v>19228</c:v>
                      </c:pt>
                      <c:pt idx="4">
                        <c:v>36491</c:v>
                      </c:pt>
                      <c:pt idx="5">
                        <c:v>46487</c:v>
                      </c:pt>
                      <c:pt idx="6">
                        <c:v>12760</c:v>
                      </c:pt>
                      <c:pt idx="7">
                        <c:v>27829</c:v>
                      </c:pt>
                      <c:pt idx="8">
                        <c:v>76542</c:v>
                      </c:pt>
                      <c:pt idx="9">
                        <c:v>58214</c:v>
                      </c:pt>
                      <c:pt idx="10">
                        <c:v>46621</c:v>
                      </c:pt>
                      <c:pt idx="11">
                        <c:v>283940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719-481D-805F-1D1477D3FD1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Robusta'!$B$11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Robusta'!$C$6:$N$6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Robusta'!$C$11:$N$11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369836</c:v>
                      </c:pt>
                      <c:pt idx="1">
                        <c:v>539627</c:v>
                      </c:pt>
                      <c:pt idx="2">
                        <c:v>292161</c:v>
                      </c:pt>
                      <c:pt idx="3">
                        <c:v>368991</c:v>
                      </c:pt>
                      <c:pt idx="4">
                        <c:v>235423</c:v>
                      </c:pt>
                      <c:pt idx="5">
                        <c:v>168196</c:v>
                      </c:pt>
                      <c:pt idx="6">
                        <c:v>150609</c:v>
                      </c:pt>
                      <c:pt idx="7">
                        <c:v>212003</c:v>
                      </c:pt>
                      <c:pt idx="8">
                        <c:v>190880</c:v>
                      </c:pt>
                      <c:pt idx="9">
                        <c:v>240371</c:v>
                      </c:pt>
                      <c:pt idx="10">
                        <c:v>462472</c:v>
                      </c:pt>
                      <c:pt idx="11">
                        <c:v>383915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719-481D-805F-1D1477D3FD18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8972795006720049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'Brazil Robusta'!$A$66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'Brazil Robusta'!$B$65:$M$65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Robusta'!$B$66:$M$66</c:f>
              <c:numCache>
                <c:formatCode>#,##0</c:formatCode>
                <c:ptCount val="12"/>
                <c:pt idx="0">
                  <c:v>448556</c:v>
                </c:pt>
                <c:pt idx="1">
                  <c:v>259323</c:v>
                </c:pt>
                <c:pt idx="2">
                  <c:v>222147</c:v>
                </c:pt>
                <c:pt idx="3">
                  <c:v>182225</c:v>
                </c:pt>
                <c:pt idx="4">
                  <c:v>230555</c:v>
                </c:pt>
                <c:pt idx="5">
                  <c:v>373858</c:v>
                </c:pt>
                <c:pt idx="6">
                  <c:v>501403</c:v>
                </c:pt>
                <c:pt idx="7">
                  <c:v>603995</c:v>
                </c:pt>
                <c:pt idx="8">
                  <c:v>643659</c:v>
                </c:pt>
                <c:pt idx="9">
                  <c:v>461625</c:v>
                </c:pt>
                <c:pt idx="10">
                  <c:v>962607</c:v>
                </c:pt>
                <c:pt idx="11">
                  <c:v>813904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6A-4A6D-A634-F80D89FFFA80}"/>
            </c:ext>
          </c:extLst>
        </c:ser>
        <c:ser>
          <c:idx val="1"/>
          <c:order val="1"/>
          <c:tx>
            <c:strRef>
              <c:f>'Brazil Robusta'!$A$67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'Brazil Robusta'!$B$65:$M$65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Robusta'!$B$67:$M$67</c:f>
              <c:numCache>
                <c:formatCode>#,##0</c:formatCode>
                <c:ptCount val="12"/>
                <c:pt idx="0">
                  <c:v>20272</c:v>
                </c:pt>
                <c:pt idx="1">
                  <c:v>29972</c:v>
                </c:pt>
                <c:pt idx="2">
                  <c:v>24475</c:v>
                </c:pt>
                <c:pt idx="3">
                  <c:v>11483</c:v>
                </c:pt>
                <c:pt idx="4">
                  <c:v>28390</c:v>
                </c:pt>
                <c:pt idx="5">
                  <c:v>11037</c:v>
                </c:pt>
                <c:pt idx="6">
                  <c:v>12760</c:v>
                </c:pt>
                <c:pt idx="7">
                  <c:v>9862</c:v>
                </c:pt>
                <c:pt idx="8">
                  <c:v>20626</c:v>
                </c:pt>
                <c:pt idx="9">
                  <c:v>26611</c:v>
                </c:pt>
                <c:pt idx="10">
                  <c:v>19799</c:v>
                </c:pt>
                <c:pt idx="11">
                  <c:v>19908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6A-4A6D-A634-F80D89FFFA80}"/>
            </c:ext>
          </c:extLst>
        </c:ser>
        <c:ser>
          <c:idx val="2"/>
          <c:order val="2"/>
          <c:tx>
            <c:strRef>
              <c:f>'Brazil Robusta'!$A$68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'Brazil Robusta'!$B$65:$M$65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Robusta'!$B$68:$M$68</c:f>
              <c:numCache>
                <c:formatCode>#,##0</c:formatCode>
                <c:ptCount val="12"/>
                <c:pt idx="0">
                  <c:v>922913</c:v>
                </c:pt>
                <c:pt idx="1">
                  <c:v>898666</c:v>
                </c:pt>
                <c:pt idx="2">
                  <c:v>800000</c:v>
                </c:pt>
                <c:pt idx="3">
                  <c:v>470493</c:v>
                </c:pt>
                <c:pt idx="4">
                  <c:v>564930</c:v>
                </c:pt>
                <c:pt idx="5">
                  <c:v>862569</c:v>
                </c:pt>
                <c:pt idx="6">
                  <c:v>685508</c:v>
                </c:pt>
                <c:pt idx="7">
                  <c:v>879905</c:v>
                </c:pt>
                <c:pt idx="8">
                  <c:v>823727</c:v>
                </c:pt>
                <c:pt idx="9">
                  <c:v>902637</c:v>
                </c:pt>
                <c:pt idx="10">
                  <c:v>945047</c:v>
                </c:pt>
                <c:pt idx="11">
                  <c:v>930992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6A-4A6D-A634-F80D89FFFA80}"/>
            </c:ext>
          </c:extLst>
        </c:ser>
        <c:ser>
          <c:idx val="3"/>
          <c:order val="3"/>
          <c:tx>
            <c:strRef>
              <c:f>'Brazil Robusta'!$A$69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'Brazil Robusta'!$B$65:$M$65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Robusta'!$B$69:$M$69</c:f>
              <c:numCache>
                <c:formatCode>#,##0</c:formatCode>
                <c:ptCount val="12"/>
                <c:pt idx="0">
                  <c:v>515030.6</c:v>
                </c:pt>
                <c:pt idx="1">
                  <c:v>508686.2</c:v>
                </c:pt>
                <c:pt idx="2">
                  <c:v>491078.40000000002</c:v>
                </c:pt>
                <c:pt idx="3">
                  <c:v>328348.2</c:v>
                </c:pt>
                <c:pt idx="4">
                  <c:v>287840</c:v>
                </c:pt>
                <c:pt idx="5">
                  <c:v>324851.8</c:v>
                </c:pt>
                <c:pt idx="6">
                  <c:v>251323</c:v>
                </c:pt>
                <c:pt idx="7">
                  <c:v>334585</c:v>
                </c:pt>
                <c:pt idx="8">
                  <c:v>403101.8</c:v>
                </c:pt>
                <c:pt idx="9">
                  <c:v>467579</c:v>
                </c:pt>
                <c:pt idx="10">
                  <c:v>540882.80000000005</c:v>
                </c:pt>
                <c:pt idx="11">
                  <c:v>522504.6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6A-4A6D-A634-F80D89FFF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'Brazil Robusta'!$I$84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'Brazil Robusta'!$H$85:$H$208</c:f>
              <c:strCache>
                <c:ptCount val="124"/>
                <c:pt idx="0">
                  <c:v>Sep'14/15</c:v>
                </c:pt>
                <c:pt idx="1">
                  <c:v>Oct'15/16</c:v>
                </c:pt>
                <c:pt idx="2">
                  <c:v>Nov'15/16</c:v>
                </c:pt>
                <c:pt idx="3">
                  <c:v>Dec'15/16</c:v>
                </c:pt>
                <c:pt idx="4">
                  <c:v>Jan'15/16</c:v>
                </c:pt>
                <c:pt idx="5">
                  <c:v>Feb'15/16</c:v>
                </c:pt>
                <c:pt idx="6">
                  <c:v>Mar'15/16</c:v>
                </c:pt>
                <c:pt idx="7">
                  <c:v>Apr'15/16</c:v>
                </c:pt>
                <c:pt idx="8">
                  <c:v>May'15/16</c:v>
                </c:pt>
                <c:pt idx="9">
                  <c:v>Jun'15/16</c:v>
                </c:pt>
                <c:pt idx="10">
                  <c:v>Jul'15/16</c:v>
                </c:pt>
                <c:pt idx="11">
                  <c:v>Aug'15/16</c:v>
                </c:pt>
                <c:pt idx="12">
                  <c:v>Sep'15/16</c:v>
                </c:pt>
                <c:pt idx="13">
                  <c:v>Oct'16/17</c:v>
                </c:pt>
                <c:pt idx="14">
                  <c:v>Nov'16/17</c:v>
                </c:pt>
                <c:pt idx="15">
                  <c:v>Dec'16/17</c:v>
                </c:pt>
                <c:pt idx="16">
                  <c:v>Jan'16/17</c:v>
                </c:pt>
                <c:pt idx="17">
                  <c:v>Feb'16/17</c:v>
                </c:pt>
                <c:pt idx="18">
                  <c:v>Mar'16/17</c:v>
                </c:pt>
                <c:pt idx="19">
                  <c:v>Apr'16/17</c:v>
                </c:pt>
                <c:pt idx="20">
                  <c:v>May'16/17</c:v>
                </c:pt>
                <c:pt idx="21">
                  <c:v>Jun'16/17</c:v>
                </c:pt>
                <c:pt idx="22">
                  <c:v>Jul'16/17</c:v>
                </c:pt>
                <c:pt idx="23">
                  <c:v>Aug'16/17</c:v>
                </c:pt>
                <c:pt idx="24">
                  <c:v>Sep'16/17</c:v>
                </c:pt>
                <c:pt idx="25">
                  <c:v>Oct'17/18</c:v>
                </c:pt>
                <c:pt idx="26">
                  <c:v>Nov'17/18</c:v>
                </c:pt>
                <c:pt idx="27">
                  <c:v>Dec'17/18</c:v>
                </c:pt>
                <c:pt idx="28">
                  <c:v>Jan'17/18</c:v>
                </c:pt>
                <c:pt idx="29">
                  <c:v>Feb'17/18</c:v>
                </c:pt>
                <c:pt idx="30">
                  <c:v>Mar'17/18</c:v>
                </c:pt>
                <c:pt idx="31">
                  <c:v>Apr'17/18</c:v>
                </c:pt>
                <c:pt idx="32">
                  <c:v>May'17/18</c:v>
                </c:pt>
                <c:pt idx="33">
                  <c:v>Jun'17/18</c:v>
                </c:pt>
                <c:pt idx="34">
                  <c:v>Jul'17/18</c:v>
                </c:pt>
                <c:pt idx="35">
                  <c:v>Aug'17/18</c:v>
                </c:pt>
                <c:pt idx="36">
                  <c:v>Sep'17/18</c:v>
                </c:pt>
                <c:pt idx="37">
                  <c:v>Oct'18/19</c:v>
                </c:pt>
                <c:pt idx="38">
                  <c:v>Nov'18/19</c:v>
                </c:pt>
                <c:pt idx="39">
                  <c:v>Dec'18/19</c:v>
                </c:pt>
                <c:pt idx="40">
                  <c:v>Jan'18/19</c:v>
                </c:pt>
                <c:pt idx="41">
                  <c:v>Feb'18/19</c:v>
                </c:pt>
                <c:pt idx="42">
                  <c:v>Mar'18/19</c:v>
                </c:pt>
                <c:pt idx="43">
                  <c:v>Apr'18/19</c:v>
                </c:pt>
                <c:pt idx="44">
                  <c:v>May'18/19</c:v>
                </c:pt>
                <c:pt idx="45">
                  <c:v>Jun'18/19</c:v>
                </c:pt>
                <c:pt idx="46">
                  <c:v>Jul'18/19</c:v>
                </c:pt>
                <c:pt idx="47">
                  <c:v>Aug'18/19</c:v>
                </c:pt>
                <c:pt idx="48">
                  <c:v>Sep'18/19</c:v>
                </c:pt>
                <c:pt idx="49">
                  <c:v>Oct'19/20</c:v>
                </c:pt>
                <c:pt idx="50">
                  <c:v>Nov'19/20</c:v>
                </c:pt>
                <c:pt idx="51">
                  <c:v>Dec'19/20</c:v>
                </c:pt>
                <c:pt idx="52">
                  <c:v>Jan'19/20</c:v>
                </c:pt>
                <c:pt idx="53">
                  <c:v>Feb'19/20</c:v>
                </c:pt>
                <c:pt idx="54">
                  <c:v>Mar'19/20</c:v>
                </c:pt>
                <c:pt idx="55">
                  <c:v>Apr'19/20</c:v>
                </c:pt>
                <c:pt idx="56">
                  <c:v>May'19/20</c:v>
                </c:pt>
                <c:pt idx="57">
                  <c:v>Jun'19/20</c:v>
                </c:pt>
                <c:pt idx="58">
                  <c:v>Jul'19/20</c:v>
                </c:pt>
                <c:pt idx="59">
                  <c:v>Aug'19/20</c:v>
                </c:pt>
                <c:pt idx="60">
                  <c:v>Sep'19/20</c:v>
                </c:pt>
                <c:pt idx="61">
                  <c:v>Oct'20/21</c:v>
                </c:pt>
                <c:pt idx="62">
                  <c:v>Nov'20/21</c:v>
                </c:pt>
                <c:pt idx="63">
                  <c:v>Dec'20/21</c:v>
                </c:pt>
                <c:pt idx="64">
                  <c:v>Jan'20/21</c:v>
                </c:pt>
                <c:pt idx="65">
                  <c:v>Feb'20/21</c:v>
                </c:pt>
                <c:pt idx="66">
                  <c:v>Mar'20/21</c:v>
                </c:pt>
                <c:pt idx="67">
                  <c:v>Apr'20/21</c:v>
                </c:pt>
                <c:pt idx="68">
                  <c:v>May'20/21</c:v>
                </c:pt>
                <c:pt idx="69">
                  <c:v>Jun'20/21</c:v>
                </c:pt>
                <c:pt idx="70">
                  <c:v>Jul'20/21</c:v>
                </c:pt>
                <c:pt idx="71">
                  <c:v>Aug'20/21</c:v>
                </c:pt>
                <c:pt idx="72">
                  <c:v>Sep'20/21</c:v>
                </c:pt>
                <c:pt idx="73">
                  <c:v>Oct'21/22</c:v>
                </c:pt>
                <c:pt idx="74">
                  <c:v>Nov'21/22</c:v>
                </c:pt>
                <c:pt idx="75">
                  <c:v>Dec'21/22</c:v>
                </c:pt>
                <c:pt idx="76">
                  <c:v>Jan'21/22</c:v>
                </c:pt>
                <c:pt idx="77">
                  <c:v>Feb'21/22</c:v>
                </c:pt>
                <c:pt idx="78">
                  <c:v>Mar'21/22</c:v>
                </c:pt>
                <c:pt idx="79">
                  <c:v>Apr'21/22</c:v>
                </c:pt>
                <c:pt idx="80">
                  <c:v>May'21/22</c:v>
                </c:pt>
                <c:pt idx="81">
                  <c:v>Jun'21/22</c:v>
                </c:pt>
                <c:pt idx="82">
                  <c:v>Jul'21/22</c:v>
                </c:pt>
                <c:pt idx="83">
                  <c:v>Aug'21/22</c:v>
                </c:pt>
                <c:pt idx="84">
                  <c:v>Sep'21/22</c:v>
                </c:pt>
                <c:pt idx="85">
                  <c:v>Oct'22/23</c:v>
                </c:pt>
                <c:pt idx="86">
                  <c:v>Nov'22/23</c:v>
                </c:pt>
                <c:pt idx="87">
                  <c:v>Dec'22/23</c:v>
                </c:pt>
                <c:pt idx="88">
                  <c:v>Jan'22/23</c:v>
                </c:pt>
                <c:pt idx="89">
                  <c:v>Feb'22/23</c:v>
                </c:pt>
                <c:pt idx="90">
                  <c:v>Mar'22/23</c:v>
                </c:pt>
                <c:pt idx="91">
                  <c:v>Apr'22/23</c:v>
                </c:pt>
                <c:pt idx="92">
                  <c:v>May'22/23</c:v>
                </c:pt>
                <c:pt idx="93">
                  <c:v>Jun'22/23</c:v>
                </c:pt>
                <c:pt idx="94">
                  <c:v>Jul'22/23</c:v>
                </c:pt>
                <c:pt idx="95">
                  <c:v>Aug'22/23</c:v>
                </c:pt>
                <c:pt idx="96">
                  <c:v>Sep'22/23</c:v>
                </c:pt>
                <c:pt idx="97">
                  <c:v>Oct'23/24</c:v>
                </c:pt>
                <c:pt idx="98">
                  <c:v>Nov'23/24</c:v>
                </c:pt>
                <c:pt idx="99">
                  <c:v>Dec'23/24</c:v>
                </c:pt>
                <c:pt idx="100">
                  <c:v>Jan'23/24</c:v>
                </c:pt>
                <c:pt idx="101">
                  <c:v>Feb'23/24</c:v>
                </c:pt>
                <c:pt idx="102">
                  <c:v>Mar'23/24</c:v>
                </c:pt>
                <c:pt idx="103">
                  <c:v>Apr'23/24</c:v>
                </c:pt>
                <c:pt idx="104">
                  <c:v>May'23/24</c:v>
                </c:pt>
                <c:pt idx="105">
                  <c:v>Jun'23/24</c:v>
                </c:pt>
                <c:pt idx="106">
                  <c:v>Jul'23/24</c:v>
                </c:pt>
                <c:pt idx="107">
                  <c:v>Aug'23/24</c:v>
                </c:pt>
                <c:pt idx="108">
                  <c:v>Sep'23/24</c:v>
                </c:pt>
                <c:pt idx="109">
                  <c:v>Oct'24/25</c:v>
                </c:pt>
                <c:pt idx="110">
                  <c:v>Nov'24/25</c:v>
                </c:pt>
                <c:pt idx="111">
                  <c:v>Dec'24/25</c:v>
                </c:pt>
                <c:pt idx="112">
                  <c:v>Jan'24/25</c:v>
                </c:pt>
                <c:pt idx="113">
                  <c:v>Feb'24/25</c:v>
                </c:pt>
                <c:pt idx="114">
                  <c:v>Mar'24/25</c:v>
                </c:pt>
                <c:pt idx="115">
                  <c:v>Apr'24/25</c:v>
                </c:pt>
                <c:pt idx="116">
                  <c:v>May'24/25</c:v>
                </c:pt>
                <c:pt idx="117">
                  <c:v>Jun'24/25</c:v>
                </c:pt>
                <c:pt idx="118">
                  <c:v>Jul'24/25</c:v>
                </c:pt>
                <c:pt idx="119">
                  <c:v>Aug'24/25</c:v>
                </c:pt>
                <c:pt idx="120">
                  <c:v>Sep'24/25</c:v>
                </c:pt>
                <c:pt idx="121">
                  <c:v>Oct'25/26</c:v>
                </c:pt>
                <c:pt idx="122">
                  <c:v>Nov'25/26</c:v>
                </c:pt>
                <c:pt idx="123">
                  <c:v>Dec'25/26</c:v>
                </c:pt>
              </c:strCache>
            </c:strRef>
          </c:cat>
          <c:val>
            <c:numRef>
              <c:f>'Brazil Robusta'!$I$85:$I$208</c:f>
              <c:numCache>
                <c:formatCode>General</c:formatCode>
                <c:ptCount val="124"/>
                <c:pt idx="0">
                  <c:v>4.5642569999999996</c:v>
                </c:pt>
                <c:pt idx="1">
                  <c:v>4.5469710000000001</c:v>
                </c:pt>
                <c:pt idx="2">
                  <c:v>4.5569350000000002</c:v>
                </c:pt>
                <c:pt idx="3">
                  <c:v>4.6433410000000004</c:v>
                </c:pt>
                <c:pt idx="4">
                  <c:v>4.7237090000000004</c:v>
                </c:pt>
                <c:pt idx="5">
                  <c:v>4.5673719999999998</c:v>
                </c:pt>
                <c:pt idx="6">
                  <c:v>4.2139530000000001</c:v>
                </c:pt>
                <c:pt idx="7">
                  <c:v>3.947203</c:v>
                </c:pt>
                <c:pt idx="8">
                  <c:v>3.7628759999999999</c:v>
                </c:pt>
                <c:pt idx="9">
                  <c:v>3.4757790000000002</c:v>
                </c:pt>
                <c:pt idx="10">
                  <c:v>3.0048270000000001</c:v>
                </c:pt>
                <c:pt idx="11">
                  <c:v>2.6597460000000002</c:v>
                </c:pt>
                <c:pt idx="12">
                  <c:v>2.3282150000000001</c:v>
                </c:pt>
                <c:pt idx="13">
                  <c:v>1.9549920000000001</c:v>
                </c:pt>
                <c:pt idx="14">
                  <c:v>1.598589</c:v>
                </c:pt>
                <c:pt idx="15">
                  <c:v>1.293164</c:v>
                </c:pt>
                <c:pt idx="16">
                  <c:v>0.94474100000000005</c:v>
                </c:pt>
                <c:pt idx="17">
                  <c:v>0.67927199999999999</c:v>
                </c:pt>
                <c:pt idx="18">
                  <c:v>0.58031299999999997</c:v>
                </c:pt>
                <c:pt idx="19">
                  <c:v>0.52460700000000005</c:v>
                </c:pt>
                <c:pt idx="20">
                  <c:v>0.46426400000000001</c:v>
                </c:pt>
                <c:pt idx="21">
                  <c:v>0.42335899999999999</c:v>
                </c:pt>
                <c:pt idx="22">
                  <c:v>0.39032299999999998</c:v>
                </c:pt>
                <c:pt idx="23">
                  <c:v>0.34198099999999998</c:v>
                </c:pt>
                <c:pt idx="24">
                  <c:v>0.27842499999999998</c:v>
                </c:pt>
                <c:pt idx="25">
                  <c:v>0.260459</c:v>
                </c:pt>
                <c:pt idx="26">
                  <c:v>0.25078400000000001</c:v>
                </c:pt>
                <c:pt idx="27">
                  <c:v>0.24477299999999999</c:v>
                </c:pt>
                <c:pt idx="28">
                  <c:v>0.25251800000000002</c:v>
                </c:pt>
                <c:pt idx="29">
                  <c:v>0.26061899999999999</c:v>
                </c:pt>
                <c:pt idx="30">
                  <c:v>0.29606900000000003</c:v>
                </c:pt>
                <c:pt idx="31">
                  <c:v>0.286491</c:v>
                </c:pt>
                <c:pt idx="32">
                  <c:v>0.30445800000000001</c:v>
                </c:pt>
                <c:pt idx="33">
                  <c:v>0.36037400000000003</c:v>
                </c:pt>
                <c:pt idx="34">
                  <c:v>0.39197700000000002</c:v>
                </c:pt>
                <c:pt idx="35">
                  <c:v>0.41879899999999998</c:v>
                </c:pt>
                <c:pt idx="36">
                  <c:v>0.68283099999999997</c:v>
                </c:pt>
                <c:pt idx="37">
                  <c:v>1.032395</c:v>
                </c:pt>
                <c:pt idx="38">
                  <c:v>1.5420499999999999</c:v>
                </c:pt>
                <c:pt idx="39">
                  <c:v>1.809736</c:v>
                </c:pt>
                <c:pt idx="40">
                  <c:v>2.1594989999999998</c:v>
                </c:pt>
                <c:pt idx="41">
                  <c:v>2.3584309999999999</c:v>
                </c:pt>
                <c:pt idx="42">
                  <c:v>2.48014</c:v>
                </c:pt>
                <c:pt idx="43">
                  <c:v>2.6179890000000001</c:v>
                </c:pt>
                <c:pt idx="44">
                  <c:v>2.8021630000000002</c:v>
                </c:pt>
                <c:pt idx="45">
                  <c:v>2.9165009999999998</c:v>
                </c:pt>
                <c:pt idx="46">
                  <c:v>3.0986579999999999</c:v>
                </c:pt>
                <c:pt idx="47">
                  <c:v>3.5145089999999999</c:v>
                </c:pt>
                <c:pt idx="48">
                  <c:v>3.614484</c:v>
                </c:pt>
                <c:pt idx="49">
                  <c:v>3.8463319999999999</c:v>
                </c:pt>
                <c:pt idx="50">
                  <c:v>3.7683399999999998</c:v>
                </c:pt>
                <c:pt idx="51">
                  <c:v>3.8231489999999999</c:v>
                </c:pt>
                <c:pt idx="52">
                  <c:v>3.8133439999999998</c:v>
                </c:pt>
                <c:pt idx="53">
                  <c:v>3.7819759999999998</c:v>
                </c:pt>
                <c:pt idx="54">
                  <c:v>3.9596529999999999</c:v>
                </c:pt>
                <c:pt idx="55">
                  <c:v>4.0328720000000002</c:v>
                </c:pt>
                <c:pt idx="56">
                  <c:v>4.0397740000000004</c:v>
                </c:pt>
                <c:pt idx="57">
                  <c:v>4.1024440000000002</c:v>
                </c:pt>
                <c:pt idx="58">
                  <c:v>4.1787679999999998</c:v>
                </c:pt>
                <c:pt idx="59">
                  <c:v>4.2028670000000004</c:v>
                </c:pt>
                <c:pt idx="60">
                  <c:v>4.4577869999999997</c:v>
                </c:pt>
                <c:pt idx="61">
                  <c:v>4.3042610000000003</c:v>
                </c:pt>
                <c:pt idx="62">
                  <c:v>4.3174530000000004</c:v>
                </c:pt>
                <c:pt idx="63">
                  <c:v>4.646808</c:v>
                </c:pt>
                <c:pt idx="64">
                  <c:v>4.7581150000000001</c:v>
                </c:pt>
                <c:pt idx="65">
                  <c:v>4.8886919999999998</c:v>
                </c:pt>
                <c:pt idx="66">
                  <c:v>4.9271839999999996</c:v>
                </c:pt>
                <c:pt idx="67">
                  <c:v>4.9455730000000004</c:v>
                </c:pt>
                <c:pt idx="68">
                  <c:v>5.0403570000000002</c:v>
                </c:pt>
                <c:pt idx="69">
                  <c:v>5.1350749999999996</c:v>
                </c:pt>
                <c:pt idx="70">
                  <c:v>5.1546599999999998</c:v>
                </c:pt>
                <c:pt idx="71">
                  <c:v>4.9718119999999999</c:v>
                </c:pt>
                <c:pt idx="72">
                  <c:v>4.7309809999999999</c:v>
                </c:pt>
                <c:pt idx="73">
                  <c:v>4.6935890000000002</c:v>
                </c:pt>
                <c:pt idx="74">
                  <c:v>4.5644729999999996</c:v>
                </c:pt>
                <c:pt idx="75">
                  <c:v>4.2782499999999999</c:v>
                </c:pt>
                <c:pt idx="76">
                  <c:v>4.1093640000000002</c:v>
                </c:pt>
                <c:pt idx="77">
                  <c:v>3.9960849999999999</c:v>
                </c:pt>
                <c:pt idx="78">
                  <c:v>3.7427760000000001</c:v>
                </c:pt>
                <c:pt idx="79">
                  <c:v>3.600406</c:v>
                </c:pt>
                <c:pt idx="80">
                  <c:v>3.4306730000000001</c:v>
                </c:pt>
                <c:pt idx="81">
                  <c:v>3.2180659999999999</c:v>
                </c:pt>
                <c:pt idx="82">
                  <c:v>3.0246119999999999</c:v>
                </c:pt>
                <c:pt idx="83">
                  <c:v>2.8523749999999999</c:v>
                </c:pt>
                <c:pt idx="84">
                  <c:v>2.5977920000000001</c:v>
                </c:pt>
                <c:pt idx="85">
                  <c:v>2.3003930000000001</c:v>
                </c:pt>
                <c:pt idx="86">
                  <c:v>2.0647030000000002</c:v>
                </c:pt>
                <c:pt idx="87">
                  <c:v>1.7365919999999999</c:v>
                </c:pt>
                <c:pt idx="88">
                  <c:v>1.5108379999999999</c:v>
                </c:pt>
                <c:pt idx="89">
                  <c:v>1.3769849999999999</c:v>
                </c:pt>
                <c:pt idx="90">
                  <c:v>1.3531960000000001</c:v>
                </c:pt>
                <c:pt idx="91">
                  <c:v>1.3775550000000001</c:v>
                </c:pt>
                <c:pt idx="92">
                  <c:v>1.3652880000000001</c:v>
                </c:pt>
                <c:pt idx="93">
                  <c:v>1.46028</c:v>
                </c:pt>
                <c:pt idx="94">
                  <c:v>1.8119810000000001</c:v>
                </c:pt>
                <c:pt idx="95">
                  <c:v>2.3836430000000002</c:v>
                </c:pt>
                <c:pt idx="96">
                  <c:v>2.8873099999999998</c:v>
                </c:pt>
                <c:pt idx="97">
                  <c:v>3.4538920000000002</c:v>
                </c:pt>
                <c:pt idx="98">
                  <c:v>4.2425369999999996</c:v>
                </c:pt>
                <c:pt idx="99">
                  <c:v>4.7075199999999997</c:v>
                </c:pt>
                <c:pt idx="100">
                  <c:v>5.0916540000000001</c:v>
                </c:pt>
                <c:pt idx="101">
                  <c:v>5.5690840000000001</c:v>
                </c:pt>
                <c:pt idx="102">
                  <c:v>6.3243859999999996</c:v>
                </c:pt>
                <c:pt idx="103">
                  <c:v>6.885688</c:v>
                </c:pt>
                <c:pt idx="104">
                  <c:v>7.6339040000000002</c:v>
                </c:pt>
                <c:pt idx="105">
                  <c:v>8.2269780000000008</c:v>
                </c:pt>
                <c:pt idx="106">
                  <c:v>8.6350879999999997</c:v>
                </c:pt>
                <c:pt idx="107">
                  <c:v>8.8769869999999997</c:v>
                </c:pt>
                <c:pt idx="108">
                  <c:v>9.1608909999999995</c:v>
                </c:pt>
                <c:pt idx="109">
                  <c:v>9.4038550000000001</c:v>
                </c:pt>
                <c:pt idx="110">
                  <c:v>9.2193950000000005</c:v>
                </c:pt>
                <c:pt idx="111">
                  <c:v>9.4924210000000002</c:v>
                </c:pt>
                <c:pt idx="112">
                  <c:v>9.3662349999999996</c:v>
                </c:pt>
                <c:pt idx="113">
                  <c:v>9.0320900000000002</c:v>
                </c:pt>
                <c:pt idx="114">
                  <c:v>8.3085229999999992</c:v>
                </c:pt>
                <c:pt idx="115">
                  <c:v>7.7278520000000004</c:v>
                </c:pt>
                <c:pt idx="116">
                  <c:v>7.0516329999999998</c:v>
                </c:pt>
                <c:pt idx="117">
                  <c:v>6.7051059999999998</c:v>
                </c:pt>
                <c:pt idx="118">
                  <c:v>6.2640940000000001</c:v>
                </c:pt>
                <c:pt idx="119">
                  <c:v>5.9400570000000004</c:v>
                </c:pt>
                <c:pt idx="120">
                  <c:v>5.5020829999999998</c:v>
                </c:pt>
                <c:pt idx="121">
                  <c:v>5.0277260000000004</c:v>
                </c:pt>
                <c:pt idx="122">
                  <c:v>4.5728429999999998</c:v>
                </c:pt>
                <c:pt idx="123">
                  <c:v>3.99499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3-4A90-9C09-0F2121179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'Brazil Robusta'!$K$27</c:f>
          <c:strCache>
            <c:ptCount val="1"/>
            <c:pt idx="0">
              <c:v>Brazil : Robusta Exports | YTD : Oct-Sep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'Brazil Robusta'!$S$11:$S$17</c:f>
              <c:strCache>
                <c:ptCount val="7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  <c:pt idx="4">
                  <c:v>22/23</c:v>
                </c:pt>
                <c:pt idx="5">
                  <c:v>23/24</c:v>
                </c:pt>
                <c:pt idx="6">
                  <c:v>24/25</c:v>
                </c:pt>
              </c:strCache>
            </c:strRef>
          </c:cat>
          <c:val>
            <c:numRef>
              <c:f>'Brazil Robusta'!$T$11:$T$17</c:f>
              <c:numCache>
                <c:formatCode>#,##0</c:formatCode>
                <c:ptCount val="7"/>
                <c:pt idx="0">
                  <c:v>3614484</c:v>
                </c:pt>
                <c:pt idx="1">
                  <c:v>4457787</c:v>
                </c:pt>
                <c:pt idx="2">
                  <c:v>4730981</c:v>
                </c:pt>
                <c:pt idx="3">
                  <c:v>2597792</c:v>
                </c:pt>
                <c:pt idx="4">
                  <c:v>2887310</c:v>
                </c:pt>
                <c:pt idx="5">
                  <c:v>9160891</c:v>
                </c:pt>
                <c:pt idx="6">
                  <c:v>5502083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E-4ECD-A23D-531366DA2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'Brazil Robusta'!$Q$27</c:f>
          <c:strCache>
            <c:ptCount val="1"/>
            <c:pt idx="0">
              <c:v>Brazil : Robusta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'Brazil Robusta'!$M$81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'Brazil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Robusta'!$N$81:$Y$81</c:f>
              <c:numCache>
                <c:formatCode>#,##0</c:formatCode>
                <c:ptCount val="12"/>
                <c:pt idx="0">
                  <c:v>601684</c:v>
                </c:pt>
                <c:pt idx="1">
                  <c:v>1063319</c:v>
                </c:pt>
                <c:pt idx="2">
                  <c:v>1410289</c:v>
                </c:pt>
                <c:pt idx="3">
                  <c:v>1769475</c:v>
                </c:pt>
                <c:pt idx="4">
                  <c:v>1973530</c:v>
                </c:pt>
                <c:pt idx="5">
                  <c:v>2319403</c:v>
                </c:pt>
                <c:pt idx="6">
                  <c:v>2543231</c:v>
                </c:pt>
                <c:pt idx="7">
                  <c:v>2762136</c:v>
                </c:pt>
                <c:pt idx="8">
                  <c:v>3015686</c:v>
                </c:pt>
                <c:pt idx="9">
                  <c:v>3332381</c:v>
                </c:pt>
                <c:pt idx="10">
                  <c:v>3818952</c:v>
                </c:pt>
                <c:pt idx="11">
                  <c:v>4457787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E-4818-8EEE-451F66100691}"/>
            </c:ext>
          </c:extLst>
        </c:ser>
        <c:ser>
          <c:idx val="1"/>
          <c:order val="1"/>
          <c:tx>
            <c:strRef>
              <c:f>'Brazil Robusta'!$M$82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'Brazil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Robusta'!$N$82:$Y$82</c:f>
              <c:numCache>
                <c:formatCode>#,##0</c:formatCode>
                <c:ptCount val="12"/>
                <c:pt idx="0">
                  <c:v>448158</c:v>
                </c:pt>
                <c:pt idx="1">
                  <c:v>922985</c:v>
                </c:pt>
                <c:pt idx="2">
                  <c:v>1599310</c:v>
                </c:pt>
                <c:pt idx="3">
                  <c:v>2069803</c:v>
                </c:pt>
                <c:pt idx="4">
                  <c:v>2404435</c:v>
                </c:pt>
                <c:pt idx="5">
                  <c:v>2788800</c:v>
                </c:pt>
                <c:pt idx="6">
                  <c:v>3031017</c:v>
                </c:pt>
                <c:pt idx="7">
                  <c:v>3344706</c:v>
                </c:pt>
                <c:pt idx="8">
                  <c:v>3692974</c:v>
                </c:pt>
                <c:pt idx="9">
                  <c:v>4029254</c:v>
                </c:pt>
                <c:pt idx="10">
                  <c:v>4332977</c:v>
                </c:pt>
                <c:pt idx="11">
                  <c:v>4730981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E-4818-8EEE-451F66100691}"/>
            </c:ext>
          </c:extLst>
        </c:ser>
        <c:ser>
          <c:idx val="2"/>
          <c:order val="2"/>
          <c:tx>
            <c:strRef>
              <c:f>'Brazil Robusta'!$M$83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'Brazil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Robusta'!$N$83:$Y$83</c:f>
              <c:numCache>
                <c:formatCode>#,##0</c:formatCode>
                <c:ptCount val="12"/>
                <c:pt idx="0">
                  <c:v>410766</c:v>
                </c:pt>
                <c:pt idx="1">
                  <c:v>756477</c:v>
                </c:pt>
                <c:pt idx="2">
                  <c:v>1146579</c:v>
                </c:pt>
                <c:pt idx="3">
                  <c:v>1448186</c:v>
                </c:pt>
                <c:pt idx="4">
                  <c:v>1669539</c:v>
                </c:pt>
                <c:pt idx="5">
                  <c:v>1800595</c:v>
                </c:pt>
                <c:pt idx="6">
                  <c:v>1900442</c:v>
                </c:pt>
                <c:pt idx="7">
                  <c:v>2044398</c:v>
                </c:pt>
                <c:pt idx="8">
                  <c:v>2180059</c:v>
                </c:pt>
                <c:pt idx="9">
                  <c:v>2322885</c:v>
                </c:pt>
                <c:pt idx="10">
                  <c:v>2454371</c:v>
                </c:pt>
                <c:pt idx="11">
                  <c:v>2597792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EE-4818-8EEE-451F66100691}"/>
            </c:ext>
          </c:extLst>
        </c:ser>
        <c:ser>
          <c:idx val="3"/>
          <c:order val="3"/>
          <c:tx>
            <c:strRef>
              <c:f>'Brazil Robusta'!$M$84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'Brazil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Robusta'!$N$84:$Y$84</c:f>
              <c:numCache>
                <c:formatCode>#,##0</c:formatCode>
                <c:ptCount val="12"/>
                <c:pt idx="0">
                  <c:v>113367</c:v>
                </c:pt>
                <c:pt idx="1">
                  <c:v>223388</c:v>
                </c:pt>
                <c:pt idx="2">
                  <c:v>285379</c:v>
                </c:pt>
                <c:pt idx="3">
                  <c:v>361232</c:v>
                </c:pt>
                <c:pt idx="4">
                  <c:v>448732</c:v>
                </c:pt>
                <c:pt idx="5">
                  <c:v>555999</c:v>
                </c:pt>
                <c:pt idx="6">
                  <c:v>680205</c:v>
                </c:pt>
                <c:pt idx="7">
                  <c:v>811894</c:v>
                </c:pt>
                <c:pt idx="8">
                  <c:v>1042547</c:v>
                </c:pt>
                <c:pt idx="9">
                  <c:v>1537074</c:v>
                </c:pt>
                <c:pt idx="10">
                  <c:v>2240222</c:v>
                </c:pt>
                <c:pt idx="11">
                  <c:v>2887310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EE-4818-8EEE-451F66100691}"/>
            </c:ext>
          </c:extLst>
        </c:ser>
        <c:ser>
          <c:idx val="4"/>
          <c:order val="4"/>
          <c:tx>
            <c:strRef>
              <c:f>'Brazil Robusta'!$M$85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'Brazil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Robusta'!$N$85:$Y$85</c:f>
              <c:numCache>
                <c:formatCode>#,##0</c:formatCode>
                <c:ptCount val="12"/>
                <c:pt idx="0">
                  <c:v>679949</c:v>
                </c:pt>
                <c:pt idx="1">
                  <c:v>1578615</c:v>
                </c:pt>
                <c:pt idx="2">
                  <c:v>2105589</c:v>
                </c:pt>
                <c:pt idx="3">
                  <c:v>2565576</c:v>
                </c:pt>
                <c:pt idx="4">
                  <c:v>3130506</c:v>
                </c:pt>
                <c:pt idx="5">
                  <c:v>3993075</c:v>
                </c:pt>
                <c:pt idx="6">
                  <c:v>4678583</c:v>
                </c:pt>
                <c:pt idx="7">
                  <c:v>5558488</c:v>
                </c:pt>
                <c:pt idx="8">
                  <c:v>6382215</c:v>
                </c:pt>
                <c:pt idx="9">
                  <c:v>7284852</c:v>
                </c:pt>
                <c:pt idx="10">
                  <c:v>8229899</c:v>
                </c:pt>
                <c:pt idx="11">
                  <c:v>9160891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EE-4818-8EEE-451F66100691}"/>
            </c:ext>
          </c:extLst>
        </c:ser>
        <c:ser>
          <c:idx val="5"/>
          <c:order val="5"/>
          <c:tx>
            <c:strRef>
              <c:f>'Brazil Robusta'!$M$86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'Brazil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Robusta'!$N$86:$Y$86</c:f>
              <c:numCache>
                <c:formatCode>#,##0</c:formatCode>
                <c:ptCount val="12"/>
                <c:pt idx="0">
                  <c:v>922913</c:v>
                </c:pt>
                <c:pt idx="1">
                  <c:v>1637119</c:v>
                </c:pt>
                <c:pt idx="2">
                  <c:v>2437119</c:v>
                </c:pt>
                <c:pt idx="3">
                  <c:v>2770920</c:v>
                </c:pt>
                <c:pt idx="4">
                  <c:v>3001705</c:v>
                </c:pt>
                <c:pt idx="5">
                  <c:v>3140707</c:v>
                </c:pt>
                <c:pt idx="6">
                  <c:v>3245544</c:v>
                </c:pt>
                <c:pt idx="7">
                  <c:v>3449230</c:v>
                </c:pt>
                <c:pt idx="8">
                  <c:v>3926430</c:v>
                </c:pt>
                <c:pt idx="9">
                  <c:v>4388055</c:v>
                </c:pt>
                <c:pt idx="10">
                  <c:v>5009065</c:v>
                </c:pt>
                <c:pt idx="11">
                  <c:v>5502083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EE-4818-8EEE-451F66100691}"/>
            </c:ext>
          </c:extLst>
        </c:ser>
        <c:ser>
          <c:idx val="6"/>
          <c:order val="6"/>
          <c:tx>
            <c:strRef>
              <c:f>'Brazil Robusta'!$M$87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'Brazil Robusta'!$N$75:$Y$75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Robusta'!$N$87:$Y$87</c:f>
              <c:numCache>
                <c:formatCode>#,##0</c:formatCode>
                <c:ptCount val="12"/>
                <c:pt idx="0">
                  <c:v>448556</c:v>
                </c:pt>
                <c:pt idx="1">
                  <c:v>707879</c:v>
                </c:pt>
                <c:pt idx="2">
                  <c:v>930026</c:v>
                </c:pt>
                <c:pt idx="3">
                  <c:v>1112251</c:v>
                </c:pt>
                <c:pt idx="4">
                  <c:v>1342806</c:v>
                </c:pt>
                <c:pt idx="5">
                  <c:v>1716664</c:v>
                </c:pt>
                <c:pt idx="6">
                  <c:v>2218067</c:v>
                </c:pt>
                <c:pt idx="7">
                  <c:v>2822062</c:v>
                </c:pt>
                <c:pt idx="8">
                  <c:v>3465721</c:v>
                </c:pt>
                <c:pt idx="9">
                  <c:v>3927346</c:v>
                </c:pt>
                <c:pt idx="10">
                  <c:v>4889953</c:v>
                </c:pt>
                <c:pt idx="11">
                  <c:v>5703857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68-4813-9B5B-93B4FEE79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Indonesia!$C$5</c:f>
          <c:strCache>
            <c:ptCount val="1"/>
            <c:pt idx="0">
              <c:v>Indonesia : Robusta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Indonesia!$B$14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Indonesia!$C$6:$N$6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Indonesia!$C$14:$N$14</c:f>
              <c:numCache>
                <c:formatCode>#,##0</c:formatCode>
                <c:ptCount val="12"/>
                <c:pt idx="0">
                  <c:v>741399.89654666663</c:v>
                </c:pt>
                <c:pt idx="1">
                  <c:v>805711.22817833314</c:v>
                </c:pt>
                <c:pt idx="2">
                  <c:v>631485.46345333313</c:v>
                </c:pt>
                <c:pt idx="3">
                  <c:v>647207.06688166677</c:v>
                </c:pt>
                <c:pt idx="4">
                  <c:v>519722.74911666667</c:v>
                </c:pt>
                <c:pt idx="5">
                  <c:v>484459.82740666659</c:v>
                </c:pt>
                <c:pt idx="6">
                  <c:v>378660.15363833337</c:v>
                </c:pt>
                <c:pt idx="7">
                  <c:v>429784.52451999998</c:v>
                </c:pt>
                <c:pt idx="8">
                  <c:v>443882.65895499993</c:v>
                </c:pt>
                <c:pt idx="9">
                  <c:v>602230.47941666667</c:v>
                </c:pt>
                <c:pt idx="10">
                  <c:v>972149.19989333337</c:v>
                </c:pt>
                <c:pt idx="11">
                  <c:v>868830.8482133334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64-487C-A7C8-2FC2983E7622}"/>
            </c:ext>
          </c:extLst>
        </c:ser>
        <c:ser>
          <c:idx val="8"/>
          <c:order val="8"/>
          <c:tx>
            <c:strRef>
              <c:f>Indonesia!$B$15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Indonesia!$C$6:$N$6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Indonesia!$C$15:$N$15</c:f>
              <c:numCache>
                <c:formatCode>#,##0</c:formatCode>
                <c:ptCount val="12"/>
                <c:pt idx="0">
                  <c:v>803137.71061666682</c:v>
                </c:pt>
                <c:pt idx="1">
                  <c:v>899488.8708683335</c:v>
                </c:pt>
                <c:pt idx="2">
                  <c:v>604689.9395783334</c:v>
                </c:pt>
                <c:pt idx="3">
                  <c:v>495878.97803166666</c:v>
                </c:pt>
                <c:pt idx="4">
                  <c:v>353055.597465</c:v>
                </c:pt>
                <c:pt idx="5">
                  <c:v>278449.49911833333</c:v>
                </c:pt>
                <c:pt idx="6">
                  <c:v>278944.821535</c:v>
                </c:pt>
                <c:pt idx="7">
                  <c:v>488641.0638283334</c:v>
                </c:pt>
                <c:pt idx="8">
                  <c:v>489172.50557666668</c:v>
                </c:pt>
                <c:pt idx="9">
                  <c:v>459738.69544333336</c:v>
                </c:pt>
                <c:pt idx="10">
                  <c:v>507982.53644666681</c:v>
                </c:pt>
                <c:pt idx="11">
                  <c:v>409786.43723500002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64-487C-A7C8-2FC2983E7622}"/>
            </c:ext>
          </c:extLst>
        </c:ser>
        <c:ser>
          <c:idx val="9"/>
          <c:order val="9"/>
          <c:tx>
            <c:strRef>
              <c:f>Indonesia!$B$16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Indonesia!$C$6:$N$6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Indonesia!$C$16:$N$16</c:f>
              <c:numCache>
                <c:formatCode>#,##0</c:formatCode>
                <c:ptCount val="12"/>
                <c:pt idx="0">
                  <c:v>487129.91339499992</c:v>
                </c:pt>
                <c:pt idx="1">
                  <c:v>379954.37548333337</c:v>
                </c:pt>
                <c:pt idx="2">
                  <c:v>275964.94076999999</c:v>
                </c:pt>
                <c:pt idx="3">
                  <c:v>244182.2471133334</c:v>
                </c:pt>
                <c:pt idx="4">
                  <c:v>268979.9189766667</c:v>
                </c:pt>
                <c:pt idx="5">
                  <c:v>282049.57118833339</c:v>
                </c:pt>
                <c:pt idx="6">
                  <c:v>205840.78407666669</c:v>
                </c:pt>
                <c:pt idx="7">
                  <c:v>297896.75350833335</c:v>
                </c:pt>
                <c:pt idx="8">
                  <c:v>346777.58262833342</c:v>
                </c:pt>
                <c:pt idx="9">
                  <c:v>544837.50969166681</c:v>
                </c:pt>
                <c:pt idx="10">
                  <c:v>674431.90803833341</c:v>
                </c:pt>
                <c:pt idx="11">
                  <c:v>701992.77901833341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64-487C-A7C8-2FC2983E7622}"/>
            </c:ext>
          </c:extLst>
        </c:ser>
        <c:ser>
          <c:idx val="10"/>
          <c:order val="10"/>
          <c:tx>
            <c:strRef>
              <c:f>Indonesia!$B$17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Indonesia!$C$6:$N$6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Indonesia!$C$17:$N$17</c:f>
              <c:numCache>
                <c:formatCode>#,##0</c:formatCode>
                <c:ptCount val="12"/>
                <c:pt idx="0">
                  <c:v>876677.8469266668</c:v>
                </c:pt>
                <c:pt idx="1">
                  <c:v>550330.72848666681</c:v>
                </c:pt>
                <c:pt idx="2">
                  <c:v>557203.90992000001</c:v>
                </c:pt>
                <c:pt idx="3">
                  <c:v>536036.14021666674</c:v>
                </c:pt>
                <c:pt idx="4">
                  <c:v>591785.2043216665</c:v>
                </c:pt>
                <c:pt idx="5">
                  <c:v>623762.78320333327</c:v>
                </c:pt>
                <c:pt idx="6">
                  <c:v>470976.34277166671</c:v>
                </c:pt>
                <c:pt idx="7">
                  <c:v>661521.07700999978</c:v>
                </c:pt>
                <c:pt idx="8">
                  <c:v>753371.76617500023</c:v>
                </c:pt>
                <c:pt idx="9">
                  <c:v>765482.71802666667</c:v>
                </c:pt>
                <c:pt idx="10">
                  <c:v>1076773.2769983332</c:v>
                </c:pt>
                <c:pt idx="11">
                  <c:v>1080808.9329233333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64-487C-A7C8-2FC2983E7622}"/>
            </c:ext>
          </c:extLst>
        </c:ser>
        <c:ser>
          <c:idx val="11"/>
          <c:order val="11"/>
          <c:tx>
            <c:strRef>
              <c:f>Indonesia!$B$18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Indonesia!$C$6:$N$6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Indonesia!$C$18:$N$18</c:f>
              <c:numCache>
                <c:formatCode>#,##0</c:formatCode>
                <c:ptCount val="12"/>
                <c:pt idx="0">
                  <c:v>940082.62078499992</c:v>
                </c:pt>
                <c:pt idx="1">
                  <c:v>794980.56181500026</c:v>
                </c:pt>
                <c:pt idx="2">
                  <c:v>655155.07113166654</c:v>
                </c:pt>
                <c:pt idx="3">
                  <c:v>418916.66666666669</c:v>
                </c:pt>
                <c:pt idx="4">
                  <c:v>371500</c:v>
                </c:pt>
                <c:pt idx="5">
                  <c:v>241450</c:v>
                </c:pt>
                <c:pt idx="6">
                  <c:v>400800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0D-4AD4-AC2C-AA0EF91E9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Indonesia!$B$7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Indonesia!$C$6:$N$6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Indonesia!$C$7:$N$7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0864-487C-A7C8-2FC2983E762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935904.21866666677</c:v>
                      </c:pt>
                      <c:pt idx="1">
                        <c:v>575197.81083333329</c:v>
                      </c:pt>
                      <c:pt idx="2">
                        <c:v>527445.35824666661</c:v>
                      </c:pt>
                      <c:pt idx="3">
                        <c:v>482040.49646666681</c:v>
                      </c:pt>
                      <c:pt idx="4">
                        <c:v>489518.71915333346</c:v>
                      </c:pt>
                      <c:pt idx="5">
                        <c:v>374154.8018983333</c:v>
                      </c:pt>
                      <c:pt idx="6">
                        <c:v>361813.29736000014</c:v>
                      </c:pt>
                      <c:pt idx="7">
                        <c:v>372577.8278883333</c:v>
                      </c:pt>
                      <c:pt idx="8">
                        <c:v>497743.49208</c:v>
                      </c:pt>
                      <c:pt idx="9">
                        <c:v>540506.12930833339</c:v>
                      </c:pt>
                      <c:pt idx="10">
                        <c:v>788405.83973999997</c:v>
                      </c:pt>
                      <c:pt idx="11">
                        <c:v>769884.04099000001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864-487C-A7C8-2FC2983E762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956680.75160166668</c:v>
                      </c:pt>
                      <c:pt idx="1">
                        <c:v>833812.70455333323</c:v>
                      </c:pt>
                      <c:pt idx="2">
                        <c:v>793334.73575000023</c:v>
                      </c:pt>
                      <c:pt idx="3">
                        <c:v>626208.33537666663</c:v>
                      </c:pt>
                      <c:pt idx="4">
                        <c:v>594761.93521000003</c:v>
                      </c:pt>
                      <c:pt idx="5">
                        <c:v>590018.07886833348</c:v>
                      </c:pt>
                      <c:pt idx="6">
                        <c:v>594851.78939333337</c:v>
                      </c:pt>
                      <c:pt idx="7">
                        <c:v>753105.98493333336</c:v>
                      </c:pt>
                      <c:pt idx="8">
                        <c:v>731923.37046666665</c:v>
                      </c:pt>
                      <c:pt idx="9">
                        <c:v>1063779.7744</c:v>
                      </c:pt>
                      <c:pt idx="10">
                        <c:v>914211.57449999999</c:v>
                      </c:pt>
                      <c:pt idx="11">
                        <c:v>681923.75361666665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864-487C-A7C8-2FC2983E762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734190.88839333341</c:v>
                      </c:pt>
                      <c:pt idx="1">
                        <c:v>508007.99922500004</c:v>
                      </c:pt>
                      <c:pt idx="2">
                        <c:v>401581.04844166659</c:v>
                      </c:pt>
                      <c:pt idx="3">
                        <c:v>329097.88410000008</c:v>
                      </c:pt>
                      <c:pt idx="4">
                        <c:v>292241.65825833339</c:v>
                      </c:pt>
                      <c:pt idx="5">
                        <c:v>349448.40274166659</c:v>
                      </c:pt>
                      <c:pt idx="6">
                        <c:v>315454.69800833339</c:v>
                      </c:pt>
                      <c:pt idx="7">
                        <c:v>405393.36304166663</c:v>
                      </c:pt>
                      <c:pt idx="8">
                        <c:v>349001.01218333322</c:v>
                      </c:pt>
                      <c:pt idx="9">
                        <c:v>535174.51707499998</c:v>
                      </c:pt>
                      <c:pt idx="10">
                        <c:v>516199.76455000008</c:v>
                      </c:pt>
                      <c:pt idx="11">
                        <c:v>462006.61928500014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864-487C-A7C8-2FC2983E762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467544.5961416667</c:v>
                      </c:pt>
                      <c:pt idx="1">
                        <c:v>426653.30716666672</c:v>
                      </c:pt>
                      <c:pt idx="2">
                        <c:v>452386.2718600001</c:v>
                      </c:pt>
                      <c:pt idx="3">
                        <c:v>468449.7808500001</c:v>
                      </c:pt>
                      <c:pt idx="4">
                        <c:v>429530.94293666672</c:v>
                      </c:pt>
                      <c:pt idx="5">
                        <c:v>368780.27383000002</c:v>
                      </c:pt>
                      <c:pt idx="6">
                        <c:v>386141.77272499999</c:v>
                      </c:pt>
                      <c:pt idx="7">
                        <c:v>403813.40048833343</c:v>
                      </c:pt>
                      <c:pt idx="8">
                        <c:v>368434.84669833333</c:v>
                      </c:pt>
                      <c:pt idx="9">
                        <c:v>558591.66074833332</c:v>
                      </c:pt>
                      <c:pt idx="10">
                        <c:v>633067.25544333318</c:v>
                      </c:pt>
                      <c:pt idx="11">
                        <c:v>782875.01379666664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864-487C-A7C8-2FC2983E762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Indonesia!$B$12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Indonesia!$C$12:$N$12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696741.68600666686</c:v>
                      </c:pt>
                      <c:pt idx="1">
                        <c:v>636413.80076833325</c:v>
                      </c:pt>
                      <c:pt idx="2">
                        <c:v>551034.07558333338</c:v>
                      </c:pt>
                      <c:pt idx="3">
                        <c:v>504333.49460999999</c:v>
                      </c:pt>
                      <c:pt idx="4">
                        <c:v>475254.35848999996</c:v>
                      </c:pt>
                      <c:pt idx="5">
                        <c:v>459799.84873333341</c:v>
                      </c:pt>
                      <c:pt idx="6">
                        <c:v>465145.48583333351</c:v>
                      </c:pt>
                      <c:pt idx="7">
                        <c:v>316066.12516666675</c:v>
                      </c:pt>
                      <c:pt idx="8">
                        <c:v>498901.55413166666</c:v>
                      </c:pt>
                      <c:pt idx="9">
                        <c:v>581966.54152500001</c:v>
                      </c:pt>
                      <c:pt idx="10">
                        <c:v>553276.44655166683</c:v>
                      </c:pt>
                      <c:pt idx="11">
                        <c:v>683927.61250000016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864-487C-A7C8-2FC2983E762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Indonesia!$B$13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Indonesia!$C$13:$N$13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729682.77033333329</c:v>
                      </c:pt>
                      <c:pt idx="1">
                        <c:v>626974.50583333336</c:v>
                      </c:pt>
                      <c:pt idx="2">
                        <c:v>737318.6877266668</c:v>
                      </c:pt>
                      <c:pt idx="3">
                        <c:v>606007.02176333359</c:v>
                      </c:pt>
                      <c:pt idx="4">
                        <c:v>523347.41142500006</c:v>
                      </c:pt>
                      <c:pt idx="5">
                        <c:v>522164.38328000007</c:v>
                      </c:pt>
                      <c:pt idx="6">
                        <c:v>439966.18609500001</c:v>
                      </c:pt>
                      <c:pt idx="7">
                        <c:v>256368.86603499998</c:v>
                      </c:pt>
                      <c:pt idx="8">
                        <c:v>452127.79786833329</c:v>
                      </c:pt>
                      <c:pt idx="9">
                        <c:v>445161.94393000018</c:v>
                      </c:pt>
                      <c:pt idx="10">
                        <c:v>589541.3019083332</c:v>
                      </c:pt>
                      <c:pt idx="11">
                        <c:v>682150.91923666652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864-487C-A7C8-2FC2983E7622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8972795006720049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Indonesia!$A$66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Indonesia!$B$65:$M$65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Indonesia!$B$66:$M$66</c:f>
              <c:numCache>
                <c:formatCode>#,##0</c:formatCode>
                <c:ptCount val="12"/>
                <c:pt idx="0">
                  <c:v>940082.62078499992</c:v>
                </c:pt>
                <c:pt idx="1">
                  <c:v>794980.56181500026</c:v>
                </c:pt>
                <c:pt idx="2">
                  <c:v>655155.07113166654</c:v>
                </c:pt>
                <c:pt idx="3">
                  <c:v>418916.66666666669</c:v>
                </c:pt>
                <c:pt idx="4">
                  <c:v>371500</c:v>
                </c:pt>
                <c:pt idx="5">
                  <c:v>241450</c:v>
                </c:pt>
                <c:pt idx="6">
                  <c:v>400800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E-4E26-8142-19C8A3FE7E8D}"/>
            </c:ext>
          </c:extLst>
        </c:ser>
        <c:ser>
          <c:idx val="1"/>
          <c:order val="1"/>
          <c:tx>
            <c:strRef>
              <c:f>Indonesia!$A$67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Indonesia!$B$65:$M$65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Indonesia!$B$67:$M$67</c:f>
              <c:numCache>
                <c:formatCode>#,##0</c:formatCode>
                <c:ptCount val="12"/>
                <c:pt idx="0">
                  <c:v>467544.5961416667</c:v>
                </c:pt>
                <c:pt idx="1">
                  <c:v>379954.37548333337</c:v>
                </c:pt>
                <c:pt idx="2">
                  <c:v>275964.94076999999</c:v>
                </c:pt>
                <c:pt idx="3">
                  <c:v>244182.2471133334</c:v>
                </c:pt>
                <c:pt idx="4">
                  <c:v>268979.9189766667</c:v>
                </c:pt>
                <c:pt idx="5">
                  <c:v>278449.49911833333</c:v>
                </c:pt>
                <c:pt idx="6">
                  <c:v>205840.78407666669</c:v>
                </c:pt>
                <c:pt idx="7">
                  <c:v>256368.86603499998</c:v>
                </c:pt>
                <c:pt idx="8">
                  <c:v>346777.58262833342</c:v>
                </c:pt>
                <c:pt idx="9">
                  <c:v>445161.94393000018</c:v>
                </c:pt>
                <c:pt idx="10">
                  <c:v>507982.53644666681</c:v>
                </c:pt>
                <c:pt idx="11">
                  <c:v>409786.43723500002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CE-4E26-8142-19C8A3FE7E8D}"/>
            </c:ext>
          </c:extLst>
        </c:ser>
        <c:ser>
          <c:idx val="2"/>
          <c:order val="2"/>
          <c:tx>
            <c:strRef>
              <c:f>Indonesia!$A$68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Indonesia!$B$65:$M$65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Indonesia!$B$68:$M$68</c:f>
              <c:numCache>
                <c:formatCode>#,##0</c:formatCode>
                <c:ptCount val="12"/>
                <c:pt idx="0">
                  <c:v>956680.75160166668</c:v>
                </c:pt>
                <c:pt idx="1">
                  <c:v>899488.8708683335</c:v>
                </c:pt>
                <c:pt idx="2">
                  <c:v>793334.73575000023</c:v>
                </c:pt>
                <c:pt idx="3">
                  <c:v>647207.06688166677</c:v>
                </c:pt>
                <c:pt idx="4">
                  <c:v>594761.93521000003</c:v>
                </c:pt>
                <c:pt idx="5">
                  <c:v>623762.78320333327</c:v>
                </c:pt>
                <c:pt idx="6">
                  <c:v>594851.78939333337</c:v>
                </c:pt>
                <c:pt idx="7">
                  <c:v>753105.98493333336</c:v>
                </c:pt>
                <c:pt idx="8">
                  <c:v>753371.76617500023</c:v>
                </c:pt>
                <c:pt idx="9">
                  <c:v>1063779.7744</c:v>
                </c:pt>
                <c:pt idx="10">
                  <c:v>1076773.2769983332</c:v>
                </c:pt>
                <c:pt idx="11">
                  <c:v>1080808.9329233333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CE-4E26-8142-19C8A3FE7E8D}"/>
            </c:ext>
          </c:extLst>
        </c:ser>
        <c:ser>
          <c:idx val="3"/>
          <c:order val="3"/>
          <c:tx>
            <c:strRef>
              <c:f>Indonesia!$A$69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Indonesia!$B$65:$M$65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Indonesia!$B$69:$M$69</c:f>
              <c:numCache>
                <c:formatCode>#,##0</c:formatCode>
                <c:ptCount val="12"/>
                <c:pt idx="0">
                  <c:v>727605.62756366679</c:v>
                </c:pt>
                <c:pt idx="1">
                  <c:v>652491.94177000015</c:v>
                </c:pt>
                <c:pt idx="2">
                  <c:v>561332.58828966669</c:v>
                </c:pt>
                <c:pt idx="3">
                  <c:v>505862.29080133344</c:v>
                </c:pt>
                <c:pt idx="4">
                  <c:v>451378.17626099999</c:v>
                </c:pt>
                <c:pt idx="5">
                  <c:v>438177.21283933334</c:v>
                </c:pt>
                <c:pt idx="6">
                  <c:v>354877.65762333339</c:v>
                </c:pt>
                <c:pt idx="7">
                  <c:v>426842.45698033331</c:v>
                </c:pt>
                <c:pt idx="8">
                  <c:v>497066.46224066673</c:v>
                </c:pt>
                <c:pt idx="9">
                  <c:v>563490.26930166665</c:v>
                </c:pt>
                <c:pt idx="10">
                  <c:v>764175.64465699997</c:v>
                </c:pt>
                <c:pt idx="11">
                  <c:v>748713.98332533333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CE-4E26-8142-19C8A3FE7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Indonesia!$I$84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Indonesia!$H$85:$H$208</c:f>
              <c:strCache>
                <c:ptCount val="124"/>
                <c:pt idx="0">
                  <c:v>Sep'14/15</c:v>
                </c:pt>
                <c:pt idx="1">
                  <c:v>Oct'15/16</c:v>
                </c:pt>
                <c:pt idx="2">
                  <c:v>Nov'15/16</c:v>
                </c:pt>
                <c:pt idx="3">
                  <c:v>Dec'15/16</c:v>
                </c:pt>
                <c:pt idx="4">
                  <c:v>Jan'15/16</c:v>
                </c:pt>
                <c:pt idx="5">
                  <c:v>Feb'15/16</c:v>
                </c:pt>
                <c:pt idx="6">
                  <c:v>Mar'15/16</c:v>
                </c:pt>
                <c:pt idx="7">
                  <c:v>Apr'15/16</c:v>
                </c:pt>
                <c:pt idx="8">
                  <c:v>May'15/16</c:v>
                </c:pt>
                <c:pt idx="9">
                  <c:v>Jun'15/16</c:v>
                </c:pt>
                <c:pt idx="10">
                  <c:v>Jul'15/16</c:v>
                </c:pt>
                <c:pt idx="11">
                  <c:v>Aug'15/16</c:v>
                </c:pt>
                <c:pt idx="12">
                  <c:v>Sep'15/16</c:v>
                </c:pt>
                <c:pt idx="13">
                  <c:v>Oct'16/17</c:v>
                </c:pt>
                <c:pt idx="14">
                  <c:v>Nov'16/17</c:v>
                </c:pt>
                <c:pt idx="15">
                  <c:v>Dec'16/17</c:v>
                </c:pt>
                <c:pt idx="16">
                  <c:v>Jan'16/17</c:v>
                </c:pt>
                <c:pt idx="17">
                  <c:v>Feb'16/17</c:v>
                </c:pt>
                <c:pt idx="18">
                  <c:v>Mar'16/17</c:v>
                </c:pt>
                <c:pt idx="19">
                  <c:v>Apr'16/17</c:v>
                </c:pt>
                <c:pt idx="20">
                  <c:v>May'16/17</c:v>
                </c:pt>
                <c:pt idx="21">
                  <c:v>Jun'16/17</c:v>
                </c:pt>
                <c:pt idx="22">
                  <c:v>Jul'16/17</c:v>
                </c:pt>
                <c:pt idx="23">
                  <c:v>Aug'16/17</c:v>
                </c:pt>
                <c:pt idx="24">
                  <c:v>Sep'16/17</c:v>
                </c:pt>
                <c:pt idx="25">
                  <c:v>Oct'17/18</c:v>
                </c:pt>
                <c:pt idx="26">
                  <c:v>Nov'17/18</c:v>
                </c:pt>
                <c:pt idx="27">
                  <c:v>Dec'17/18</c:v>
                </c:pt>
                <c:pt idx="28">
                  <c:v>Jan'17/18</c:v>
                </c:pt>
                <c:pt idx="29">
                  <c:v>Feb'17/18</c:v>
                </c:pt>
                <c:pt idx="30">
                  <c:v>Mar'17/18</c:v>
                </c:pt>
                <c:pt idx="31">
                  <c:v>Apr'17/18</c:v>
                </c:pt>
                <c:pt idx="32">
                  <c:v>May'17/18</c:v>
                </c:pt>
                <c:pt idx="33">
                  <c:v>Jun'17/18</c:v>
                </c:pt>
                <c:pt idx="34">
                  <c:v>Jul'17/18</c:v>
                </c:pt>
                <c:pt idx="35">
                  <c:v>Aug'17/18</c:v>
                </c:pt>
                <c:pt idx="36">
                  <c:v>Sep'17/18</c:v>
                </c:pt>
                <c:pt idx="37">
                  <c:v>Oct'18/19</c:v>
                </c:pt>
                <c:pt idx="38">
                  <c:v>Nov'18/19</c:v>
                </c:pt>
                <c:pt idx="39">
                  <c:v>Dec'18/19</c:v>
                </c:pt>
                <c:pt idx="40">
                  <c:v>Jan'18/19</c:v>
                </c:pt>
                <c:pt idx="41">
                  <c:v>Feb'18/19</c:v>
                </c:pt>
                <c:pt idx="42">
                  <c:v>Mar'18/19</c:v>
                </c:pt>
                <c:pt idx="43">
                  <c:v>Apr'18/19</c:v>
                </c:pt>
                <c:pt idx="44">
                  <c:v>May'18/19</c:v>
                </c:pt>
                <c:pt idx="45">
                  <c:v>Jun'18/19</c:v>
                </c:pt>
                <c:pt idx="46">
                  <c:v>Jul'18/19</c:v>
                </c:pt>
                <c:pt idx="47">
                  <c:v>Aug'18/19</c:v>
                </c:pt>
                <c:pt idx="48">
                  <c:v>Sep'18/19</c:v>
                </c:pt>
                <c:pt idx="49">
                  <c:v>Oct'19/20</c:v>
                </c:pt>
                <c:pt idx="50">
                  <c:v>Nov'19/20</c:v>
                </c:pt>
                <c:pt idx="51">
                  <c:v>Dec'19/20</c:v>
                </c:pt>
                <c:pt idx="52">
                  <c:v>Jan'19/20</c:v>
                </c:pt>
                <c:pt idx="53">
                  <c:v>Feb'19/20</c:v>
                </c:pt>
                <c:pt idx="54">
                  <c:v>Mar'19/20</c:v>
                </c:pt>
                <c:pt idx="55">
                  <c:v>Apr'19/20</c:v>
                </c:pt>
                <c:pt idx="56">
                  <c:v>May'19/20</c:v>
                </c:pt>
                <c:pt idx="57">
                  <c:v>Jun'19/20</c:v>
                </c:pt>
                <c:pt idx="58">
                  <c:v>Jul'19/20</c:v>
                </c:pt>
                <c:pt idx="59">
                  <c:v>Aug'19/20</c:v>
                </c:pt>
                <c:pt idx="60">
                  <c:v>Sep'19/20</c:v>
                </c:pt>
                <c:pt idx="61">
                  <c:v>Oct'20/21</c:v>
                </c:pt>
                <c:pt idx="62">
                  <c:v>Nov'20/21</c:v>
                </c:pt>
                <c:pt idx="63">
                  <c:v>Dec'20/21</c:v>
                </c:pt>
                <c:pt idx="64">
                  <c:v>Jan'20/21</c:v>
                </c:pt>
                <c:pt idx="65">
                  <c:v>Feb'20/21</c:v>
                </c:pt>
                <c:pt idx="66">
                  <c:v>Mar'20/21</c:v>
                </c:pt>
                <c:pt idx="67">
                  <c:v>Apr'20/21</c:v>
                </c:pt>
                <c:pt idx="68">
                  <c:v>May'20/21</c:v>
                </c:pt>
                <c:pt idx="69">
                  <c:v>Jun'20/21</c:v>
                </c:pt>
                <c:pt idx="70">
                  <c:v>Jul'20/21</c:v>
                </c:pt>
                <c:pt idx="71">
                  <c:v>Aug'20/21</c:v>
                </c:pt>
                <c:pt idx="72">
                  <c:v>Sep'20/21</c:v>
                </c:pt>
                <c:pt idx="73">
                  <c:v>Oct'21/22</c:v>
                </c:pt>
                <c:pt idx="74">
                  <c:v>Nov'21/22</c:v>
                </c:pt>
                <c:pt idx="75">
                  <c:v>Dec'21/22</c:v>
                </c:pt>
                <c:pt idx="76">
                  <c:v>Jan'21/22</c:v>
                </c:pt>
                <c:pt idx="77">
                  <c:v>Feb'21/22</c:v>
                </c:pt>
                <c:pt idx="78">
                  <c:v>Mar'21/22</c:v>
                </c:pt>
                <c:pt idx="79">
                  <c:v>Apr'21/22</c:v>
                </c:pt>
                <c:pt idx="80">
                  <c:v>May'21/22</c:v>
                </c:pt>
                <c:pt idx="81">
                  <c:v>Jun'21/22</c:v>
                </c:pt>
                <c:pt idx="82">
                  <c:v>Jul'21/22</c:v>
                </c:pt>
                <c:pt idx="83">
                  <c:v>Aug'21/22</c:v>
                </c:pt>
                <c:pt idx="84">
                  <c:v>Sep'21/22</c:v>
                </c:pt>
                <c:pt idx="85">
                  <c:v>Oct'22/23</c:v>
                </c:pt>
                <c:pt idx="86">
                  <c:v>Nov'22/23</c:v>
                </c:pt>
                <c:pt idx="87">
                  <c:v>Dec'22/23</c:v>
                </c:pt>
                <c:pt idx="88">
                  <c:v>Jan'22/23</c:v>
                </c:pt>
                <c:pt idx="89">
                  <c:v>Feb'22/23</c:v>
                </c:pt>
                <c:pt idx="90">
                  <c:v>Mar'22/23</c:v>
                </c:pt>
                <c:pt idx="91">
                  <c:v>Apr'22/23</c:v>
                </c:pt>
                <c:pt idx="92">
                  <c:v>May'22/23</c:v>
                </c:pt>
                <c:pt idx="93">
                  <c:v>Jun'22/23</c:v>
                </c:pt>
                <c:pt idx="94">
                  <c:v>Jul'22/23</c:v>
                </c:pt>
                <c:pt idx="95">
                  <c:v>Aug'22/23</c:v>
                </c:pt>
                <c:pt idx="96">
                  <c:v>Sep'22/23</c:v>
                </c:pt>
                <c:pt idx="97">
                  <c:v>Oct'23/24</c:v>
                </c:pt>
                <c:pt idx="98">
                  <c:v>Nov'23/24</c:v>
                </c:pt>
                <c:pt idx="99">
                  <c:v>Dec'23/24</c:v>
                </c:pt>
                <c:pt idx="100">
                  <c:v>Jan'23/24</c:v>
                </c:pt>
                <c:pt idx="101">
                  <c:v>Feb'23/24</c:v>
                </c:pt>
                <c:pt idx="102">
                  <c:v>Mar'23/24</c:v>
                </c:pt>
                <c:pt idx="103">
                  <c:v>Apr'23/24</c:v>
                </c:pt>
                <c:pt idx="104">
                  <c:v>May'23/24</c:v>
                </c:pt>
                <c:pt idx="105">
                  <c:v>Jun'23/24</c:v>
                </c:pt>
                <c:pt idx="106">
                  <c:v>Jul'23/24</c:v>
                </c:pt>
                <c:pt idx="107">
                  <c:v>Aug'23/24</c:v>
                </c:pt>
                <c:pt idx="108">
                  <c:v>Sep'23/24</c:v>
                </c:pt>
                <c:pt idx="109">
                  <c:v>Oct'24/25</c:v>
                </c:pt>
                <c:pt idx="110">
                  <c:v>Nov'24/25</c:v>
                </c:pt>
                <c:pt idx="111">
                  <c:v>Dec'24/25</c:v>
                </c:pt>
                <c:pt idx="112">
                  <c:v>Jan'24/25</c:v>
                </c:pt>
                <c:pt idx="113">
                  <c:v>Feb'24/25</c:v>
                </c:pt>
                <c:pt idx="114">
                  <c:v>Mar'24/25</c:v>
                </c:pt>
                <c:pt idx="115">
                  <c:v>Apr'24/25</c:v>
                </c:pt>
                <c:pt idx="116">
                  <c:v>May'24/25</c:v>
                </c:pt>
                <c:pt idx="117">
                  <c:v>Jun'24/25</c:v>
                </c:pt>
                <c:pt idx="118">
                  <c:v>Jul'24/25</c:v>
                </c:pt>
                <c:pt idx="119">
                  <c:v>Aug'24/25</c:v>
                </c:pt>
                <c:pt idx="120">
                  <c:v>Sep'24/25</c:v>
                </c:pt>
                <c:pt idx="121">
                  <c:v>Oct'25/26</c:v>
                </c:pt>
                <c:pt idx="122">
                  <c:v>Nov'25/26</c:v>
                </c:pt>
                <c:pt idx="123">
                  <c:v>Dec'25/26</c:v>
                </c:pt>
              </c:strCache>
            </c:strRef>
          </c:cat>
          <c:val>
            <c:numRef>
              <c:f>Indonesia!$I$85:$I$208</c:f>
              <c:numCache>
                <c:formatCode>General</c:formatCode>
                <c:ptCount val="1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6.7151920326316663</c:v>
                </c:pt>
                <c:pt idx="13">
                  <c:v>6.7359685655666661</c:v>
                </c:pt>
                <c:pt idx="14">
                  <c:v>6.9945834592866669</c:v>
                </c:pt>
                <c:pt idx="15">
                  <c:v>7.2604728367899991</c:v>
                </c:pt>
                <c:pt idx="16">
                  <c:v>7.4046406756999996</c:v>
                </c:pt>
                <c:pt idx="17">
                  <c:v>7.509883891756667</c:v>
                </c:pt>
                <c:pt idx="18">
                  <c:v>7.7257471687266666</c:v>
                </c:pt>
                <c:pt idx="19">
                  <c:v>7.9587856607600003</c:v>
                </c:pt>
                <c:pt idx="20">
                  <c:v>8.3393138178050012</c:v>
                </c:pt>
                <c:pt idx="21">
                  <c:v>8.573493696191667</c:v>
                </c:pt>
                <c:pt idx="22">
                  <c:v>9.0967673412833321</c:v>
                </c:pt>
                <c:pt idx="23">
                  <c:v>9.222573076043334</c:v>
                </c:pt>
                <c:pt idx="24">
                  <c:v>9.1346127886699993</c:v>
                </c:pt>
                <c:pt idx="25">
                  <c:v>8.9121229254616647</c:v>
                </c:pt>
                <c:pt idx="26">
                  <c:v>8.5863182201333323</c:v>
                </c:pt>
                <c:pt idx="27">
                  <c:v>8.1945645328249999</c:v>
                </c:pt>
                <c:pt idx="28">
                  <c:v>7.8974540815483332</c:v>
                </c:pt>
                <c:pt idx="29">
                  <c:v>7.5949338045966668</c:v>
                </c:pt>
                <c:pt idx="30">
                  <c:v>7.3543641284700012</c:v>
                </c:pt>
                <c:pt idx="31">
                  <c:v>7.0749670370850009</c:v>
                </c:pt>
                <c:pt idx="32">
                  <c:v>6.7272544151933333</c:v>
                </c:pt>
                <c:pt idx="33">
                  <c:v>6.3443320569099999</c:v>
                </c:pt>
                <c:pt idx="34">
                  <c:v>5.8157267995849988</c:v>
                </c:pt>
                <c:pt idx="35">
                  <c:v>5.4177149896349999</c:v>
                </c:pt>
                <c:pt idx="36">
                  <c:v>5.1977978553033353</c:v>
                </c:pt>
                <c:pt idx="37">
                  <c:v>4.9311515630516674</c:v>
                </c:pt>
                <c:pt idx="38">
                  <c:v>4.849796870993333</c:v>
                </c:pt>
                <c:pt idx="39">
                  <c:v>4.9006020944116662</c:v>
                </c:pt>
                <c:pt idx="40">
                  <c:v>5.0399539911616662</c:v>
                </c:pt>
                <c:pt idx="41">
                  <c:v>5.1772432758399995</c:v>
                </c:pt>
                <c:pt idx="42">
                  <c:v>5.1965751469283337</c:v>
                </c:pt>
                <c:pt idx="43">
                  <c:v>5.2672622216450007</c:v>
                </c:pt>
                <c:pt idx="44">
                  <c:v>5.2656822590916681</c:v>
                </c:pt>
                <c:pt idx="45">
                  <c:v>5.2851160936066677</c:v>
                </c:pt>
                <c:pt idx="46">
                  <c:v>5.3085332372800007</c:v>
                </c:pt>
                <c:pt idx="47">
                  <c:v>5.4254007281733339</c:v>
                </c:pt>
                <c:pt idx="48">
                  <c:v>5.7462691226850007</c:v>
                </c:pt>
                <c:pt idx="49">
                  <c:v>5.9754662125500015</c:v>
                </c:pt>
                <c:pt idx="50">
                  <c:v>6.185226706151667</c:v>
                </c:pt>
                <c:pt idx="51">
                  <c:v>6.2838745098750008</c:v>
                </c:pt>
                <c:pt idx="52">
                  <c:v>6.3197582236350005</c:v>
                </c:pt>
                <c:pt idx="53">
                  <c:v>6.3654816391883333</c:v>
                </c:pt>
                <c:pt idx="54">
                  <c:v>6.4565012140916664</c:v>
                </c:pt>
                <c:pt idx="55">
                  <c:v>6.5355049272000008</c:v>
                </c:pt>
                <c:pt idx="56">
                  <c:v>6.4477576518783337</c:v>
                </c:pt>
                <c:pt idx="57">
                  <c:v>6.578224359311668</c:v>
                </c:pt>
                <c:pt idx="58">
                  <c:v>6.6015992400883334</c:v>
                </c:pt>
                <c:pt idx="59">
                  <c:v>6.5218084311966669</c:v>
                </c:pt>
                <c:pt idx="60">
                  <c:v>6.4228610299000009</c:v>
                </c:pt>
                <c:pt idx="61">
                  <c:v>6.4558021142266666</c:v>
                </c:pt>
                <c:pt idx="62">
                  <c:v>6.4463628192916662</c:v>
                </c:pt>
                <c:pt idx="63">
                  <c:v>6.6326474314350001</c:v>
                </c:pt>
                <c:pt idx="64">
                  <c:v>6.7343209585883335</c:v>
                </c:pt>
                <c:pt idx="65">
                  <c:v>6.7824140115233345</c:v>
                </c:pt>
                <c:pt idx="66">
                  <c:v>6.8447785460700024</c:v>
                </c:pt>
                <c:pt idx="67">
                  <c:v>6.8195992463316681</c:v>
                </c:pt>
                <c:pt idx="68">
                  <c:v>6.759901987200001</c:v>
                </c:pt>
                <c:pt idx="69">
                  <c:v>6.7131282309366691</c:v>
                </c:pt>
                <c:pt idx="70">
                  <c:v>6.5763236333416684</c:v>
                </c:pt>
                <c:pt idx="71">
                  <c:v>6.6125884886983339</c:v>
                </c:pt>
                <c:pt idx="72">
                  <c:v>6.6108117954350014</c:v>
                </c:pt>
                <c:pt idx="73">
                  <c:v>6.6225289216483327</c:v>
                </c:pt>
                <c:pt idx="74">
                  <c:v>6.8012656439933332</c:v>
                </c:pt>
                <c:pt idx="75">
                  <c:v>6.6954324197199995</c:v>
                </c:pt>
                <c:pt idx="76">
                  <c:v>6.7366324648383333</c:v>
                </c:pt>
                <c:pt idx="77">
                  <c:v>6.7330078025300004</c:v>
                </c:pt>
                <c:pt idx="78">
                  <c:v>6.6953032466566658</c:v>
                </c:pt>
                <c:pt idx="79">
                  <c:v>6.6339972141999981</c:v>
                </c:pt>
                <c:pt idx="80">
                  <c:v>6.8074128726849983</c:v>
                </c:pt>
                <c:pt idx="81">
                  <c:v>6.7991677337716654</c:v>
                </c:pt>
                <c:pt idx="82">
                  <c:v>6.9562362692583317</c:v>
                </c:pt>
                <c:pt idx="83">
                  <c:v>7.338844167243332</c:v>
                </c:pt>
                <c:pt idx="84">
                  <c:v>7.5255240962199998</c:v>
                </c:pt>
                <c:pt idx="85">
                  <c:v>7.5872619102899996</c:v>
                </c:pt>
                <c:pt idx="86">
                  <c:v>7.6810395529799997</c:v>
                </c:pt>
                <c:pt idx="87">
                  <c:v>7.6542440291050005</c:v>
                </c:pt>
                <c:pt idx="88">
                  <c:v>7.5029159402550007</c:v>
                </c:pt>
                <c:pt idx="89">
                  <c:v>7.336248788603335</c:v>
                </c:pt>
                <c:pt idx="90">
                  <c:v>7.1302384603150015</c:v>
                </c:pt>
                <c:pt idx="91">
                  <c:v>7.0305231282116676</c:v>
                </c:pt>
                <c:pt idx="92">
                  <c:v>7.0893796675200003</c:v>
                </c:pt>
                <c:pt idx="93">
                  <c:v>7.1346695141416667</c:v>
                </c:pt>
                <c:pt idx="94">
                  <c:v>6.9921777301683337</c:v>
                </c:pt>
                <c:pt idx="95">
                  <c:v>6.5280110667216666</c:v>
                </c:pt>
                <c:pt idx="96">
                  <c:v>6.0689666557433322</c:v>
                </c:pt>
                <c:pt idx="97">
                  <c:v>5.7529588585216658</c:v>
                </c:pt>
                <c:pt idx="98">
                  <c:v>5.2334243631366659</c:v>
                </c:pt>
                <c:pt idx="99">
                  <c:v>4.9046993643283328</c:v>
                </c:pt>
                <c:pt idx="100">
                  <c:v>4.6530026334099999</c:v>
                </c:pt>
                <c:pt idx="101">
                  <c:v>4.5689269549216665</c:v>
                </c:pt>
                <c:pt idx="102">
                  <c:v>4.5725270269916676</c:v>
                </c:pt>
                <c:pt idx="103">
                  <c:v>4.4994229895333344</c:v>
                </c:pt>
                <c:pt idx="104">
                  <c:v>4.308678679213334</c:v>
                </c:pt>
                <c:pt idx="105">
                  <c:v>4.1662837562650008</c:v>
                </c:pt>
                <c:pt idx="106">
                  <c:v>4.2513825705133339</c:v>
                </c:pt>
                <c:pt idx="107">
                  <c:v>4.4178319421049999</c:v>
                </c:pt>
                <c:pt idx="108">
                  <c:v>4.7100382838883332</c:v>
                </c:pt>
                <c:pt idx="109">
                  <c:v>5.0995862174200006</c:v>
                </c:pt>
                <c:pt idx="110">
                  <c:v>5.2699625704233339</c:v>
                </c:pt>
                <c:pt idx="111">
                  <c:v>5.5512015395733343</c:v>
                </c:pt>
                <c:pt idx="112">
                  <c:v>5.8430554326766675</c:v>
                </c:pt>
                <c:pt idx="113">
                  <c:v>6.1658607180216674</c:v>
                </c:pt>
                <c:pt idx="114">
                  <c:v>6.5075739300366688</c:v>
                </c:pt>
                <c:pt idx="115">
                  <c:v>6.7727094887316674</c:v>
                </c:pt>
                <c:pt idx="116">
                  <c:v>7.1363338122333344</c:v>
                </c:pt>
                <c:pt idx="117">
                  <c:v>7.5429279957800022</c:v>
                </c:pt>
                <c:pt idx="118">
                  <c:v>7.7635732041150014</c:v>
                </c:pt>
                <c:pt idx="119">
                  <c:v>8.1659145730749998</c:v>
                </c:pt>
                <c:pt idx="120">
                  <c:v>8.544730726980001</c:v>
                </c:pt>
                <c:pt idx="121">
                  <c:v>8.6081355008383333</c:v>
                </c:pt>
                <c:pt idx="122">
                  <c:v>8.8527853341666685</c:v>
                </c:pt>
                <c:pt idx="123">
                  <c:v>8.950736495378333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6-4799-9BAB-DADC67E2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Indonesia!$K$27</c:f>
          <c:strCache>
            <c:ptCount val="1"/>
            <c:pt idx="0">
              <c:v>Indonesia : Robusta Exports | YTD : Oct-Apr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Indonesia!$S$8:$S$17</c:f>
              <c:strCache>
                <c:ptCount val="10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</c:strCache>
            </c:strRef>
          </c:cat>
          <c:val>
            <c:numRef>
              <c:f>Indonesia!$T$8:$T$17</c:f>
              <c:numCache>
                <c:formatCode>#,##0</c:formatCode>
                <c:ptCount val="10"/>
                <c:pt idx="0">
                  <c:v>3746074.7026250004</c:v>
                </c:pt>
                <c:pt idx="1">
                  <c:v>4989668.3307533339</c:v>
                </c:pt>
                <c:pt idx="2">
                  <c:v>2930022.5791683337</c:v>
                </c:pt>
                <c:pt idx="3">
                  <c:v>2999486.9455100005</c:v>
                </c:pt>
                <c:pt idx="4">
                  <c:v>3788722.7500250004</c:v>
                </c:pt>
                <c:pt idx="5">
                  <c:v>4185460.9664566675</c:v>
                </c:pt>
                <c:pt idx="6">
                  <c:v>4208646.3852216667</c:v>
                </c:pt>
                <c:pt idx="7">
                  <c:v>3713645.4172133338</c:v>
                </c:pt>
                <c:pt idx="8">
                  <c:v>2144101.7510033334</c:v>
                </c:pt>
                <c:pt idx="9">
                  <c:v>4206772.9558466673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6-4496-B1D4-6132F81F7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Indonesia!$Q$27</c:f>
          <c:strCache>
            <c:ptCount val="1"/>
            <c:pt idx="0">
              <c:v>Indonesia : Robusta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Indonesia!$M$82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Indonesia!$N$75:$Y$75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Indonesia!$N$82:$Y$82</c:f>
              <c:numCache>
                <c:formatCode>#,##0</c:formatCode>
                <c:ptCount val="12"/>
                <c:pt idx="0">
                  <c:v>729682.77033333329</c:v>
                </c:pt>
                <c:pt idx="1">
                  <c:v>1356657.2761666668</c:v>
                </c:pt>
                <c:pt idx="2">
                  <c:v>2093975.9638933334</c:v>
                </c:pt>
                <c:pt idx="3">
                  <c:v>2699982.985656667</c:v>
                </c:pt>
                <c:pt idx="4">
                  <c:v>3223330.3970816671</c:v>
                </c:pt>
                <c:pt idx="5">
                  <c:v>3745494.7803616673</c:v>
                </c:pt>
                <c:pt idx="6">
                  <c:v>4185460.9664566675</c:v>
                </c:pt>
                <c:pt idx="7">
                  <c:v>4441829.8324916679</c:v>
                </c:pt>
                <c:pt idx="8">
                  <c:v>4893957.6303600017</c:v>
                </c:pt>
                <c:pt idx="9">
                  <c:v>5339119.5742900018</c:v>
                </c:pt>
                <c:pt idx="10">
                  <c:v>5928660.8761983346</c:v>
                </c:pt>
                <c:pt idx="11">
                  <c:v>6610811.7954350011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C-4495-951A-0D0554D525A3}"/>
            </c:ext>
          </c:extLst>
        </c:ser>
        <c:ser>
          <c:idx val="2"/>
          <c:order val="2"/>
          <c:tx>
            <c:strRef>
              <c:f>Indonesia!$M$83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Indonesia!$N$75:$Y$75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Indonesia!$N$83:$Y$83</c:f>
              <c:numCache>
                <c:formatCode>#,##0</c:formatCode>
                <c:ptCount val="12"/>
                <c:pt idx="0">
                  <c:v>741399.89654666663</c:v>
                </c:pt>
                <c:pt idx="1">
                  <c:v>1547111.1247249998</c:v>
                </c:pt>
                <c:pt idx="2">
                  <c:v>2178596.5881783329</c:v>
                </c:pt>
                <c:pt idx="3">
                  <c:v>2825803.6550599998</c:v>
                </c:pt>
                <c:pt idx="4">
                  <c:v>3345526.4041766664</c:v>
                </c:pt>
                <c:pt idx="5">
                  <c:v>3829986.2315833331</c:v>
                </c:pt>
                <c:pt idx="6">
                  <c:v>4208646.3852216667</c:v>
                </c:pt>
                <c:pt idx="7">
                  <c:v>4638430.9097416662</c:v>
                </c:pt>
                <c:pt idx="8">
                  <c:v>5082313.5686966665</c:v>
                </c:pt>
                <c:pt idx="9">
                  <c:v>5684544.0481133331</c:v>
                </c:pt>
                <c:pt idx="10">
                  <c:v>6656693.2480066661</c:v>
                </c:pt>
                <c:pt idx="11">
                  <c:v>7525524.0962199997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AC-4495-951A-0D0554D525A3}"/>
            </c:ext>
          </c:extLst>
        </c:ser>
        <c:ser>
          <c:idx val="3"/>
          <c:order val="3"/>
          <c:tx>
            <c:strRef>
              <c:f>Indonesia!$M$84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Indonesia!$N$75:$Y$75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Indonesia!$N$84:$Y$84</c:f>
              <c:numCache>
                <c:formatCode>#,##0</c:formatCode>
                <c:ptCount val="12"/>
                <c:pt idx="0">
                  <c:v>803137.71061666682</c:v>
                </c:pt>
                <c:pt idx="1">
                  <c:v>1702626.5814850004</c:v>
                </c:pt>
                <c:pt idx="2">
                  <c:v>2307316.5210633338</c:v>
                </c:pt>
                <c:pt idx="3">
                  <c:v>2803195.4990950003</c:v>
                </c:pt>
                <c:pt idx="4">
                  <c:v>3156251.0965600004</c:v>
                </c:pt>
                <c:pt idx="5">
                  <c:v>3434700.5956783337</c:v>
                </c:pt>
                <c:pt idx="6">
                  <c:v>3713645.4172133338</c:v>
                </c:pt>
                <c:pt idx="7">
                  <c:v>4202286.4810416671</c:v>
                </c:pt>
                <c:pt idx="8">
                  <c:v>4691458.9866183335</c:v>
                </c:pt>
                <c:pt idx="9">
                  <c:v>5151197.6820616666</c:v>
                </c:pt>
                <c:pt idx="10">
                  <c:v>5659180.218508333</c:v>
                </c:pt>
                <c:pt idx="11">
                  <c:v>6068966.6557433326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AC-4495-951A-0D0554D525A3}"/>
            </c:ext>
          </c:extLst>
        </c:ser>
        <c:ser>
          <c:idx val="4"/>
          <c:order val="4"/>
          <c:tx>
            <c:strRef>
              <c:f>Indonesia!$M$85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Indonesia!$N$75:$Y$75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Indonesia!$N$85:$Y$85</c:f>
              <c:numCache>
                <c:formatCode>#,##0</c:formatCode>
                <c:ptCount val="12"/>
                <c:pt idx="0">
                  <c:v>487129.91339499992</c:v>
                </c:pt>
                <c:pt idx="1">
                  <c:v>867084.28887833329</c:v>
                </c:pt>
                <c:pt idx="2">
                  <c:v>1143049.2296483333</c:v>
                </c:pt>
                <c:pt idx="3">
                  <c:v>1387231.4767616666</c:v>
                </c:pt>
                <c:pt idx="4">
                  <c:v>1656211.3957383332</c:v>
                </c:pt>
                <c:pt idx="5">
                  <c:v>1938260.9669266667</c:v>
                </c:pt>
                <c:pt idx="6">
                  <c:v>2144101.7510033334</c:v>
                </c:pt>
                <c:pt idx="7">
                  <c:v>2441998.5045116665</c:v>
                </c:pt>
                <c:pt idx="8">
                  <c:v>2788776.08714</c:v>
                </c:pt>
                <c:pt idx="9">
                  <c:v>3333613.5968316668</c:v>
                </c:pt>
                <c:pt idx="10">
                  <c:v>4008045.5048700003</c:v>
                </c:pt>
                <c:pt idx="11">
                  <c:v>4710038.2838883335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AC-4495-951A-0D0554D525A3}"/>
            </c:ext>
          </c:extLst>
        </c:ser>
        <c:ser>
          <c:idx val="5"/>
          <c:order val="5"/>
          <c:tx>
            <c:strRef>
              <c:f>Indonesia!$M$86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Indonesia!$N$75:$Y$75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Indonesia!$N$86:$Y$86</c:f>
              <c:numCache>
                <c:formatCode>#,##0</c:formatCode>
                <c:ptCount val="12"/>
                <c:pt idx="0">
                  <c:v>876677.8469266668</c:v>
                </c:pt>
                <c:pt idx="1">
                  <c:v>1427008.5754133337</c:v>
                </c:pt>
                <c:pt idx="2">
                  <c:v>1984212.4853333337</c:v>
                </c:pt>
                <c:pt idx="3">
                  <c:v>2520248.6255500005</c:v>
                </c:pt>
                <c:pt idx="4">
                  <c:v>3112033.8298716671</c:v>
                </c:pt>
                <c:pt idx="5">
                  <c:v>3735796.6130750002</c:v>
                </c:pt>
                <c:pt idx="6">
                  <c:v>4206772.9558466673</c:v>
                </c:pt>
                <c:pt idx="7">
                  <c:v>4868294.0328566674</c:v>
                </c:pt>
                <c:pt idx="8">
                  <c:v>5621665.7990316674</c:v>
                </c:pt>
                <c:pt idx="9">
                  <c:v>6387148.5170583343</c:v>
                </c:pt>
                <c:pt idx="10">
                  <c:v>7463921.794056667</c:v>
                </c:pt>
                <c:pt idx="11">
                  <c:v>8544730.7269800007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AC-4495-951A-0D0554D525A3}"/>
            </c:ext>
          </c:extLst>
        </c:ser>
        <c:ser>
          <c:idx val="6"/>
          <c:order val="6"/>
          <c:tx>
            <c:strRef>
              <c:f>Indonesia!$M$87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Indonesia!$N$75:$Y$75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Indonesia!$N$87:$Y$87</c:f>
              <c:numCache>
                <c:formatCode>#,##0</c:formatCode>
                <c:ptCount val="12"/>
                <c:pt idx="0">
                  <c:v>940082.62078499992</c:v>
                </c:pt>
                <c:pt idx="1">
                  <c:v>1735063.1826000002</c:v>
                </c:pt>
                <c:pt idx="2">
                  <c:v>2390218.2537316666</c:v>
                </c:pt>
                <c:pt idx="3">
                  <c:v>2809134.9203983331</c:v>
                </c:pt>
                <c:pt idx="4">
                  <c:v>3180634.9203983331</c:v>
                </c:pt>
                <c:pt idx="5">
                  <c:v>3422084.9203983331</c:v>
                </c:pt>
                <c:pt idx="6">
                  <c:v>3822884.9203983331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72-4D24-B97A-35D2D9356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Indonesia!$M$81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Indonesia!$N$75:$Y$75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Indonesia!$N$81:$Y$81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696741.68600666686</c:v>
                      </c:pt>
                      <c:pt idx="1">
                        <c:v>1333155.4867750001</c:v>
                      </c:pt>
                      <c:pt idx="2">
                        <c:v>1884189.5623583335</c:v>
                      </c:pt>
                      <c:pt idx="3">
                        <c:v>2388523.0569683337</c:v>
                      </c:pt>
                      <c:pt idx="4">
                        <c:v>2863777.4154583337</c:v>
                      </c:pt>
                      <c:pt idx="5">
                        <c:v>3323577.2641916671</c:v>
                      </c:pt>
                      <c:pt idx="6">
                        <c:v>3788722.7500250004</c:v>
                      </c:pt>
                      <c:pt idx="7">
                        <c:v>4104788.8751916671</c:v>
                      </c:pt>
                      <c:pt idx="8">
                        <c:v>4603690.4293233342</c:v>
                      </c:pt>
                      <c:pt idx="9">
                        <c:v>5185656.970848334</c:v>
                      </c:pt>
                      <c:pt idx="10">
                        <c:v>5738933.4174000006</c:v>
                      </c:pt>
                      <c:pt idx="11">
                        <c:v>6422861.0299000004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0AC-4495-951A-0D0554D525A3}"/>
                  </c:ext>
                </c:extLst>
              </c15:ser>
            </c15:filteredLineSeries>
          </c:ext>
        </c:extLst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Uganda!$C$5</c:f>
          <c:strCache>
            <c:ptCount val="1"/>
            <c:pt idx="0">
              <c:v>Uganda : Coffee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Uganda!$B$14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Uganda!$C$6:$N$6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Uganda!$C$14:$N$14</c:f>
              <c:numCache>
                <c:formatCode>#,##0</c:formatCode>
                <c:ptCount val="12"/>
                <c:pt idx="0">
                  <c:v>486534</c:v>
                </c:pt>
                <c:pt idx="1">
                  <c:v>524902</c:v>
                </c:pt>
                <c:pt idx="2">
                  <c:v>536569</c:v>
                </c:pt>
                <c:pt idx="3">
                  <c:v>402212</c:v>
                </c:pt>
                <c:pt idx="4">
                  <c:v>448957</c:v>
                </c:pt>
                <c:pt idx="5">
                  <c:v>478023</c:v>
                </c:pt>
                <c:pt idx="6">
                  <c:v>407762</c:v>
                </c:pt>
                <c:pt idx="7">
                  <c:v>455166</c:v>
                </c:pt>
                <c:pt idx="8">
                  <c:v>530365</c:v>
                </c:pt>
                <c:pt idx="9">
                  <c:v>576468</c:v>
                </c:pt>
                <c:pt idx="10">
                  <c:v>501054</c:v>
                </c:pt>
                <c:pt idx="11">
                  <c:v>503695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62-4E17-A579-0278FD177A6F}"/>
            </c:ext>
          </c:extLst>
        </c:ser>
        <c:ser>
          <c:idx val="8"/>
          <c:order val="8"/>
          <c:tx>
            <c:strRef>
              <c:f>Uganda!$B$15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Uganda!$C$6:$N$6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Uganda!$C$15:$N$15</c:f>
              <c:numCache>
                <c:formatCode>#,##0</c:formatCode>
                <c:ptCount val="12"/>
                <c:pt idx="0">
                  <c:v>457244</c:v>
                </c:pt>
                <c:pt idx="1">
                  <c:v>447162</c:v>
                </c:pt>
                <c:pt idx="2">
                  <c:v>418829</c:v>
                </c:pt>
                <c:pt idx="3">
                  <c:v>494226</c:v>
                </c:pt>
                <c:pt idx="4">
                  <c:v>478646</c:v>
                </c:pt>
                <c:pt idx="5">
                  <c:v>487797</c:v>
                </c:pt>
                <c:pt idx="6">
                  <c:v>373610</c:v>
                </c:pt>
                <c:pt idx="7">
                  <c:v>453169</c:v>
                </c:pt>
                <c:pt idx="8">
                  <c:v>563832</c:v>
                </c:pt>
                <c:pt idx="9">
                  <c:v>645832</c:v>
                </c:pt>
                <c:pt idx="10">
                  <c:v>743517</c:v>
                </c:pt>
                <c:pt idx="11">
                  <c:v>577063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62-4E17-A579-0278FD177A6F}"/>
            </c:ext>
          </c:extLst>
        </c:ser>
        <c:ser>
          <c:idx val="9"/>
          <c:order val="9"/>
          <c:tx>
            <c:strRef>
              <c:f>Uganda!$B$16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Uganda!$C$6:$N$6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Uganda!$C$16:$N$16</c:f>
              <c:numCache>
                <c:formatCode>#,##0</c:formatCode>
                <c:ptCount val="12"/>
                <c:pt idx="0">
                  <c:v>472790.29600000003</c:v>
                </c:pt>
                <c:pt idx="1">
                  <c:v>469889.13841835706</c:v>
                </c:pt>
                <c:pt idx="2">
                  <c:v>431393.87</c:v>
                </c:pt>
                <c:pt idx="3">
                  <c:v>481586</c:v>
                </c:pt>
                <c:pt idx="4">
                  <c:v>443472.7098627513</c:v>
                </c:pt>
                <c:pt idx="5">
                  <c:v>329686</c:v>
                </c:pt>
                <c:pt idx="6">
                  <c:v>390977</c:v>
                </c:pt>
                <c:pt idx="7">
                  <c:v>553529</c:v>
                </c:pt>
                <c:pt idx="8">
                  <c:v>667037</c:v>
                </c:pt>
                <c:pt idx="9">
                  <c:v>821529</c:v>
                </c:pt>
                <c:pt idx="10">
                  <c:v>837915</c:v>
                </c:pt>
                <c:pt idx="11">
                  <c:v>532212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62-4E17-A579-0278FD177A6F}"/>
            </c:ext>
          </c:extLst>
        </c:ser>
        <c:ser>
          <c:idx val="10"/>
          <c:order val="10"/>
          <c:tx>
            <c:strRef>
              <c:f>Uganda!$B$17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Uganda!$C$6:$N$6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Uganda!$C$17:$N$17</c:f>
              <c:numCache>
                <c:formatCode>#,##0</c:formatCode>
                <c:ptCount val="12"/>
                <c:pt idx="0">
                  <c:v>496820</c:v>
                </c:pt>
                <c:pt idx="1">
                  <c:v>400536</c:v>
                </c:pt>
                <c:pt idx="2">
                  <c:v>413079</c:v>
                </c:pt>
                <c:pt idx="3">
                  <c:v>550341</c:v>
                </c:pt>
                <c:pt idx="4">
                  <c:v>555760</c:v>
                </c:pt>
                <c:pt idx="5">
                  <c:v>642981</c:v>
                </c:pt>
                <c:pt idx="6">
                  <c:v>694318</c:v>
                </c:pt>
                <c:pt idx="7">
                  <c:v>793445</c:v>
                </c:pt>
                <c:pt idx="8">
                  <c:v>1014062</c:v>
                </c:pt>
                <c:pt idx="9">
                  <c:v>997105</c:v>
                </c:pt>
                <c:pt idx="10">
                  <c:v>855441</c:v>
                </c:pt>
                <c:pt idx="11">
                  <c:v>844949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62-4E17-A579-0278FD177A6F}"/>
            </c:ext>
          </c:extLst>
        </c:ser>
        <c:ser>
          <c:idx val="11"/>
          <c:order val="11"/>
          <c:tx>
            <c:strRef>
              <c:f>Uganda!$B$18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dPt>
            <c:idx val="5"/>
            <c:marker>
              <c:symbol val="triangle"/>
              <c:size val="6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  <a:prstDash val="sysDot"/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16AE-4B46-9694-67668A6736D5}"/>
              </c:ext>
            </c:extLst>
          </c:dPt>
          <c:dPt>
            <c:idx val="8"/>
            <c:marker>
              <c:symbol val="triangle"/>
              <c:size val="6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  <a:prstDash val="sysDash"/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lumMod val="60000"/>
                    <a:lumOff val="40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109-430F-A336-0DA0417A8902}"/>
              </c:ext>
            </c:extLst>
          </c:dPt>
          <c:cat>
            <c:strRef>
              <c:f>Uganda!$C$6:$N$6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Uganda!$C$18:$N$18</c:f>
              <c:numCache>
                <c:formatCode>#,##0</c:formatCode>
                <c:ptCount val="12"/>
                <c:pt idx="0">
                  <c:v>685720</c:v>
                </c:pt>
                <c:pt idx="1">
                  <c:v>640328</c:v>
                </c:pt>
                <c:pt idx="2">
                  <c:v>502582</c:v>
                </c:pt>
                <c:pt idx="3">
                  <c:v>569454</c:v>
                </c:pt>
                <c:pt idx="4">
                  <c:v>651933</c:v>
                </c:pt>
                <c:pt idx="5">
                  <c:v>650000</c:v>
                </c:pt>
                <c:pt idx="6">
                  <c:v>591687</c:v>
                </c:pt>
                <c:pt idx="7">
                  <c:v>617491</c:v>
                </c:pt>
                <c:pt idx="8">
                  <c:v>744540</c:v>
                </c:pt>
                <c:pt idx="9">
                  <c:v>846376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EF-4793-9EC5-4D65D589A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Uganda!$B$7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Uganda!$C$6:$N$6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Uganda!$C$7:$N$7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55746</c:v>
                      </c:pt>
                      <c:pt idx="1">
                        <c:v>219948</c:v>
                      </c:pt>
                      <c:pt idx="2">
                        <c:v>224803</c:v>
                      </c:pt>
                      <c:pt idx="3">
                        <c:v>310829</c:v>
                      </c:pt>
                      <c:pt idx="4">
                        <c:v>290475</c:v>
                      </c:pt>
                      <c:pt idx="5">
                        <c:v>96178</c:v>
                      </c:pt>
                      <c:pt idx="6">
                        <c:v>263425</c:v>
                      </c:pt>
                      <c:pt idx="7">
                        <c:v>91365</c:v>
                      </c:pt>
                      <c:pt idx="8">
                        <c:v>334785</c:v>
                      </c:pt>
                      <c:pt idx="9">
                        <c:v>130215</c:v>
                      </c:pt>
                      <c:pt idx="10">
                        <c:v>91171</c:v>
                      </c:pt>
                      <c:pt idx="11">
                        <c:v>286322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B62-4E17-A579-0278FD177A6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73725</c:v>
                      </c:pt>
                      <c:pt idx="1">
                        <c:v>248321</c:v>
                      </c:pt>
                      <c:pt idx="2">
                        <c:v>188177</c:v>
                      </c:pt>
                      <c:pt idx="3">
                        <c:v>272949</c:v>
                      </c:pt>
                      <c:pt idx="4">
                        <c:v>271941</c:v>
                      </c:pt>
                      <c:pt idx="5">
                        <c:v>247838</c:v>
                      </c:pt>
                      <c:pt idx="6">
                        <c:v>326793</c:v>
                      </c:pt>
                      <c:pt idx="7">
                        <c:v>286758</c:v>
                      </c:pt>
                      <c:pt idx="8">
                        <c:v>90759</c:v>
                      </c:pt>
                      <c:pt idx="9">
                        <c:v>268490</c:v>
                      </c:pt>
                      <c:pt idx="10">
                        <c:v>291013</c:v>
                      </c:pt>
                      <c:pt idx="11">
                        <c:v>208956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B62-4E17-A579-0278FD177A6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209478</c:v>
                      </c:pt>
                      <c:pt idx="1">
                        <c:v>408027</c:v>
                      </c:pt>
                      <c:pt idx="2">
                        <c:v>422111</c:v>
                      </c:pt>
                      <c:pt idx="3">
                        <c:v>404673</c:v>
                      </c:pt>
                      <c:pt idx="4">
                        <c:v>397883</c:v>
                      </c:pt>
                      <c:pt idx="5">
                        <c:v>409916</c:v>
                      </c:pt>
                      <c:pt idx="6">
                        <c:v>326232</c:v>
                      </c:pt>
                      <c:pt idx="7">
                        <c:v>408454</c:v>
                      </c:pt>
                      <c:pt idx="8">
                        <c:v>430565</c:v>
                      </c:pt>
                      <c:pt idx="9">
                        <c:v>427204</c:v>
                      </c:pt>
                      <c:pt idx="10">
                        <c:v>418340</c:v>
                      </c:pt>
                      <c:pt idx="11">
                        <c:v>341839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B62-4E17-A579-0278FD177A6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381636</c:v>
                      </c:pt>
                      <c:pt idx="1">
                        <c:v>443100</c:v>
                      </c:pt>
                      <c:pt idx="2">
                        <c:v>386217</c:v>
                      </c:pt>
                      <c:pt idx="3">
                        <c:v>401930</c:v>
                      </c:pt>
                      <c:pt idx="4">
                        <c:v>390378</c:v>
                      </c:pt>
                      <c:pt idx="5">
                        <c:v>333346</c:v>
                      </c:pt>
                      <c:pt idx="6">
                        <c:v>295194</c:v>
                      </c:pt>
                      <c:pt idx="7">
                        <c:v>319035</c:v>
                      </c:pt>
                      <c:pt idx="8">
                        <c:v>320339</c:v>
                      </c:pt>
                      <c:pt idx="9">
                        <c:v>393022</c:v>
                      </c:pt>
                      <c:pt idx="10">
                        <c:v>348952</c:v>
                      </c:pt>
                      <c:pt idx="11">
                        <c:v>293199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B62-4E17-A579-0278FD177A6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350743</c:v>
                      </c:pt>
                      <c:pt idx="1">
                        <c:v>362343</c:v>
                      </c:pt>
                      <c:pt idx="2">
                        <c:v>314439</c:v>
                      </c:pt>
                      <c:pt idx="3">
                        <c:v>395097</c:v>
                      </c:pt>
                      <c:pt idx="4">
                        <c:v>320894</c:v>
                      </c:pt>
                      <c:pt idx="5">
                        <c:v>348230</c:v>
                      </c:pt>
                      <c:pt idx="6">
                        <c:v>306315</c:v>
                      </c:pt>
                      <c:pt idx="7">
                        <c:v>348532</c:v>
                      </c:pt>
                      <c:pt idx="8">
                        <c:v>341628</c:v>
                      </c:pt>
                      <c:pt idx="9">
                        <c:v>463709</c:v>
                      </c:pt>
                      <c:pt idx="10">
                        <c:v>489184</c:v>
                      </c:pt>
                      <c:pt idx="11">
                        <c:v>362219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B62-4E17-A579-0278FD177A6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Uganda!$B$12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Uganda!$C$12:$N$12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378238</c:v>
                      </c:pt>
                      <c:pt idx="1">
                        <c:v>438815</c:v>
                      </c:pt>
                      <c:pt idx="2">
                        <c:v>330248</c:v>
                      </c:pt>
                      <c:pt idx="3">
                        <c:v>469951</c:v>
                      </c:pt>
                      <c:pt idx="4">
                        <c:v>472994</c:v>
                      </c:pt>
                      <c:pt idx="5">
                        <c:v>477561</c:v>
                      </c:pt>
                      <c:pt idx="6">
                        <c:v>359973</c:v>
                      </c:pt>
                      <c:pt idx="7">
                        <c:v>437597</c:v>
                      </c:pt>
                      <c:pt idx="8">
                        <c:v>420373</c:v>
                      </c:pt>
                      <c:pt idx="9">
                        <c:v>543251</c:v>
                      </c:pt>
                      <c:pt idx="10">
                        <c:v>519683</c:v>
                      </c:pt>
                      <c:pt idx="11">
                        <c:v>506470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B62-4E17-A579-0278FD177A6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Uganda!$B$13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Uganda!$C$13:$N$13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428015</c:v>
                      </c:pt>
                      <c:pt idx="1">
                        <c:v>430324</c:v>
                      </c:pt>
                      <c:pt idx="2">
                        <c:v>417070</c:v>
                      </c:pt>
                      <c:pt idx="3">
                        <c:v>446560</c:v>
                      </c:pt>
                      <c:pt idx="4">
                        <c:v>562763</c:v>
                      </c:pt>
                      <c:pt idx="5">
                        <c:v>572839</c:v>
                      </c:pt>
                      <c:pt idx="6">
                        <c:v>537538</c:v>
                      </c:pt>
                      <c:pt idx="7">
                        <c:v>494050</c:v>
                      </c:pt>
                      <c:pt idx="8">
                        <c:v>618388</c:v>
                      </c:pt>
                      <c:pt idx="9">
                        <c:v>700035</c:v>
                      </c:pt>
                      <c:pt idx="10">
                        <c:v>700990</c:v>
                      </c:pt>
                      <c:pt idx="11">
                        <c:v>585576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B62-4E17-A579-0278FD177A6F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8972795006720049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Uganda!$A$66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dPt>
            <c:idx val="5"/>
            <c:marker>
              <c:symbol val="diamond"/>
              <c:size val="6"/>
              <c:spPr>
                <a:solidFill>
                  <a:schemeClr val="accent1"/>
                </a:solidFill>
                <a:ln w="9525">
                  <a:solidFill>
                    <a:schemeClr val="bg2">
                      <a:lumMod val="1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bg2">
                    <a:lumMod val="1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FE2-4383-A75F-441B4CA7875F}"/>
              </c:ext>
            </c:extLst>
          </c:dPt>
          <c:dPt>
            <c:idx val="8"/>
            <c:marker>
              <c:symbol val="diamond"/>
              <c:size val="6"/>
              <c:spPr>
                <a:solidFill>
                  <a:schemeClr val="accent1"/>
                </a:solidFill>
                <a:ln w="9525">
                  <a:solidFill>
                    <a:schemeClr val="bg2">
                      <a:lumMod val="10000"/>
                    </a:schemeClr>
                  </a:solidFill>
                  <a:prstDash val="solid"/>
                  <a:round/>
                  <a:extLst>
                    <a:ext uri="{C807C97D-BFC1-408E-A445-0C87EB9F89A2}">
                      <ask:lineSketchStyleProps xmlns:ask="http://schemas.microsoft.com/office/drawing/2018/sketchyshapes">
                        <ask:type>
                          <ask:lineSketchNone/>
                        </ask:type>
                      </ask:lineSketchStyleProps>
                    </a:ext>
                  </a:extLst>
                </a:ln>
                <a:effectLst/>
              </c:spPr>
            </c:marker>
            <c:bubble3D val="0"/>
            <c:spPr>
              <a:ln w="22225" cap="rnd">
                <a:solidFill>
                  <a:schemeClr val="bg2">
                    <a:lumMod val="10000"/>
                  </a:schemeClr>
                </a:solidFill>
                <a:prstDash val="solid"/>
                <a:round/>
                <a:extLst>
                  <a:ext uri="{C807C97D-BFC1-408E-A445-0C87EB9F89A2}">
                    <ask:lineSketchStyleProps xmlns:ask="http://schemas.microsoft.com/office/drawing/2018/sketchyshapes">
                      <ask:type>
                        <ask:lineSketchNone/>
                      </ask:type>
                    </ask:lineSketchStyleProps>
                  </a:ext>
                </a:extLst>
              </a:ln>
              <a:effectLst/>
            </c:spPr>
            <c:extLst>
              <c:ext xmlns:c16="http://schemas.microsoft.com/office/drawing/2014/chart" uri="{C3380CC4-5D6E-409C-BE32-E72D297353CC}">
                <c16:uniqueId val="{00000000-A4F4-4E60-80B8-13802FAA7A75}"/>
              </c:ext>
            </c:extLst>
          </c:dPt>
          <c:cat>
            <c:strRef>
              <c:f>Uganda!$B$65:$M$65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Uganda!$B$66:$M$66</c:f>
              <c:numCache>
                <c:formatCode>#,##0</c:formatCode>
                <c:ptCount val="12"/>
                <c:pt idx="0">
                  <c:v>685720</c:v>
                </c:pt>
                <c:pt idx="1">
                  <c:v>640328</c:v>
                </c:pt>
                <c:pt idx="2">
                  <c:v>502582</c:v>
                </c:pt>
                <c:pt idx="3">
                  <c:v>569454</c:v>
                </c:pt>
                <c:pt idx="4">
                  <c:v>651933</c:v>
                </c:pt>
                <c:pt idx="5">
                  <c:v>650000</c:v>
                </c:pt>
                <c:pt idx="6">
                  <c:v>591687</c:v>
                </c:pt>
                <c:pt idx="7">
                  <c:v>617491</c:v>
                </c:pt>
                <c:pt idx="8">
                  <c:v>744540</c:v>
                </c:pt>
                <c:pt idx="9">
                  <c:v>846376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84-408A-B79C-BDAC998E653C}"/>
            </c:ext>
          </c:extLst>
        </c:ser>
        <c:ser>
          <c:idx val="1"/>
          <c:order val="1"/>
          <c:tx>
            <c:strRef>
              <c:f>Uganda!$A$67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Uganda!$B$65:$M$65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Uganda!$B$67:$M$67</c:f>
              <c:numCache>
                <c:formatCode>#,##0</c:formatCode>
                <c:ptCount val="12"/>
                <c:pt idx="0">
                  <c:v>55746</c:v>
                </c:pt>
                <c:pt idx="1">
                  <c:v>219948</c:v>
                </c:pt>
                <c:pt idx="2">
                  <c:v>188177</c:v>
                </c:pt>
                <c:pt idx="3">
                  <c:v>272949</c:v>
                </c:pt>
                <c:pt idx="4">
                  <c:v>271941</c:v>
                </c:pt>
                <c:pt idx="5">
                  <c:v>96178</c:v>
                </c:pt>
                <c:pt idx="6">
                  <c:v>263425</c:v>
                </c:pt>
                <c:pt idx="7">
                  <c:v>91365</c:v>
                </c:pt>
                <c:pt idx="8">
                  <c:v>90759</c:v>
                </c:pt>
                <c:pt idx="9">
                  <c:v>130215</c:v>
                </c:pt>
                <c:pt idx="10">
                  <c:v>91171</c:v>
                </c:pt>
                <c:pt idx="11">
                  <c:v>208956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84-408A-B79C-BDAC998E653C}"/>
            </c:ext>
          </c:extLst>
        </c:ser>
        <c:ser>
          <c:idx val="2"/>
          <c:order val="2"/>
          <c:tx>
            <c:strRef>
              <c:f>Uganda!$A$68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Uganda!$B$65:$M$65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Uganda!$B$68:$M$68</c:f>
              <c:numCache>
                <c:formatCode>#,##0</c:formatCode>
                <c:ptCount val="12"/>
                <c:pt idx="0">
                  <c:v>496820</c:v>
                </c:pt>
                <c:pt idx="1">
                  <c:v>524902</c:v>
                </c:pt>
                <c:pt idx="2">
                  <c:v>536569</c:v>
                </c:pt>
                <c:pt idx="3">
                  <c:v>550341</c:v>
                </c:pt>
                <c:pt idx="4">
                  <c:v>562763</c:v>
                </c:pt>
                <c:pt idx="5">
                  <c:v>642981</c:v>
                </c:pt>
                <c:pt idx="6">
                  <c:v>694318</c:v>
                </c:pt>
                <c:pt idx="7">
                  <c:v>793445</c:v>
                </c:pt>
                <c:pt idx="8">
                  <c:v>1014062</c:v>
                </c:pt>
                <c:pt idx="9">
                  <c:v>997105</c:v>
                </c:pt>
                <c:pt idx="10">
                  <c:v>855441</c:v>
                </c:pt>
                <c:pt idx="11">
                  <c:v>844949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84-408A-B79C-BDAC998E653C}"/>
            </c:ext>
          </c:extLst>
        </c:ser>
        <c:ser>
          <c:idx val="3"/>
          <c:order val="3"/>
          <c:tx>
            <c:strRef>
              <c:f>Uganda!$A$69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Uganda!$B$65:$M$65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Uganda!$B$69:$M$69</c:f>
              <c:numCache>
                <c:formatCode>#,##0</c:formatCode>
                <c:ptCount val="12"/>
                <c:pt idx="0">
                  <c:v>468280.65919999999</c:v>
                </c:pt>
                <c:pt idx="1">
                  <c:v>454562.62768367137</c:v>
                </c:pt>
                <c:pt idx="2">
                  <c:v>443388.174</c:v>
                </c:pt>
                <c:pt idx="3">
                  <c:v>474985</c:v>
                </c:pt>
                <c:pt idx="4">
                  <c:v>497919.74197255028</c:v>
                </c:pt>
                <c:pt idx="5">
                  <c:v>502265.2</c:v>
                </c:pt>
                <c:pt idx="6">
                  <c:v>480841</c:v>
                </c:pt>
                <c:pt idx="7">
                  <c:v>549871.80000000005</c:v>
                </c:pt>
                <c:pt idx="8">
                  <c:v>678736.8</c:v>
                </c:pt>
                <c:pt idx="9">
                  <c:v>748193.8</c:v>
                </c:pt>
                <c:pt idx="10">
                  <c:v>727783.4</c:v>
                </c:pt>
                <c:pt idx="11">
                  <c:v>608699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84-408A-B79C-BDAC998E6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Uganda!$I$84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Uganda!$H$85:$H$212</c:f>
              <c:strCache>
                <c:ptCount val="128"/>
                <c:pt idx="0">
                  <c:v>Sep'14/15</c:v>
                </c:pt>
                <c:pt idx="1">
                  <c:v>Oct'15/16</c:v>
                </c:pt>
                <c:pt idx="2">
                  <c:v>Nov'15/16</c:v>
                </c:pt>
                <c:pt idx="3">
                  <c:v>Dec'15/16</c:v>
                </c:pt>
                <c:pt idx="4">
                  <c:v>Jan'15/16</c:v>
                </c:pt>
                <c:pt idx="5">
                  <c:v>Feb'15/16</c:v>
                </c:pt>
                <c:pt idx="6">
                  <c:v>Mar'15/16</c:v>
                </c:pt>
                <c:pt idx="7">
                  <c:v>Apr'15/16</c:v>
                </c:pt>
                <c:pt idx="8">
                  <c:v>May'15/16</c:v>
                </c:pt>
                <c:pt idx="9">
                  <c:v>Jun'15/16</c:v>
                </c:pt>
                <c:pt idx="10">
                  <c:v>Jul'15/16</c:v>
                </c:pt>
                <c:pt idx="11">
                  <c:v>Aug'15/16</c:v>
                </c:pt>
                <c:pt idx="12">
                  <c:v>Sep'15/16</c:v>
                </c:pt>
                <c:pt idx="13">
                  <c:v>Oct'16/17</c:v>
                </c:pt>
                <c:pt idx="14">
                  <c:v>Nov'16/17</c:v>
                </c:pt>
                <c:pt idx="15">
                  <c:v>Dec'16/17</c:v>
                </c:pt>
                <c:pt idx="16">
                  <c:v>Jan'16/17</c:v>
                </c:pt>
                <c:pt idx="17">
                  <c:v>Feb'16/17</c:v>
                </c:pt>
                <c:pt idx="18">
                  <c:v>Mar'16/17</c:v>
                </c:pt>
                <c:pt idx="19">
                  <c:v>Apr'16/17</c:v>
                </c:pt>
                <c:pt idx="20">
                  <c:v>May'16/17</c:v>
                </c:pt>
                <c:pt idx="21">
                  <c:v>Jun'16/17</c:v>
                </c:pt>
                <c:pt idx="22">
                  <c:v>Jul'16/17</c:v>
                </c:pt>
                <c:pt idx="23">
                  <c:v>Aug'16/17</c:v>
                </c:pt>
                <c:pt idx="24">
                  <c:v>Sep'16/17</c:v>
                </c:pt>
                <c:pt idx="25">
                  <c:v>Oct'17/18</c:v>
                </c:pt>
                <c:pt idx="26">
                  <c:v>Nov'17/18</c:v>
                </c:pt>
                <c:pt idx="27">
                  <c:v>Dec'17/18</c:v>
                </c:pt>
                <c:pt idx="28">
                  <c:v>Jan'17/18</c:v>
                </c:pt>
                <c:pt idx="29">
                  <c:v>Feb'17/18</c:v>
                </c:pt>
                <c:pt idx="30">
                  <c:v>Mar'17/18</c:v>
                </c:pt>
                <c:pt idx="31">
                  <c:v>Apr'17/18</c:v>
                </c:pt>
                <c:pt idx="32">
                  <c:v>May'17/18</c:v>
                </c:pt>
                <c:pt idx="33">
                  <c:v>Jun'17/18</c:v>
                </c:pt>
                <c:pt idx="34">
                  <c:v>Jul'17/18</c:v>
                </c:pt>
                <c:pt idx="35">
                  <c:v>Aug'17/18</c:v>
                </c:pt>
                <c:pt idx="36">
                  <c:v>Sep'17/18</c:v>
                </c:pt>
                <c:pt idx="37">
                  <c:v>Oct'18/19</c:v>
                </c:pt>
                <c:pt idx="38">
                  <c:v>Nov'18/19</c:v>
                </c:pt>
                <c:pt idx="39">
                  <c:v>Dec'18/19</c:v>
                </c:pt>
                <c:pt idx="40">
                  <c:v>Jan'18/19</c:v>
                </c:pt>
                <c:pt idx="41">
                  <c:v>Feb'18/19</c:v>
                </c:pt>
                <c:pt idx="42">
                  <c:v>Mar'18/19</c:v>
                </c:pt>
                <c:pt idx="43">
                  <c:v>Apr'18/19</c:v>
                </c:pt>
                <c:pt idx="44">
                  <c:v>May'18/19</c:v>
                </c:pt>
                <c:pt idx="45">
                  <c:v>Jun'18/19</c:v>
                </c:pt>
                <c:pt idx="46">
                  <c:v>Jul'18/19</c:v>
                </c:pt>
                <c:pt idx="47">
                  <c:v>Aug'18/19</c:v>
                </c:pt>
                <c:pt idx="48">
                  <c:v>Sep'18/19</c:v>
                </c:pt>
                <c:pt idx="49">
                  <c:v>Oct'19/20</c:v>
                </c:pt>
                <c:pt idx="50">
                  <c:v>Nov'19/20</c:v>
                </c:pt>
                <c:pt idx="51">
                  <c:v>Dec'19/20</c:v>
                </c:pt>
                <c:pt idx="52">
                  <c:v>Jan'19/20</c:v>
                </c:pt>
                <c:pt idx="53">
                  <c:v>Feb'19/20</c:v>
                </c:pt>
                <c:pt idx="54">
                  <c:v>Mar'19/20</c:v>
                </c:pt>
                <c:pt idx="55">
                  <c:v>Apr'19/20</c:v>
                </c:pt>
                <c:pt idx="56">
                  <c:v>May'19/20</c:v>
                </c:pt>
                <c:pt idx="57">
                  <c:v>Jun'19/20</c:v>
                </c:pt>
                <c:pt idx="58">
                  <c:v>Jul'19/20</c:v>
                </c:pt>
                <c:pt idx="59">
                  <c:v>Aug'19/20</c:v>
                </c:pt>
                <c:pt idx="60">
                  <c:v>Sep'19/20</c:v>
                </c:pt>
                <c:pt idx="61">
                  <c:v>Oct'20/21</c:v>
                </c:pt>
                <c:pt idx="62">
                  <c:v>Nov'20/21</c:v>
                </c:pt>
                <c:pt idx="63">
                  <c:v>Dec'20/21</c:v>
                </c:pt>
                <c:pt idx="64">
                  <c:v>Jan'20/21</c:v>
                </c:pt>
                <c:pt idx="65">
                  <c:v>Feb'20/21</c:v>
                </c:pt>
                <c:pt idx="66">
                  <c:v>Mar'20/21</c:v>
                </c:pt>
                <c:pt idx="67">
                  <c:v>Apr'20/21</c:v>
                </c:pt>
                <c:pt idx="68">
                  <c:v>May'20/21</c:v>
                </c:pt>
                <c:pt idx="69">
                  <c:v>Jun'20/21</c:v>
                </c:pt>
                <c:pt idx="70">
                  <c:v>Jul'20/21</c:v>
                </c:pt>
                <c:pt idx="71">
                  <c:v>Aug'20/21</c:v>
                </c:pt>
                <c:pt idx="72">
                  <c:v>Sep'20/21</c:v>
                </c:pt>
                <c:pt idx="73">
                  <c:v>Oct'21/22</c:v>
                </c:pt>
                <c:pt idx="74">
                  <c:v>Nov'21/22</c:v>
                </c:pt>
                <c:pt idx="75">
                  <c:v>Dec'21/22</c:v>
                </c:pt>
                <c:pt idx="76">
                  <c:v>Jan'21/22</c:v>
                </c:pt>
                <c:pt idx="77">
                  <c:v>Feb'21/22</c:v>
                </c:pt>
                <c:pt idx="78">
                  <c:v>Mar'21/22</c:v>
                </c:pt>
                <c:pt idx="79">
                  <c:v>Apr'21/22</c:v>
                </c:pt>
                <c:pt idx="80">
                  <c:v>May'21/22</c:v>
                </c:pt>
                <c:pt idx="81">
                  <c:v>Jun'21/22</c:v>
                </c:pt>
                <c:pt idx="82">
                  <c:v>Jul'21/22</c:v>
                </c:pt>
                <c:pt idx="83">
                  <c:v>Aug'21/22</c:v>
                </c:pt>
                <c:pt idx="84">
                  <c:v>Sep'21/22</c:v>
                </c:pt>
                <c:pt idx="85">
                  <c:v>Oct'22/23</c:v>
                </c:pt>
                <c:pt idx="86">
                  <c:v>Nov'22/23</c:v>
                </c:pt>
                <c:pt idx="87">
                  <c:v>Dec'22/23</c:v>
                </c:pt>
                <c:pt idx="88">
                  <c:v>Jan'22/23</c:v>
                </c:pt>
                <c:pt idx="89">
                  <c:v>Feb'22/23</c:v>
                </c:pt>
                <c:pt idx="90">
                  <c:v>Mar'22/23</c:v>
                </c:pt>
                <c:pt idx="91">
                  <c:v>Apr'22/23</c:v>
                </c:pt>
                <c:pt idx="92">
                  <c:v>May'22/23</c:v>
                </c:pt>
                <c:pt idx="93">
                  <c:v>Jun'22/23</c:v>
                </c:pt>
                <c:pt idx="94">
                  <c:v>Jul'22/23</c:v>
                </c:pt>
                <c:pt idx="95">
                  <c:v>Aug'22/23</c:v>
                </c:pt>
                <c:pt idx="96">
                  <c:v>Sep'22/23</c:v>
                </c:pt>
                <c:pt idx="97">
                  <c:v>Oct'23/24</c:v>
                </c:pt>
                <c:pt idx="98">
                  <c:v>Nov'23/24</c:v>
                </c:pt>
                <c:pt idx="99">
                  <c:v>Dec'23/24</c:v>
                </c:pt>
                <c:pt idx="100">
                  <c:v>Jan'23/24</c:v>
                </c:pt>
                <c:pt idx="101">
                  <c:v>Feb'23/24</c:v>
                </c:pt>
                <c:pt idx="102">
                  <c:v>Mar'23/24</c:v>
                </c:pt>
                <c:pt idx="103">
                  <c:v>Apr'23/24</c:v>
                </c:pt>
                <c:pt idx="104">
                  <c:v>May'23/24</c:v>
                </c:pt>
                <c:pt idx="105">
                  <c:v>Jun'23/24</c:v>
                </c:pt>
                <c:pt idx="106">
                  <c:v>Jul'23/24</c:v>
                </c:pt>
                <c:pt idx="107">
                  <c:v>Aug'23/24</c:v>
                </c:pt>
                <c:pt idx="108">
                  <c:v>Sep'23/24</c:v>
                </c:pt>
                <c:pt idx="109">
                  <c:v>Oct'24/25</c:v>
                </c:pt>
                <c:pt idx="110">
                  <c:v>Nov'24/25</c:v>
                </c:pt>
                <c:pt idx="111">
                  <c:v>Dec'24/25</c:v>
                </c:pt>
                <c:pt idx="112">
                  <c:v>Jan'24/25</c:v>
                </c:pt>
                <c:pt idx="113">
                  <c:v>Feb'24/25</c:v>
                </c:pt>
                <c:pt idx="114">
                  <c:v>Mar'24/25</c:v>
                </c:pt>
                <c:pt idx="115">
                  <c:v>Apr'24/25</c:v>
                </c:pt>
                <c:pt idx="116">
                  <c:v>May'24/25</c:v>
                </c:pt>
                <c:pt idx="117">
                  <c:v>Jun'24/25</c:v>
                </c:pt>
                <c:pt idx="118">
                  <c:v>Jul'24/25</c:v>
                </c:pt>
                <c:pt idx="119">
                  <c:v>Aug'24/25</c:v>
                </c:pt>
                <c:pt idx="120">
                  <c:v>Sep'24/25</c:v>
                </c:pt>
                <c:pt idx="121">
                  <c:v>Oct'25/26</c:v>
                </c:pt>
                <c:pt idx="122">
                  <c:v>Nov'25/26</c:v>
                </c:pt>
                <c:pt idx="123">
                  <c:v>Dec'25/26</c:v>
                </c:pt>
                <c:pt idx="124">
                  <c:v>Jan'25/26</c:v>
                </c:pt>
                <c:pt idx="125">
                  <c:v>Feb'25/26</c:v>
                </c:pt>
                <c:pt idx="126">
                  <c:v>Mar'25/26</c:v>
                </c:pt>
                <c:pt idx="127">
                  <c:v>Apr'25/26</c:v>
                </c:pt>
              </c:strCache>
            </c:strRef>
          </c:cat>
          <c:val>
            <c:numRef>
              <c:f>Uganda!$I$85:$I$212</c:f>
              <c:numCache>
                <c:formatCode>General</c:formatCode>
                <c:ptCount val="128"/>
                <c:pt idx="0">
                  <c:v>2.3952619999999998</c:v>
                </c:pt>
                <c:pt idx="1">
                  <c:v>2.4132410000000002</c:v>
                </c:pt>
                <c:pt idx="2">
                  <c:v>2.441614</c:v>
                </c:pt>
                <c:pt idx="3">
                  <c:v>2.4049879999999999</c:v>
                </c:pt>
                <c:pt idx="4">
                  <c:v>2.367108</c:v>
                </c:pt>
                <c:pt idx="5">
                  <c:v>2.3485740000000002</c:v>
                </c:pt>
                <c:pt idx="6">
                  <c:v>2.5002339999999998</c:v>
                </c:pt>
                <c:pt idx="7">
                  <c:v>2.5636019999999999</c:v>
                </c:pt>
                <c:pt idx="8">
                  <c:v>2.7589950000000001</c:v>
                </c:pt>
                <c:pt idx="9">
                  <c:v>2.5149689999999998</c:v>
                </c:pt>
                <c:pt idx="10">
                  <c:v>2.6532439999999999</c:v>
                </c:pt>
                <c:pt idx="11">
                  <c:v>2.8530859999999998</c:v>
                </c:pt>
                <c:pt idx="12">
                  <c:v>2.7757200000000002</c:v>
                </c:pt>
                <c:pt idx="13">
                  <c:v>2.911473</c:v>
                </c:pt>
                <c:pt idx="14">
                  <c:v>3.0711789999999999</c:v>
                </c:pt>
                <c:pt idx="15">
                  <c:v>3.305113</c:v>
                </c:pt>
                <c:pt idx="16">
                  <c:v>3.4368370000000001</c:v>
                </c:pt>
                <c:pt idx="17">
                  <c:v>3.5627789999999999</c:v>
                </c:pt>
                <c:pt idx="18">
                  <c:v>3.7248570000000001</c:v>
                </c:pt>
                <c:pt idx="19">
                  <c:v>3.7242959999999998</c:v>
                </c:pt>
                <c:pt idx="20">
                  <c:v>3.8459919999999999</c:v>
                </c:pt>
                <c:pt idx="21">
                  <c:v>4.1857980000000001</c:v>
                </c:pt>
                <c:pt idx="22">
                  <c:v>4.3445119999999999</c:v>
                </c:pt>
                <c:pt idx="23">
                  <c:v>4.4718390000000001</c:v>
                </c:pt>
                <c:pt idx="24">
                  <c:v>4.6047219999999998</c:v>
                </c:pt>
                <c:pt idx="25">
                  <c:v>4.7768800000000002</c:v>
                </c:pt>
                <c:pt idx="26">
                  <c:v>4.8119529999999999</c:v>
                </c:pt>
                <c:pt idx="27">
                  <c:v>4.7760590000000001</c:v>
                </c:pt>
                <c:pt idx="28">
                  <c:v>4.7733160000000003</c:v>
                </c:pt>
                <c:pt idx="29">
                  <c:v>4.7658110000000002</c:v>
                </c:pt>
                <c:pt idx="30">
                  <c:v>4.689241</c:v>
                </c:pt>
                <c:pt idx="31">
                  <c:v>4.6582030000000003</c:v>
                </c:pt>
                <c:pt idx="32">
                  <c:v>4.568784</c:v>
                </c:pt>
                <c:pt idx="33">
                  <c:v>4.458558</c:v>
                </c:pt>
                <c:pt idx="34">
                  <c:v>4.4243759999999996</c:v>
                </c:pt>
                <c:pt idx="35">
                  <c:v>4.3549879999999996</c:v>
                </c:pt>
                <c:pt idx="36">
                  <c:v>4.3063479999999998</c:v>
                </c:pt>
                <c:pt idx="37">
                  <c:v>4.275455</c:v>
                </c:pt>
                <c:pt idx="38">
                  <c:v>4.1946979999999998</c:v>
                </c:pt>
                <c:pt idx="39">
                  <c:v>4.1229199999999997</c:v>
                </c:pt>
                <c:pt idx="40">
                  <c:v>4.1160870000000003</c:v>
                </c:pt>
                <c:pt idx="41">
                  <c:v>4.0466030000000002</c:v>
                </c:pt>
                <c:pt idx="42">
                  <c:v>4.0614869999999996</c:v>
                </c:pt>
                <c:pt idx="43">
                  <c:v>4.0726079999999998</c:v>
                </c:pt>
                <c:pt idx="44">
                  <c:v>4.1021049999999999</c:v>
                </c:pt>
                <c:pt idx="45">
                  <c:v>4.1233940000000002</c:v>
                </c:pt>
                <c:pt idx="46">
                  <c:v>4.1940809999999997</c:v>
                </c:pt>
                <c:pt idx="47">
                  <c:v>4.3343129999999999</c:v>
                </c:pt>
                <c:pt idx="48">
                  <c:v>4.4033329999999999</c:v>
                </c:pt>
                <c:pt idx="49">
                  <c:v>4.430828</c:v>
                </c:pt>
                <c:pt idx="50">
                  <c:v>4.5072999999999999</c:v>
                </c:pt>
                <c:pt idx="51">
                  <c:v>4.5231089999999998</c:v>
                </c:pt>
                <c:pt idx="52">
                  <c:v>4.597963</c:v>
                </c:pt>
                <c:pt idx="53">
                  <c:v>4.7500629999999999</c:v>
                </c:pt>
                <c:pt idx="54">
                  <c:v>4.8793939999999996</c:v>
                </c:pt>
                <c:pt idx="55">
                  <c:v>4.933052</c:v>
                </c:pt>
                <c:pt idx="56">
                  <c:v>5.0221169999999997</c:v>
                </c:pt>
                <c:pt idx="57">
                  <c:v>5.1008620000000002</c:v>
                </c:pt>
                <c:pt idx="58">
                  <c:v>5.1804040000000002</c:v>
                </c:pt>
                <c:pt idx="59">
                  <c:v>5.2109030000000001</c:v>
                </c:pt>
                <c:pt idx="60">
                  <c:v>5.3551539999999997</c:v>
                </c:pt>
                <c:pt idx="61">
                  <c:v>5.4049310000000004</c:v>
                </c:pt>
                <c:pt idx="62">
                  <c:v>5.3964400000000001</c:v>
                </c:pt>
                <c:pt idx="63">
                  <c:v>5.4832619999999999</c:v>
                </c:pt>
                <c:pt idx="64">
                  <c:v>5.4598709999999997</c:v>
                </c:pt>
                <c:pt idx="65">
                  <c:v>5.5496400000000001</c:v>
                </c:pt>
                <c:pt idx="66">
                  <c:v>5.6449179999999997</c:v>
                </c:pt>
                <c:pt idx="67">
                  <c:v>5.8224830000000001</c:v>
                </c:pt>
                <c:pt idx="68">
                  <c:v>5.8789360000000004</c:v>
                </c:pt>
                <c:pt idx="69">
                  <c:v>6.0769510000000002</c:v>
                </c:pt>
                <c:pt idx="70">
                  <c:v>6.2337350000000002</c:v>
                </c:pt>
                <c:pt idx="71">
                  <c:v>6.4150419999999997</c:v>
                </c:pt>
                <c:pt idx="72">
                  <c:v>6.494148</c:v>
                </c:pt>
                <c:pt idx="73">
                  <c:v>6.5526669999999996</c:v>
                </c:pt>
                <c:pt idx="74">
                  <c:v>6.6472449999999998</c:v>
                </c:pt>
                <c:pt idx="75">
                  <c:v>6.7667440000000001</c:v>
                </c:pt>
                <c:pt idx="76">
                  <c:v>6.7223959999999998</c:v>
                </c:pt>
                <c:pt idx="77">
                  <c:v>6.6085900000000004</c:v>
                </c:pt>
                <c:pt idx="78">
                  <c:v>6.5137739999999997</c:v>
                </c:pt>
                <c:pt idx="79">
                  <c:v>6.3839980000000001</c:v>
                </c:pt>
                <c:pt idx="80">
                  <c:v>6.3451139999999997</c:v>
                </c:pt>
                <c:pt idx="81">
                  <c:v>6.257091</c:v>
                </c:pt>
                <c:pt idx="82">
                  <c:v>6.1335240000000004</c:v>
                </c:pt>
                <c:pt idx="83">
                  <c:v>5.9335880000000003</c:v>
                </c:pt>
                <c:pt idx="84">
                  <c:v>5.8517070000000002</c:v>
                </c:pt>
                <c:pt idx="85">
                  <c:v>5.8224169999999997</c:v>
                </c:pt>
                <c:pt idx="86">
                  <c:v>5.7446770000000003</c:v>
                </c:pt>
                <c:pt idx="87">
                  <c:v>5.6269369999999999</c:v>
                </c:pt>
                <c:pt idx="88">
                  <c:v>5.7189509999999997</c:v>
                </c:pt>
                <c:pt idx="89">
                  <c:v>5.74864</c:v>
                </c:pt>
                <c:pt idx="90">
                  <c:v>5.7584140000000001</c:v>
                </c:pt>
                <c:pt idx="91">
                  <c:v>5.7242620000000004</c:v>
                </c:pt>
                <c:pt idx="92">
                  <c:v>5.7222650000000002</c:v>
                </c:pt>
                <c:pt idx="93">
                  <c:v>5.7557320000000001</c:v>
                </c:pt>
                <c:pt idx="94">
                  <c:v>5.8250960000000003</c:v>
                </c:pt>
                <c:pt idx="95">
                  <c:v>6.0675590000000001</c:v>
                </c:pt>
                <c:pt idx="96">
                  <c:v>6.1409269999999996</c:v>
                </c:pt>
                <c:pt idx="97">
                  <c:v>6.1564732959999997</c:v>
                </c:pt>
                <c:pt idx="98">
                  <c:v>6.1792004344183571</c:v>
                </c:pt>
                <c:pt idx="99">
                  <c:v>6.1917653044183574</c:v>
                </c:pt>
                <c:pt idx="100">
                  <c:v>6.1791253044183572</c:v>
                </c:pt>
                <c:pt idx="101">
                  <c:v>6.1439520142811084</c:v>
                </c:pt>
                <c:pt idx="102">
                  <c:v>5.9858410142811085</c:v>
                </c:pt>
                <c:pt idx="103">
                  <c:v>6.0032080142811077</c:v>
                </c:pt>
                <c:pt idx="104">
                  <c:v>6.103568014281108</c:v>
                </c:pt>
                <c:pt idx="105">
                  <c:v>6.2067730142811079</c:v>
                </c:pt>
                <c:pt idx="106">
                  <c:v>6.3824700142811093</c:v>
                </c:pt>
                <c:pt idx="107">
                  <c:v>6.4768680142811093</c:v>
                </c:pt>
                <c:pt idx="108">
                  <c:v>6.4320170142811088</c:v>
                </c:pt>
                <c:pt idx="109">
                  <c:v>6.456046718281109</c:v>
                </c:pt>
                <c:pt idx="110">
                  <c:v>6.3866935798627509</c:v>
                </c:pt>
                <c:pt idx="111">
                  <c:v>6.3683787098627516</c:v>
                </c:pt>
                <c:pt idx="112">
                  <c:v>6.4371337098627519</c:v>
                </c:pt>
                <c:pt idx="113">
                  <c:v>6.5494209999999997</c:v>
                </c:pt>
                <c:pt idx="114">
                  <c:v>6.8627159999999998</c:v>
                </c:pt>
                <c:pt idx="115">
                  <c:v>7.1660570000000003</c:v>
                </c:pt>
                <c:pt idx="116">
                  <c:v>7.4059730000000004</c:v>
                </c:pt>
                <c:pt idx="117">
                  <c:v>7.7529979999999998</c:v>
                </c:pt>
                <c:pt idx="118">
                  <c:v>7.9285740000000002</c:v>
                </c:pt>
                <c:pt idx="119">
                  <c:v>7.9461000000000004</c:v>
                </c:pt>
                <c:pt idx="120">
                  <c:v>8.2588369999999998</c:v>
                </c:pt>
                <c:pt idx="121">
                  <c:v>8.4477370000000001</c:v>
                </c:pt>
                <c:pt idx="122">
                  <c:v>8.6875289999999996</c:v>
                </c:pt>
                <c:pt idx="123">
                  <c:v>8.7770320000000002</c:v>
                </c:pt>
                <c:pt idx="124">
                  <c:v>8.7961449999999992</c:v>
                </c:pt>
                <c:pt idx="125">
                  <c:v>8.8923179999999995</c:v>
                </c:pt>
                <c:pt idx="126">
                  <c:v>8.8993369999999992</c:v>
                </c:pt>
                <c:pt idx="127">
                  <c:v>8.7967060000000004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8-4059-81FD-C505B9142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Uganda!$K$27</c:f>
          <c:strCache>
            <c:ptCount val="1"/>
            <c:pt idx="0">
              <c:v>Uganda : Coffee Exports | YTD : Oct-Jul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Uganda!$S$10:$S$18</c:f>
              <c:strCache>
                <c:ptCount val="9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Uganda!$T$10:$T$18</c:f>
              <c:numCache>
                <c:formatCode>#,##0</c:formatCode>
                <c:ptCount val="9"/>
                <c:pt idx="0">
                  <c:v>3664197</c:v>
                </c:pt>
                <c:pt idx="1">
                  <c:v>3551930</c:v>
                </c:pt>
                <c:pt idx="2">
                  <c:v>4329001</c:v>
                </c:pt>
                <c:pt idx="3">
                  <c:v>5207582</c:v>
                </c:pt>
                <c:pt idx="4">
                  <c:v>4846958</c:v>
                </c:pt>
                <c:pt idx="5">
                  <c:v>4820347</c:v>
                </c:pt>
                <c:pt idx="6">
                  <c:v>5061890.014281109</c:v>
                </c:pt>
                <c:pt idx="7">
                  <c:v>6558447</c:v>
                </c:pt>
                <c:pt idx="8">
                  <c:v>6500111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7-4296-91B9-E038003F4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Uganda!$Q$27</c:f>
          <c:strCache>
            <c:ptCount val="1"/>
            <c:pt idx="0">
              <c:v>Uganda : Coffee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Uganda!$M$82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Uganda!$N$75:$Y$75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Uganda!$N$82:$Y$82</c:f>
              <c:numCache>
                <c:formatCode>#,##0</c:formatCode>
                <c:ptCount val="12"/>
                <c:pt idx="0">
                  <c:v>428015</c:v>
                </c:pt>
                <c:pt idx="1">
                  <c:v>858339</c:v>
                </c:pt>
                <c:pt idx="2">
                  <c:v>1275409</c:v>
                </c:pt>
                <c:pt idx="3">
                  <c:v>1721969</c:v>
                </c:pt>
                <c:pt idx="4">
                  <c:v>2284732</c:v>
                </c:pt>
                <c:pt idx="5">
                  <c:v>2857571</c:v>
                </c:pt>
                <c:pt idx="6">
                  <c:v>3395109</c:v>
                </c:pt>
                <c:pt idx="7">
                  <c:v>3889159</c:v>
                </c:pt>
                <c:pt idx="8">
                  <c:v>4507547</c:v>
                </c:pt>
                <c:pt idx="9">
                  <c:v>5207582</c:v>
                </c:pt>
                <c:pt idx="10">
                  <c:v>5908572</c:v>
                </c:pt>
                <c:pt idx="11">
                  <c:v>6494148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99-4B63-90B9-C4E238C59942}"/>
            </c:ext>
          </c:extLst>
        </c:ser>
        <c:ser>
          <c:idx val="2"/>
          <c:order val="2"/>
          <c:tx>
            <c:strRef>
              <c:f>Uganda!$M$83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Uganda!$N$75:$Y$75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Uganda!$N$83:$Y$83</c:f>
              <c:numCache>
                <c:formatCode>#,##0</c:formatCode>
                <c:ptCount val="12"/>
                <c:pt idx="0">
                  <c:v>486534</c:v>
                </c:pt>
                <c:pt idx="1">
                  <c:v>1011436</c:v>
                </c:pt>
                <c:pt idx="2">
                  <c:v>1548005</c:v>
                </c:pt>
                <c:pt idx="3">
                  <c:v>1950217</c:v>
                </c:pt>
                <c:pt idx="4">
                  <c:v>2399174</c:v>
                </c:pt>
                <c:pt idx="5">
                  <c:v>2877197</c:v>
                </c:pt>
                <c:pt idx="6">
                  <c:v>3284959</c:v>
                </c:pt>
                <c:pt idx="7">
                  <c:v>3740125</c:v>
                </c:pt>
                <c:pt idx="8">
                  <c:v>4270490</c:v>
                </c:pt>
                <c:pt idx="9">
                  <c:v>4846958</c:v>
                </c:pt>
                <c:pt idx="10">
                  <c:v>5348012</c:v>
                </c:pt>
                <c:pt idx="11">
                  <c:v>5851707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99-4B63-90B9-C4E238C59942}"/>
            </c:ext>
          </c:extLst>
        </c:ser>
        <c:ser>
          <c:idx val="3"/>
          <c:order val="3"/>
          <c:tx>
            <c:strRef>
              <c:f>Uganda!$M$84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Uganda!$N$75:$Y$75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Uganda!$N$84:$Y$84</c:f>
              <c:numCache>
                <c:formatCode>#,##0</c:formatCode>
                <c:ptCount val="12"/>
                <c:pt idx="0">
                  <c:v>457244</c:v>
                </c:pt>
                <c:pt idx="1">
                  <c:v>904406</c:v>
                </c:pt>
                <c:pt idx="2">
                  <c:v>1323235</c:v>
                </c:pt>
                <c:pt idx="3">
                  <c:v>1817461</c:v>
                </c:pt>
                <c:pt idx="4">
                  <c:v>2296107</c:v>
                </c:pt>
                <c:pt idx="5">
                  <c:v>2783904</c:v>
                </c:pt>
                <c:pt idx="6">
                  <c:v>3157514</c:v>
                </c:pt>
                <c:pt idx="7">
                  <c:v>3610683</c:v>
                </c:pt>
                <c:pt idx="8">
                  <c:v>4174515</c:v>
                </c:pt>
                <c:pt idx="9">
                  <c:v>4820347</c:v>
                </c:pt>
                <c:pt idx="10">
                  <c:v>5563864</c:v>
                </c:pt>
                <c:pt idx="11">
                  <c:v>6140927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99-4B63-90B9-C4E238C59942}"/>
            </c:ext>
          </c:extLst>
        </c:ser>
        <c:ser>
          <c:idx val="4"/>
          <c:order val="4"/>
          <c:tx>
            <c:strRef>
              <c:f>Uganda!$M$85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Uganda!$N$75:$Y$75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Uganda!$N$85:$Y$85</c:f>
              <c:numCache>
                <c:formatCode>#,##0</c:formatCode>
                <c:ptCount val="12"/>
                <c:pt idx="0">
                  <c:v>472790.29600000003</c:v>
                </c:pt>
                <c:pt idx="1">
                  <c:v>942679.43441835709</c:v>
                </c:pt>
                <c:pt idx="2">
                  <c:v>1374073.3044183571</c:v>
                </c:pt>
                <c:pt idx="3">
                  <c:v>1855659.3044183571</c:v>
                </c:pt>
                <c:pt idx="4">
                  <c:v>2299132.0142811085</c:v>
                </c:pt>
                <c:pt idx="5">
                  <c:v>2628818.0142811085</c:v>
                </c:pt>
                <c:pt idx="6">
                  <c:v>3019795.0142811085</c:v>
                </c:pt>
                <c:pt idx="7">
                  <c:v>3573324.0142811085</c:v>
                </c:pt>
                <c:pt idx="8">
                  <c:v>4240361.014281109</c:v>
                </c:pt>
                <c:pt idx="9">
                  <c:v>5061890.014281109</c:v>
                </c:pt>
                <c:pt idx="10">
                  <c:v>5899805.014281109</c:v>
                </c:pt>
                <c:pt idx="11">
                  <c:v>6432017.014281109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99-4B63-90B9-C4E238C59942}"/>
            </c:ext>
          </c:extLst>
        </c:ser>
        <c:ser>
          <c:idx val="5"/>
          <c:order val="5"/>
          <c:tx>
            <c:strRef>
              <c:f>Uganda!$M$86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Uganda!$N$75:$Y$75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Uganda!$N$86:$Y$86</c:f>
              <c:numCache>
                <c:formatCode>#,##0</c:formatCode>
                <c:ptCount val="12"/>
                <c:pt idx="0">
                  <c:v>496820</c:v>
                </c:pt>
                <c:pt idx="1">
                  <c:v>897356</c:v>
                </c:pt>
                <c:pt idx="2">
                  <c:v>1310435</c:v>
                </c:pt>
                <c:pt idx="3">
                  <c:v>1860776</c:v>
                </c:pt>
                <c:pt idx="4">
                  <c:v>2416536</c:v>
                </c:pt>
                <c:pt idx="5">
                  <c:v>3059517</c:v>
                </c:pt>
                <c:pt idx="6">
                  <c:v>3753835</c:v>
                </c:pt>
                <c:pt idx="7">
                  <c:v>4547280</c:v>
                </c:pt>
                <c:pt idx="8">
                  <c:v>5561342</c:v>
                </c:pt>
                <c:pt idx="9">
                  <c:v>6558447</c:v>
                </c:pt>
                <c:pt idx="10">
                  <c:v>7413888</c:v>
                </c:pt>
                <c:pt idx="11">
                  <c:v>8258837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99-4B63-90B9-C4E238C59942}"/>
            </c:ext>
          </c:extLst>
        </c:ser>
        <c:ser>
          <c:idx val="6"/>
          <c:order val="6"/>
          <c:tx>
            <c:strRef>
              <c:f>Uganda!$M$87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dPt>
            <c:idx val="5"/>
            <c:marker>
              <c:symbol val="plus"/>
              <c:size val="6"/>
              <c:spPr>
                <a:noFill/>
                <a:ln w="9525">
                  <a:solidFill>
                    <a:schemeClr val="accent1">
                      <a:lumMod val="6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9CC9-4D50-93A2-87D02C6A10AC}"/>
              </c:ext>
            </c:extLst>
          </c:dPt>
          <c:dPt>
            <c:idx val="8"/>
            <c:marker>
              <c:symbol val="plus"/>
              <c:size val="6"/>
              <c:spPr>
                <a:noFill/>
                <a:ln w="9525">
                  <a:solidFill>
                    <a:schemeClr val="accent1">
                      <a:lumMod val="6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35D-4109-BCFE-7AA506D4B5E5}"/>
              </c:ext>
            </c:extLst>
          </c:dPt>
          <c:cat>
            <c:strRef>
              <c:f>Uganda!$N$75:$Y$75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Uganda!$N$87:$Y$87</c:f>
              <c:numCache>
                <c:formatCode>#,##0</c:formatCode>
                <c:ptCount val="12"/>
                <c:pt idx="0">
                  <c:v>685720</c:v>
                </c:pt>
                <c:pt idx="1">
                  <c:v>1326048</c:v>
                </c:pt>
                <c:pt idx="2">
                  <c:v>1828630</c:v>
                </c:pt>
                <c:pt idx="3">
                  <c:v>2398084</c:v>
                </c:pt>
                <c:pt idx="4">
                  <c:v>3050017</c:v>
                </c:pt>
                <c:pt idx="5">
                  <c:v>3700017</c:v>
                </c:pt>
                <c:pt idx="6">
                  <c:v>4291704</c:v>
                </c:pt>
                <c:pt idx="7">
                  <c:v>4909195</c:v>
                </c:pt>
                <c:pt idx="8">
                  <c:v>5653735</c:v>
                </c:pt>
                <c:pt idx="9">
                  <c:v>6500111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52-459B-B684-63B99208A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Uganda!$M$81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Uganda!$N$75:$Y$75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Uganda!$N$81:$Y$81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378238</c:v>
                      </c:pt>
                      <c:pt idx="1">
                        <c:v>817053</c:v>
                      </c:pt>
                      <c:pt idx="2">
                        <c:v>1147301</c:v>
                      </c:pt>
                      <c:pt idx="3">
                        <c:v>1617252</c:v>
                      </c:pt>
                      <c:pt idx="4">
                        <c:v>2090246</c:v>
                      </c:pt>
                      <c:pt idx="5">
                        <c:v>2567807</c:v>
                      </c:pt>
                      <c:pt idx="6">
                        <c:v>2927780</c:v>
                      </c:pt>
                      <c:pt idx="7">
                        <c:v>3365377</c:v>
                      </c:pt>
                      <c:pt idx="8">
                        <c:v>3785750</c:v>
                      </c:pt>
                      <c:pt idx="9">
                        <c:v>4329001</c:v>
                      </c:pt>
                      <c:pt idx="10">
                        <c:v>4848684</c:v>
                      </c:pt>
                      <c:pt idx="11">
                        <c:v>5355154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099-4B63-90B9-C4E238C59942}"/>
                  </c:ext>
                </c:extLst>
              </c15:ser>
            </c15:filteredLineSeries>
          </c:ext>
        </c:extLst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India!$C$5</c:f>
          <c:strCache>
            <c:ptCount val="1"/>
            <c:pt idx="0">
              <c:v>India : Robusta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India!$B$12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5">
                    <a:lumMod val="20000"/>
                    <a:lumOff val="80000"/>
                  </a:schemeClr>
                </a:solidFill>
                <a:round/>
              </a:ln>
              <a:effectLst/>
            </c:spPr>
          </c:marker>
          <c:cat>
            <c:strRef>
              <c:f>India!$C$6:$N$6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India!$C$12:$N$12</c:f>
              <c:numCache>
                <c:formatCode>#,##0</c:formatCode>
                <c:ptCount val="12"/>
                <c:pt idx="0">
                  <c:v>295580.67500000005</c:v>
                </c:pt>
                <c:pt idx="1">
                  <c:v>258429.54833333331</c:v>
                </c:pt>
                <c:pt idx="2">
                  <c:v>293327.59133333334</c:v>
                </c:pt>
                <c:pt idx="3">
                  <c:v>232871.38683333332</c:v>
                </c:pt>
                <c:pt idx="4">
                  <c:v>392673.34366666665</c:v>
                </c:pt>
                <c:pt idx="5">
                  <c:v>480771.03616666683</c:v>
                </c:pt>
                <c:pt idx="6">
                  <c:v>250157.51316666667</c:v>
                </c:pt>
                <c:pt idx="7">
                  <c:v>399959.54466666677</c:v>
                </c:pt>
                <c:pt idx="8">
                  <c:v>422562.37266666681</c:v>
                </c:pt>
                <c:pt idx="9">
                  <c:v>400961.83250000025</c:v>
                </c:pt>
                <c:pt idx="10">
                  <c:v>305873.27250000002</c:v>
                </c:pt>
                <c:pt idx="11">
                  <c:v>291632.45200000011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7-42C9-989C-0F900288F0F7}"/>
            </c:ext>
          </c:extLst>
        </c:ser>
        <c:ser>
          <c:idx val="6"/>
          <c:order val="6"/>
          <c:tx>
            <c:strRef>
              <c:f>India!$B$13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India!$C$6:$N$6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India!$C$13:$N$13</c:f>
              <c:numCache>
                <c:formatCode>#,##0</c:formatCode>
                <c:ptCount val="12"/>
                <c:pt idx="0">
                  <c:v>282263.98733333341</c:v>
                </c:pt>
                <c:pt idx="1">
                  <c:v>273229.75966666674</c:v>
                </c:pt>
                <c:pt idx="2">
                  <c:v>234570.52616666668</c:v>
                </c:pt>
                <c:pt idx="3">
                  <c:v>209088.69333333339</c:v>
                </c:pt>
                <c:pt idx="4">
                  <c:v>352559.36683333333</c:v>
                </c:pt>
                <c:pt idx="5">
                  <c:v>524836.6649999998</c:v>
                </c:pt>
                <c:pt idx="6">
                  <c:v>392962.24466666661</c:v>
                </c:pt>
                <c:pt idx="7">
                  <c:v>391784.1988333335</c:v>
                </c:pt>
                <c:pt idx="8">
                  <c:v>492899.86683333351</c:v>
                </c:pt>
                <c:pt idx="9">
                  <c:v>425051.04866666673</c:v>
                </c:pt>
                <c:pt idx="10">
                  <c:v>434322.63900000037</c:v>
                </c:pt>
                <c:pt idx="11">
                  <c:v>473763.60483333317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D7-42C9-989C-0F900288F0F7}"/>
            </c:ext>
          </c:extLst>
        </c:ser>
        <c:ser>
          <c:idx val="7"/>
          <c:order val="7"/>
          <c:tx>
            <c:strRef>
              <c:f>India!$B$14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India!$C$6:$N$6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India!$C$14:$N$14</c:f>
              <c:numCache>
                <c:formatCode>#,##0</c:formatCode>
                <c:ptCount val="12"/>
                <c:pt idx="0">
                  <c:v>415326.51983333332</c:v>
                </c:pt>
                <c:pt idx="1">
                  <c:v>427341.54733333341</c:v>
                </c:pt>
                <c:pt idx="2">
                  <c:v>548717.98066666664</c:v>
                </c:pt>
                <c:pt idx="3">
                  <c:v>460265.15716666676</c:v>
                </c:pt>
                <c:pt idx="4">
                  <c:v>408407.19716666685</c:v>
                </c:pt>
                <c:pt idx="5">
                  <c:v>537922.91083333362</c:v>
                </c:pt>
                <c:pt idx="6">
                  <c:v>542673.79016666673</c:v>
                </c:pt>
                <c:pt idx="7">
                  <c:v>551174.72933333344</c:v>
                </c:pt>
                <c:pt idx="8">
                  <c:v>517372.60416666669</c:v>
                </c:pt>
                <c:pt idx="9">
                  <c:v>443995.97866666678</c:v>
                </c:pt>
                <c:pt idx="10">
                  <c:v>413988.51966666686</c:v>
                </c:pt>
                <c:pt idx="11">
                  <c:v>437552.50299999997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D7-42C9-989C-0F900288F0F7}"/>
            </c:ext>
          </c:extLst>
        </c:ser>
        <c:ser>
          <c:idx val="8"/>
          <c:order val="8"/>
          <c:tx>
            <c:strRef>
              <c:f>India!$B$15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India!$C$6:$N$6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India!$C$15:$N$15</c:f>
              <c:numCache>
                <c:formatCode>#,##0</c:formatCode>
                <c:ptCount val="12"/>
                <c:pt idx="0">
                  <c:v>351970.24400000006</c:v>
                </c:pt>
                <c:pt idx="1">
                  <c:v>334968.84533333342</c:v>
                </c:pt>
                <c:pt idx="2">
                  <c:v>305750.58116666664</c:v>
                </c:pt>
                <c:pt idx="3">
                  <c:v>305712.9378333335</c:v>
                </c:pt>
                <c:pt idx="4">
                  <c:v>436152.53450000007</c:v>
                </c:pt>
                <c:pt idx="5">
                  <c:v>566496.32200000016</c:v>
                </c:pt>
                <c:pt idx="6">
                  <c:v>496038.81533333316</c:v>
                </c:pt>
                <c:pt idx="7">
                  <c:v>466252.89949999988</c:v>
                </c:pt>
                <c:pt idx="8">
                  <c:v>462539.9426666667</c:v>
                </c:pt>
                <c:pt idx="9">
                  <c:v>435925.13316666661</c:v>
                </c:pt>
                <c:pt idx="10">
                  <c:v>362617.86316666659</c:v>
                </c:pt>
                <c:pt idx="11">
                  <c:v>349299.87666666677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D7-42C9-989C-0F900288F0F7}"/>
            </c:ext>
          </c:extLst>
        </c:ser>
        <c:ser>
          <c:idx val="9"/>
          <c:order val="9"/>
          <c:tx>
            <c:strRef>
              <c:f>India!$B$16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India!$C$6:$N$6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India!$C$16:$N$16</c:f>
              <c:numCache>
                <c:formatCode>#,##0</c:formatCode>
                <c:ptCount val="12"/>
                <c:pt idx="0">
                  <c:v>329671.25933333347</c:v>
                </c:pt>
                <c:pt idx="1">
                  <c:v>330960.30900000001</c:v>
                </c:pt>
                <c:pt idx="2">
                  <c:v>267062.71066666674</c:v>
                </c:pt>
                <c:pt idx="3">
                  <c:v>279865.78333333327</c:v>
                </c:pt>
                <c:pt idx="4">
                  <c:v>557751.03766666667</c:v>
                </c:pt>
                <c:pt idx="5">
                  <c:v>714304.39150000026</c:v>
                </c:pt>
                <c:pt idx="6">
                  <c:v>487891.00000000035</c:v>
                </c:pt>
                <c:pt idx="7">
                  <c:v>619628.80500000017</c:v>
                </c:pt>
                <c:pt idx="8">
                  <c:v>547800</c:v>
                </c:pt>
                <c:pt idx="9">
                  <c:v>547800</c:v>
                </c:pt>
                <c:pt idx="10">
                  <c:v>362617.86316666659</c:v>
                </c:pt>
                <c:pt idx="11">
                  <c:v>349299.87666666677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D7-42C9-989C-0F900288F0F7}"/>
            </c:ext>
          </c:extLst>
        </c:ser>
        <c:ser>
          <c:idx val="10"/>
          <c:order val="10"/>
          <c:tx>
            <c:strRef>
              <c:f>India!$B$17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India!$C$6:$N$6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India!$C$17:$N$17</c:f>
              <c:numCache>
                <c:formatCode>#,##0</c:formatCode>
                <c:ptCount val="12"/>
                <c:pt idx="0">
                  <c:v>243283</c:v>
                </c:pt>
                <c:pt idx="1">
                  <c:v>243283</c:v>
                </c:pt>
                <c:pt idx="2">
                  <c:v>218900</c:v>
                </c:pt>
                <c:pt idx="3">
                  <c:v>320235</c:v>
                </c:pt>
                <c:pt idx="4">
                  <c:v>428200</c:v>
                </c:pt>
                <c:pt idx="5">
                  <c:v>587683.33333333337</c:v>
                </c:pt>
                <c:pt idx="6">
                  <c:v>482637</c:v>
                </c:pt>
                <c:pt idx="7">
                  <c:v>421033</c:v>
                </c:pt>
                <c:pt idx="8">
                  <c:v>422000</c:v>
                </c:pt>
                <c:pt idx="9">
                  <c:v>441416</c:v>
                </c:pt>
                <c:pt idx="10">
                  <c:v>310366</c:v>
                </c:pt>
                <c:pt idx="11">
                  <c:v>324000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D7-42C9-989C-0F900288F0F7}"/>
            </c:ext>
          </c:extLst>
        </c:ser>
        <c:ser>
          <c:idx val="11"/>
          <c:order val="11"/>
          <c:tx>
            <c:strRef>
              <c:f>India!$B$18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India!$C$6:$N$6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India!$C$18:$N$18</c:f>
              <c:numCache>
                <c:formatCode>#,##0</c:formatCode>
                <c:ptCount val="12"/>
                <c:pt idx="0">
                  <c:v>313450</c:v>
                </c:pt>
                <c:pt idx="1">
                  <c:v>311000</c:v>
                </c:pt>
                <c:pt idx="2">
                  <c:v>340000</c:v>
                </c:pt>
                <c:pt idx="3">
                  <c:v>300000</c:v>
                </c:pt>
                <c:pt idx="4">
                  <c:v>550000</c:v>
                </c:pt>
                <c:pt idx="5">
                  <c:v>549300</c:v>
                </c:pt>
                <c:pt idx="6">
                  <c:v>545166.66666666674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B-4E4F-87BC-A9F4A609C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India!$B$7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India!$C$6:$N$6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India!$C$7:$N$7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216199.52516666663</c:v>
                      </c:pt>
                      <c:pt idx="1">
                        <c:v>225169.50683333335</c:v>
                      </c:pt>
                      <c:pt idx="2">
                        <c:v>247948.47050000002</c:v>
                      </c:pt>
                      <c:pt idx="3">
                        <c:v>202874.91749999998</c:v>
                      </c:pt>
                      <c:pt idx="4">
                        <c:v>347897.71833333332</c:v>
                      </c:pt>
                      <c:pt idx="5">
                        <c:v>489139.07550000009</c:v>
                      </c:pt>
                      <c:pt idx="6">
                        <c:v>397733.22550000018</c:v>
                      </c:pt>
                      <c:pt idx="7">
                        <c:v>428970.11283333332</c:v>
                      </c:pt>
                      <c:pt idx="8">
                        <c:v>394031.41383333335</c:v>
                      </c:pt>
                      <c:pt idx="9">
                        <c:v>319585.97366666666</c:v>
                      </c:pt>
                      <c:pt idx="10">
                        <c:v>285226.43133333337</c:v>
                      </c:pt>
                      <c:pt idx="11">
                        <c:v>286073.8191666666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0ED7-42C9-989C-0F900288F0F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254949.41516666667</c:v>
                      </c:pt>
                      <c:pt idx="1">
                        <c:v>237904.01883333328</c:v>
                      </c:pt>
                      <c:pt idx="2">
                        <c:v>309924.02250000002</c:v>
                      </c:pt>
                      <c:pt idx="3">
                        <c:v>261188.20016666668</c:v>
                      </c:pt>
                      <c:pt idx="4">
                        <c:v>353304.65200000006</c:v>
                      </c:pt>
                      <c:pt idx="5">
                        <c:v>563964.6778333335</c:v>
                      </c:pt>
                      <c:pt idx="6">
                        <c:v>508618.00999999989</c:v>
                      </c:pt>
                      <c:pt idx="7">
                        <c:v>462167.64316666668</c:v>
                      </c:pt>
                      <c:pt idx="8">
                        <c:v>540751.89083333313</c:v>
                      </c:pt>
                      <c:pt idx="9">
                        <c:v>375033.28033333336</c:v>
                      </c:pt>
                      <c:pt idx="10">
                        <c:v>361769.21933333337</c:v>
                      </c:pt>
                      <c:pt idx="11">
                        <c:v>335480.70416666678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ED7-42C9-989C-0F900288F0F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321172.20699999999</c:v>
                      </c:pt>
                      <c:pt idx="1">
                        <c:v>311331.18533333333</c:v>
                      </c:pt>
                      <c:pt idx="2">
                        <c:v>354200.14166666666</c:v>
                      </c:pt>
                      <c:pt idx="3">
                        <c:v>263917.1283333333</c:v>
                      </c:pt>
                      <c:pt idx="4">
                        <c:v>382404.64633333345</c:v>
                      </c:pt>
                      <c:pt idx="5">
                        <c:v>587037.27750000008</c:v>
                      </c:pt>
                      <c:pt idx="6">
                        <c:v>483386.97516666685</c:v>
                      </c:pt>
                      <c:pt idx="7">
                        <c:v>452807.03600000014</c:v>
                      </c:pt>
                      <c:pt idx="8">
                        <c:v>482597.16183333355</c:v>
                      </c:pt>
                      <c:pt idx="9">
                        <c:v>416381.82533333322</c:v>
                      </c:pt>
                      <c:pt idx="10">
                        <c:v>469645.57716666686</c:v>
                      </c:pt>
                      <c:pt idx="11">
                        <c:v>431794.48783333343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ED7-42C9-989C-0F900288F0F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325768.29583333334</c:v>
                      </c:pt>
                      <c:pt idx="1">
                        <c:v>342865.38083333336</c:v>
                      </c:pt>
                      <c:pt idx="2">
                        <c:v>396854.73650000006</c:v>
                      </c:pt>
                      <c:pt idx="3">
                        <c:v>272389.46716666676</c:v>
                      </c:pt>
                      <c:pt idx="4">
                        <c:v>417315.55266666674</c:v>
                      </c:pt>
                      <c:pt idx="5">
                        <c:v>595132.43550000014</c:v>
                      </c:pt>
                      <c:pt idx="6">
                        <c:v>465088.57350000012</c:v>
                      </c:pt>
                      <c:pt idx="7">
                        <c:v>461834.71283333324</c:v>
                      </c:pt>
                      <c:pt idx="8">
                        <c:v>493851.83783333341</c:v>
                      </c:pt>
                      <c:pt idx="9">
                        <c:v>338042.18549999973</c:v>
                      </c:pt>
                      <c:pt idx="10">
                        <c:v>298774.71483333339</c:v>
                      </c:pt>
                      <c:pt idx="11">
                        <c:v>339159.94933333353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ED7-42C9-989C-0F900288F0F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267026.99199999997</c:v>
                      </c:pt>
                      <c:pt idx="1">
                        <c:v>290722.56833333336</c:v>
                      </c:pt>
                      <c:pt idx="2">
                        <c:v>260514.21283333327</c:v>
                      </c:pt>
                      <c:pt idx="3">
                        <c:v>283351.50666666677</c:v>
                      </c:pt>
                      <c:pt idx="4">
                        <c:v>451894.71083333337</c:v>
                      </c:pt>
                      <c:pt idx="5">
                        <c:v>612124.93100000022</c:v>
                      </c:pt>
                      <c:pt idx="6">
                        <c:v>450550.48366666667</c:v>
                      </c:pt>
                      <c:pt idx="7">
                        <c:v>466713.66816666676</c:v>
                      </c:pt>
                      <c:pt idx="8">
                        <c:v>458598.18933333328</c:v>
                      </c:pt>
                      <c:pt idx="9">
                        <c:v>399473.12050000014</c:v>
                      </c:pt>
                      <c:pt idx="10">
                        <c:v>336993.43966666667</c:v>
                      </c:pt>
                      <c:pt idx="11">
                        <c:v>296220.61166666675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ED7-42C9-989C-0F900288F0F7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576159254"/>
          <c:y val="0.12683316652140283"/>
          <c:w val="0.89727959880695962"/>
          <c:h val="7.0535359673294551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India!$A$66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India!$B$65:$M$65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India!$B$66:$M$66</c:f>
              <c:numCache>
                <c:formatCode>#,##0</c:formatCode>
                <c:ptCount val="12"/>
                <c:pt idx="0">
                  <c:v>313450</c:v>
                </c:pt>
                <c:pt idx="1">
                  <c:v>311000</c:v>
                </c:pt>
                <c:pt idx="2">
                  <c:v>340000</c:v>
                </c:pt>
                <c:pt idx="3">
                  <c:v>300000</c:v>
                </c:pt>
                <c:pt idx="4">
                  <c:v>550000</c:v>
                </c:pt>
                <c:pt idx="5">
                  <c:v>549300</c:v>
                </c:pt>
                <c:pt idx="6">
                  <c:v>545166.66666666674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A6-4535-A573-D0CB143076E2}"/>
            </c:ext>
          </c:extLst>
        </c:ser>
        <c:ser>
          <c:idx val="1"/>
          <c:order val="1"/>
          <c:tx>
            <c:strRef>
              <c:f>India!$A$67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India!$B$65:$M$65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India!$B$67:$M$67</c:f>
              <c:numCache>
                <c:formatCode>#,##0</c:formatCode>
                <c:ptCount val="12"/>
                <c:pt idx="0">
                  <c:v>216199.52516666663</c:v>
                </c:pt>
                <c:pt idx="1">
                  <c:v>225169.50683333335</c:v>
                </c:pt>
                <c:pt idx="2">
                  <c:v>218900</c:v>
                </c:pt>
                <c:pt idx="3">
                  <c:v>202874.91749999998</c:v>
                </c:pt>
                <c:pt idx="4">
                  <c:v>347897.71833333332</c:v>
                </c:pt>
                <c:pt idx="5">
                  <c:v>480771.03616666683</c:v>
                </c:pt>
                <c:pt idx="6">
                  <c:v>250157.51316666667</c:v>
                </c:pt>
                <c:pt idx="7">
                  <c:v>391784.1988333335</c:v>
                </c:pt>
                <c:pt idx="8">
                  <c:v>394031.41383333335</c:v>
                </c:pt>
                <c:pt idx="9">
                  <c:v>319585.97366666666</c:v>
                </c:pt>
                <c:pt idx="10">
                  <c:v>285226.43133333337</c:v>
                </c:pt>
                <c:pt idx="11">
                  <c:v>286073.8191666666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A6-4535-A573-D0CB143076E2}"/>
            </c:ext>
          </c:extLst>
        </c:ser>
        <c:ser>
          <c:idx val="2"/>
          <c:order val="2"/>
          <c:tx>
            <c:strRef>
              <c:f>India!$A$68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India!$B$65:$M$65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India!$B$68:$M$68</c:f>
              <c:numCache>
                <c:formatCode>#,##0</c:formatCode>
                <c:ptCount val="12"/>
                <c:pt idx="0">
                  <c:v>415326.51983333332</c:v>
                </c:pt>
                <c:pt idx="1">
                  <c:v>427341.54733333341</c:v>
                </c:pt>
                <c:pt idx="2">
                  <c:v>548717.98066666664</c:v>
                </c:pt>
                <c:pt idx="3">
                  <c:v>460265.15716666676</c:v>
                </c:pt>
                <c:pt idx="4">
                  <c:v>557751.03766666667</c:v>
                </c:pt>
                <c:pt idx="5">
                  <c:v>714304.39150000026</c:v>
                </c:pt>
                <c:pt idx="6">
                  <c:v>542673.79016666673</c:v>
                </c:pt>
                <c:pt idx="7">
                  <c:v>619628.80500000017</c:v>
                </c:pt>
                <c:pt idx="8">
                  <c:v>547800</c:v>
                </c:pt>
                <c:pt idx="9">
                  <c:v>547800</c:v>
                </c:pt>
                <c:pt idx="10">
                  <c:v>469645.57716666686</c:v>
                </c:pt>
                <c:pt idx="11">
                  <c:v>473763.60483333317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A6-4535-A573-D0CB143076E2}"/>
            </c:ext>
          </c:extLst>
        </c:ser>
        <c:ser>
          <c:idx val="3"/>
          <c:order val="3"/>
          <c:tx>
            <c:strRef>
              <c:f>India!$A$69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India!$B$65:$M$65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India!$B$69:$M$69</c:f>
              <c:numCache>
                <c:formatCode>#,##0</c:formatCode>
                <c:ptCount val="12"/>
                <c:pt idx="0">
                  <c:v>324503.00210000004</c:v>
                </c:pt>
                <c:pt idx="1">
                  <c:v>321956.69226666668</c:v>
                </c:pt>
                <c:pt idx="2">
                  <c:v>315000.35973333335</c:v>
                </c:pt>
                <c:pt idx="3">
                  <c:v>315033.51433333341</c:v>
                </c:pt>
                <c:pt idx="4">
                  <c:v>436614.02723333344</c:v>
                </c:pt>
                <c:pt idx="5">
                  <c:v>586248.72453333344</c:v>
                </c:pt>
                <c:pt idx="6">
                  <c:v>480440.57003333338</c:v>
                </c:pt>
                <c:pt idx="7">
                  <c:v>489974.72653333342</c:v>
                </c:pt>
                <c:pt idx="8">
                  <c:v>488522.48273333337</c:v>
                </c:pt>
                <c:pt idx="9">
                  <c:v>458837.63210000005</c:v>
                </c:pt>
                <c:pt idx="10">
                  <c:v>376782.57700000011</c:v>
                </c:pt>
                <c:pt idx="11">
                  <c:v>386783.17223333329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A6-4535-A573-D0CB14307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India!$I$84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India!$H$85:$H$208</c:f>
              <c:strCache>
                <c:ptCount val="124"/>
                <c:pt idx="0">
                  <c:v>Sep'14/15</c:v>
                </c:pt>
                <c:pt idx="1">
                  <c:v>Oct'15/16</c:v>
                </c:pt>
                <c:pt idx="2">
                  <c:v>Nov'15/16</c:v>
                </c:pt>
                <c:pt idx="3">
                  <c:v>Dec'15/16</c:v>
                </c:pt>
                <c:pt idx="4">
                  <c:v>Jan'15/16</c:v>
                </c:pt>
                <c:pt idx="5">
                  <c:v>Feb'15/16</c:v>
                </c:pt>
                <c:pt idx="6">
                  <c:v>Mar'15/16</c:v>
                </c:pt>
                <c:pt idx="7">
                  <c:v>Apr'15/16</c:v>
                </c:pt>
                <c:pt idx="8">
                  <c:v>May'15/16</c:v>
                </c:pt>
                <c:pt idx="9">
                  <c:v>Jun'15/16</c:v>
                </c:pt>
                <c:pt idx="10">
                  <c:v>Jul'15/16</c:v>
                </c:pt>
                <c:pt idx="11">
                  <c:v>Aug'15/16</c:v>
                </c:pt>
                <c:pt idx="12">
                  <c:v>Sep'15/16</c:v>
                </c:pt>
                <c:pt idx="13">
                  <c:v>Oct'16/17</c:v>
                </c:pt>
                <c:pt idx="14">
                  <c:v>Nov'16/17</c:v>
                </c:pt>
                <c:pt idx="15">
                  <c:v>Dec'16/17</c:v>
                </c:pt>
                <c:pt idx="16">
                  <c:v>Jan'16/17</c:v>
                </c:pt>
                <c:pt idx="17">
                  <c:v>Feb'16/17</c:v>
                </c:pt>
                <c:pt idx="18">
                  <c:v>Mar'16/17</c:v>
                </c:pt>
                <c:pt idx="19">
                  <c:v>Apr'16/17</c:v>
                </c:pt>
                <c:pt idx="20">
                  <c:v>May'16/17</c:v>
                </c:pt>
                <c:pt idx="21">
                  <c:v>Jun'16/17</c:v>
                </c:pt>
                <c:pt idx="22">
                  <c:v>Jul'16/17</c:v>
                </c:pt>
                <c:pt idx="23">
                  <c:v>Aug'16/17</c:v>
                </c:pt>
                <c:pt idx="24">
                  <c:v>Sep'16/17</c:v>
                </c:pt>
                <c:pt idx="25">
                  <c:v>Oct'17/18</c:v>
                </c:pt>
                <c:pt idx="26">
                  <c:v>Nov'17/18</c:v>
                </c:pt>
                <c:pt idx="27">
                  <c:v>Dec'17/18</c:v>
                </c:pt>
                <c:pt idx="28">
                  <c:v>Jan'17/18</c:v>
                </c:pt>
                <c:pt idx="29">
                  <c:v>Feb'17/18</c:v>
                </c:pt>
                <c:pt idx="30">
                  <c:v>Mar'17/18</c:v>
                </c:pt>
                <c:pt idx="31">
                  <c:v>Apr'17/18</c:v>
                </c:pt>
                <c:pt idx="32">
                  <c:v>May'17/18</c:v>
                </c:pt>
                <c:pt idx="33">
                  <c:v>Jun'17/18</c:v>
                </c:pt>
                <c:pt idx="34">
                  <c:v>Jul'17/18</c:v>
                </c:pt>
                <c:pt idx="35">
                  <c:v>Aug'17/18</c:v>
                </c:pt>
                <c:pt idx="36">
                  <c:v>Sep'17/18</c:v>
                </c:pt>
                <c:pt idx="37">
                  <c:v>Oct'18/19</c:v>
                </c:pt>
                <c:pt idx="38">
                  <c:v>Nov'18/19</c:v>
                </c:pt>
                <c:pt idx="39">
                  <c:v>Dec'18/19</c:v>
                </c:pt>
                <c:pt idx="40">
                  <c:v>Jan'18/19</c:v>
                </c:pt>
                <c:pt idx="41">
                  <c:v>Feb'18/19</c:v>
                </c:pt>
                <c:pt idx="42">
                  <c:v>Mar'18/19</c:v>
                </c:pt>
                <c:pt idx="43">
                  <c:v>Apr'18/19</c:v>
                </c:pt>
                <c:pt idx="44">
                  <c:v>May'18/19</c:v>
                </c:pt>
                <c:pt idx="45">
                  <c:v>Jun'18/19</c:v>
                </c:pt>
                <c:pt idx="46">
                  <c:v>Jul'18/19</c:v>
                </c:pt>
                <c:pt idx="47">
                  <c:v>Aug'18/19</c:v>
                </c:pt>
                <c:pt idx="48">
                  <c:v>Sep'18/19</c:v>
                </c:pt>
                <c:pt idx="49">
                  <c:v>Oct'19/20</c:v>
                </c:pt>
                <c:pt idx="50">
                  <c:v>Nov'19/20</c:v>
                </c:pt>
                <c:pt idx="51">
                  <c:v>Dec'19/20</c:v>
                </c:pt>
                <c:pt idx="52">
                  <c:v>Jan'19/20</c:v>
                </c:pt>
                <c:pt idx="53">
                  <c:v>Feb'19/20</c:v>
                </c:pt>
                <c:pt idx="54">
                  <c:v>Mar'19/20</c:v>
                </c:pt>
                <c:pt idx="55">
                  <c:v>Apr'19/20</c:v>
                </c:pt>
                <c:pt idx="56">
                  <c:v>May'19/20</c:v>
                </c:pt>
                <c:pt idx="57">
                  <c:v>Jun'19/20</c:v>
                </c:pt>
                <c:pt idx="58">
                  <c:v>Jul'19/20</c:v>
                </c:pt>
                <c:pt idx="59">
                  <c:v>Aug'19/20</c:v>
                </c:pt>
                <c:pt idx="60">
                  <c:v>Sep'19/20</c:v>
                </c:pt>
                <c:pt idx="61">
                  <c:v>Oct'20/21</c:v>
                </c:pt>
                <c:pt idx="62">
                  <c:v>Nov'20/21</c:v>
                </c:pt>
                <c:pt idx="63">
                  <c:v>Dec'20/21</c:v>
                </c:pt>
                <c:pt idx="64">
                  <c:v>Jan'20/21</c:v>
                </c:pt>
                <c:pt idx="65">
                  <c:v>Feb'20/21</c:v>
                </c:pt>
                <c:pt idx="66">
                  <c:v>Mar'20/21</c:v>
                </c:pt>
                <c:pt idx="67">
                  <c:v>Apr'20/21</c:v>
                </c:pt>
                <c:pt idx="68">
                  <c:v>May'20/21</c:v>
                </c:pt>
                <c:pt idx="69">
                  <c:v>Jun'20/21</c:v>
                </c:pt>
                <c:pt idx="70">
                  <c:v>Jul'20/21</c:v>
                </c:pt>
                <c:pt idx="71">
                  <c:v>Aug'20/21</c:v>
                </c:pt>
                <c:pt idx="72">
                  <c:v>Sep'20/21</c:v>
                </c:pt>
                <c:pt idx="73">
                  <c:v>Oct'21/22</c:v>
                </c:pt>
                <c:pt idx="74">
                  <c:v>Nov'21/22</c:v>
                </c:pt>
                <c:pt idx="75">
                  <c:v>Dec'21/22</c:v>
                </c:pt>
                <c:pt idx="76">
                  <c:v>Jan'21/22</c:v>
                </c:pt>
                <c:pt idx="77">
                  <c:v>Feb'21/22</c:v>
                </c:pt>
                <c:pt idx="78">
                  <c:v>Mar'21/22</c:v>
                </c:pt>
                <c:pt idx="79">
                  <c:v>Apr'21/22</c:v>
                </c:pt>
                <c:pt idx="80">
                  <c:v>May'21/22</c:v>
                </c:pt>
                <c:pt idx="81">
                  <c:v>Jun'21/22</c:v>
                </c:pt>
                <c:pt idx="82">
                  <c:v>Jul'21/22</c:v>
                </c:pt>
                <c:pt idx="83">
                  <c:v>Aug'21/22</c:v>
                </c:pt>
                <c:pt idx="84">
                  <c:v>Sep'21/22</c:v>
                </c:pt>
                <c:pt idx="85">
                  <c:v>Oct'22/23</c:v>
                </c:pt>
                <c:pt idx="86">
                  <c:v>Nov'22/23</c:v>
                </c:pt>
                <c:pt idx="87">
                  <c:v>Dec'22/23</c:v>
                </c:pt>
                <c:pt idx="88">
                  <c:v>Jan'22/23</c:v>
                </c:pt>
                <c:pt idx="89">
                  <c:v>Feb'22/23</c:v>
                </c:pt>
                <c:pt idx="90">
                  <c:v>Mar'22/23</c:v>
                </c:pt>
                <c:pt idx="91">
                  <c:v>Apr'22/23</c:v>
                </c:pt>
                <c:pt idx="92">
                  <c:v>May'22/23</c:v>
                </c:pt>
                <c:pt idx="93">
                  <c:v>Jun'22/23</c:v>
                </c:pt>
                <c:pt idx="94">
                  <c:v>Jul'22/23</c:v>
                </c:pt>
                <c:pt idx="95">
                  <c:v>Aug'22/23</c:v>
                </c:pt>
                <c:pt idx="96">
                  <c:v>Sep'22/23</c:v>
                </c:pt>
                <c:pt idx="97">
                  <c:v>Oct'23/24</c:v>
                </c:pt>
                <c:pt idx="98">
                  <c:v>Nov'23/24</c:v>
                </c:pt>
                <c:pt idx="99">
                  <c:v>Dec'23/24</c:v>
                </c:pt>
                <c:pt idx="100">
                  <c:v>Jan'23/24</c:v>
                </c:pt>
                <c:pt idx="101">
                  <c:v>Feb'23/24</c:v>
                </c:pt>
                <c:pt idx="102">
                  <c:v>Mar'23/24</c:v>
                </c:pt>
                <c:pt idx="103">
                  <c:v>Apr'23/24</c:v>
                </c:pt>
                <c:pt idx="104">
                  <c:v>May'23/24</c:v>
                </c:pt>
                <c:pt idx="105">
                  <c:v>Jun'23/24</c:v>
                </c:pt>
                <c:pt idx="106">
                  <c:v>Jul'23/24</c:v>
                </c:pt>
                <c:pt idx="107">
                  <c:v>Aug'23/24</c:v>
                </c:pt>
                <c:pt idx="108">
                  <c:v>Sep'23/24</c:v>
                </c:pt>
                <c:pt idx="109">
                  <c:v>Oct'24/25</c:v>
                </c:pt>
                <c:pt idx="110">
                  <c:v>Nov'24/25</c:v>
                </c:pt>
                <c:pt idx="111">
                  <c:v>Dec'24/25</c:v>
                </c:pt>
                <c:pt idx="112">
                  <c:v>Jan'24/25</c:v>
                </c:pt>
                <c:pt idx="113">
                  <c:v>Feb'24/25</c:v>
                </c:pt>
                <c:pt idx="114">
                  <c:v>Mar'24/25</c:v>
                </c:pt>
                <c:pt idx="115">
                  <c:v>Apr'24/25</c:v>
                </c:pt>
                <c:pt idx="116">
                  <c:v>May'24/25</c:v>
                </c:pt>
                <c:pt idx="117">
                  <c:v>Jun'24/25</c:v>
                </c:pt>
                <c:pt idx="118">
                  <c:v>Jul'24/25</c:v>
                </c:pt>
                <c:pt idx="119">
                  <c:v>Aug'24/25</c:v>
                </c:pt>
                <c:pt idx="120">
                  <c:v>Sep'24/25</c:v>
                </c:pt>
                <c:pt idx="121">
                  <c:v>Oct'25/26</c:v>
                </c:pt>
                <c:pt idx="122">
                  <c:v>Nov'25/26</c:v>
                </c:pt>
                <c:pt idx="123">
                  <c:v>Dec'25/26</c:v>
                </c:pt>
              </c:strCache>
            </c:strRef>
          </c:cat>
          <c:val>
            <c:numRef>
              <c:f>India!$I$85:$I$208</c:f>
              <c:numCache>
                <c:formatCode>General</c:formatCode>
                <c:ptCount val="124"/>
                <c:pt idx="0">
                  <c:v>3.8408501901666661</c:v>
                </c:pt>
                <c:pt idx="1">
                  <c:v>3.8796000801666666</c:v>
                </c:pt>
                <c:pt idx="2">
                  <c:v>3.8923345921666663</c:v>
                </c:pt>
                <c:pt idx="3">
                  <c:v>3.9543101441666666</c:v>
                </c:pt>
                <c:pt idx="4">
                  <c:v>4.0126234268333336</c:v>
                </c:pt>
                <c:pt idx="5">
                  <c:v>4.0180303605000001</c:v>
                </c:pt>
                <c:pt idx="6">
                  <c:v>4.0928559628333341</c:v>
                </c:pt>
                <c:pt idx="7">
                  <c:v>4.2037407473333337</c:v>
                </c:pt>
                <c:pt idx="8">
                  <c:v>4.2369382776666669</c:v>
                </c:pt>
                <c:pt idx="9">
                  <c:v>4.3836587546666665</c:v>
                </c:pt>
                <c:pt idx="10">
                  <c:v>4.4391060613333329</c:v>
                </c:pt>
                <c:pt idx="11">
                  <c:v>4.5156488493333331</c:v>
                </c:pt>
                <c:pt idx="12">
                  <c:v>4.5650557343333329</c:v>
                </c:pt>
                <c:pt idx="13">
                  <c:v>4.6312785261666676</c:v>
                </c:pt>
                <c:pt idx="14">
                  <c:v>4.7047056926666668</c:v>
                </c:pt>
                <c:pt idx="15">
                  <c:v>4.7489818118333336</c:v>
                </c:pt>
                <c:pt idx="16">
                  <c:v>4.7517107399999992</c:v>
                </c:pt>
                <c:pt idx="17">
                  <c:v>4.7808107343333326</c:v>
                </c:pt>
                <c:pt idx="18">
                  <c:v>4.803883334</c:v>
                </c:pt>
                <c:pt idx="19">
                  <c:v>4.7786522991666684</c:v>
                </c:pt>
                <c:pt idx="20">
                  <c:v>4.7692916920000012</c:v>
                </c:pt>
                <c:pt idx="21">
                  <c:v>4.7111369630000004</c:v>
                </c:pt>
                <c:pt idx="22">
                  <c:v>4.7524855080000012</c:v>
                </c:pt>
                <c:pt idx="23">
                  <c:v>4.860361865833335</c:v>
                </c:pt>
                <c:pt idx="24">
                  <c:v>4.9566756495000002</c:v>
                </c:pt>
                <c:pt idx="25">
                  <c:v>4.961271738333334</c:v>
                </c:pt>
                <c:pt idx="26">
                  <c:v>4.9928059338333339</c:v>
                </c:pt>
                <c:pt idx="27">
                  <c:v>5.0354605286666665</c:v>
                </c:pt>
                <c:pt idx="28">
                  <c:v>5.0439328675000006</c:v>
                </c:pt>
                <c:pt idx="29">
                  <c:v>5.0788437738333343</c:v>
                </c:pt>
                <c:pt idx="30">
                  <c:v>5.086938931833334</c:v>
                </c:pt>
                <c:pt idx="31">
                  <c:v>5.0686405301666682</c:v>
                </c:pt>
                <c:pt idx="32">
                  <c:v>5.0776682070000003</c:v>
                </c:pt>
                <c:pt idx="33">
                  <c:v>5.0889228830000013</c:v>
                </c:pt>
                <c:pt idx="34">
                  <c:v>5.0105832431666677</c:v>
                </c:pt>
                <c:pt idx="35">
                  <c:v>4.8397123808333333</c:v>
                </c:pt>
                <c:pt idx="36">
                  <c:v>4.7470778423333337</c:v>
                </c:pt>
                <c:pt idx="37">
                  <c:v>4.6883365384999998</c:v>
                </c:pt>
                <c:pt idx="38">
                  <c:v>4.6361937260000001</c:v>
                </c:pt>
                <c:pt idx="39">
                  <c:v>4.499853202333334</c:v>
                </c:pt>
                <c:pt idx="40">
                  <c:v>4.5108152418333338</c:v>
                </c:pt>
                <c:pt idx="41">
                  <c:v>4.5453944000000002</c:v>
                </c:pt>
                <c:pt idx="42">
                  <c:v>4.5623868955000004</c:v>
                </c:pt>
                <c:pt idx="43">
                  <c:v>4.5478488056666677</c:v>
                </c:pt>
                <c:pt idx="44">
                  <c:v>4.5527277610000008</c:v>
                </c:pt>
                <c:pt idx="45">
                  <c:v>4.5174741125000004</c:v>
                </c:pt>
                <c:pt idx="46">
                  <c:v>4.5789050475000002</c:v>
                </c:pt>
                <c:pt idx="47">
                  <c:v>4.6171237723333345</c:v>
                </c:pt>
                <c:pt idx="48">
                  <c:v>4.5741844346666669</c:v>
                </c:pt>
                <c:pt idx="49">
                  <c:v>4.6027381176666671</c:v>
                </c:pt>
                <c:pt idx="50">
                  <c:v>4.5704450976666671</c:v>
                </c:pt>
                <c:pt idx="51">
                  <c:v>4.6032584761666664</c:v>
                </c:pt>
                <c:pt idx="52">
                  <c:v>4.5527783563333335</c:v>
                </c:pt>
                <c:pt idx="53">
                  <c:v>4.4935569891666676</c:v>
                </c:pt>
                <c:pt idx="54">
                  <c:v>4.3622030943333341</c:v>
                </c:pt>
                <c:pt idx="55">
                  <c:v>4.1618101238333338</c:v>
                </c:pt>
                <c:pt idx="56">
                  <c:v>4.0950560003333329</c:v>
                </c:pt>
                <c:pt idx="57">
                  <c:v>4.0590201836666671</c:v>
                </c:pt>
                <c:pt idx="58">
                  <c:v>4.0605088956666675</c:v>
                </c:pt>
                <c:pt idx="59">
                  <c:v>4.0293887284999998</c:v>
                </c:pt>
                <c:pt idx="60">
                  <c:v>4.0248005688333341</c:v>
                </c:pt>
                <c:pt idx="61">
                  <c:v>4.0114838811666678</c:v>
                </c:pt>
                <c:pt idx="62">
                  <c:v>4.0262840925000019</c:v>
                </c:pt>
                <c:pt idx="63">
                  <c:v>3.9675270273333352</c:v>
                </c:pt>
                <c:pt idx="64">
                  <c:v>3.9437443338333344</c:v>
                </c:pt>
                <c:pt idx="65">
                  <c:v>3.9036303570000013</c:v>
                </c:pt>
                <c:pt idx="66">
                  <c:v>3.9476959858333336</c:v>
                </c:pt>
                <c:pt idx="67">
                  <c:v>4.0905007173333345</c:v>
                </c:pt>
                <c:pt idx="68">
                  <c:v>4.0823253715000005</c:v>
                </c:pt>
                <c:pt idx="69">
                  <c:v>4.1526628656666675</c:v>
                </c:pt>
                <c:pt idx="70">
                  <c:v>4.1767520818333335</c:v>
                </c:pt>
                <c:pt idx="71">
                  <c:v>4.3052014483333343</c:v>
                </c:pt>
                <c:pt idx="72">
                  <c:v>4.4873326011666661</c:v>
                </c:pt>
                <c:pt idx="73">
                  <c:v>4.6203951336666664</c:v>
                </c:pt>
                <c:pt idx="74">
                  <c:v>4.7745069213333338</c:v>
                </c:pt>
                <c:pt idx="75">
                  <c:v>5.0886543758333334</c:v>
                </c:pt>
                <c:pt idx="76">
                  <c:v>5.3398308396666661</c:v>
                </c:pt>
                <c:pt idx="77">
                  <c:v>5.3956786699999997</c:v>
                </c:pt>
                <c:pt idx="78">
                  <c:v>5.4087649158333342</c:v>
                </c:pt>
                <c:pt idx="79">
                  <c:v>5.5584764613333357</c:v>
                </c:pt>
                <c:pt idx="80">
                  <c:v>5.7178669918333345</c:v>
                </c:pt>
                <c:pt idx="81">
                  <c:v>5.7423397291666687</c:v>
                </c:pt>
                <c:pt idx="82">
                  <c:v>5.7612846591666687</c:v>
                </c:pt>
                <c:pt idx="83">
                  <c:v>5.7409505398333351</c:v>
                </c:pt>
                <c:pt idx="84">
                  <c:v>5.7047394380000007</c:v>
                </c:pt>
                <c:pt idx="85">
                  <c:v>5.641383162166667</c:v>
                </c:pt>
                <c:pt idx="86">
                  <c:v>5.5490104601666665</c:v>
                </c:pt>
                <c:pt idx="87">
                  <c:v>5.3060430606666671</c:v>
                </c:pt>
                <c:pt idx="88">
                  <c:v>5.1514908413333353</c:v>
                </c:pt>
                <c:pt idx="89">
                  <c:v>5.1792361786666676</c:v>
                </c:pt>
                <c:pt idx="90">
                  <c:v>5.2078095898333343</c:v>
                </c:pt>
                <c:pt idx="91">
                  <c:v>5.1611746150000002</c:v>
                </c:pt>
                <c:pt idx="92">
                  <c:v>5.0762527851666679</c:v>
                </c:pt>
                <c:pt idx="93">
                  <c:v>5.0214201236666671</c:v>
                </c:pt>
                <c:pt idx="94">
                  <c:v>5.0133492781666664</c:v>
                </c:pt>
                <c:pt idx="95">
                  <c:v>4.9619786216666668</c:v>
                </c:pt>
                <c:pt idx="96">
                  <c:v>4.8737259953333343</c:v>
                </c:pt>
                <c:pt idx="97">
                  <c:v>4.8514270106666668</c:v>
                </c:pt>
                <c:pt idx="98">
                  <c:v>4.8474184743333337</c:v>
                </c:pt>
                <c:pt idx="99">
                  <c:v>4.8087306038333333</c:v>
                </c:pt>
                <c:pt idx="100">
                  <c:v>4.7828834493333332</c:v>
                </c:pt>
                <c:pt idx="101">
                  <c:v>4.9044819524999994</c:v>
                </c:pt>
                <c:pt idx="102">
                  <c:v>5.0522900220000002</c:v>
                </c:pt>
                <c:pt idx="103">
                  <c:v>5.0441422066666668</c:v>
                </c:pt>
                <c:pt idx="104">
                  <c:v>5.1975181121666676</c:v>
                </c:pt>
                <c:pt idx="105">
                  <c:v>5.2827781695000011</c:v>
                </c:pt>
                <c:pt idx="106">
                  <c:v>5.3946530363333345</c:v>
                </c:pt>
                <c:pt idx="107">
                  <c:v>5.3946530363333345</c:v>
                </c:pt>
                <c:pt idx="108">
                  <c:v>5.3946530363333345</c:v>
                </c:pt>
                <c:pt idx="109">
                  <c:v>5.3082647770000015</c:v>
                </c:pt>
                <c:pt idx="110">
                  <c:v>5.2205874680000015</c:v>
                </c:pt>
                <c:pt idx="111">
                  <c:v>5.1724247573333342</c:v>
                </c:pt>
                <c:pt idx="112">
                  <c:v>5.2127939740000011</c:v>
                </c:pt>
                <c:pt idx="113">
                  <c:v>5.0832429363333338</c:v>
                </c:pt>
                <c:pt idx="114">
                  <c:v>4.9566218781666675</c:v>
                </c:pt>
                <c:pt idx="115">
                  <c:v>4.9513678781666668</c:v>
                </c:pt>
                <c:pt idx="116">
                  <c:v>4.7527720731666667</c:v>
                </c:pt>
                <c:pt idx="117">
                  <c:v>4.6269720731666668</c:v>
                </c:pt>
                <c:pt idx="118">
                  <c:v>4.5205880731666666</c:v>
                </c:pt>
                <c:pt idx="119">
                  <c:v>4.4683362100000004</c:v>
                </c:pt>
                <c:pt idx="120">
                  <c:v>4.4430363333333336</c:v>
                </c:pt>
                <c:pt idx="121">
                  <c:v>4.5132033333333341</c:v>
                </c:pt>
                <c:pt idx="122">
                  <c:v>4.5809203333333341</c:v>
                </c:pt>
                <c:pt idx="123">
                  <c:v>4.7020203333333344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8-4697-A157-2EDA9DEB3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India!$K$27</c:f>
          <c:strCache>
            <c:ptCount val="1"/>
            <c:pt idx="0">
              <c:v>India : Robusta Exports | YTD : Oct-Apr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India!$S$10:$S$17</c:f>
              <c:strCache>
                <c:ptCount val="8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</c:strCache>
            </c:strRef>
          </c:cat>
          <c:val>
            <c:numRef>
              <c:f>India!$T$10:$T$17</c:f>
              <c:numCache>
                <c:formatCode>#,##0</c:formatCode>
                <c:ptCount val="8"/>
                <c:pt idx="0">
                  <c:v>2815414.4420000007</c:v>
                </c:pt>
                <c:pt idx="1">
                  <c:v>2616185.4053333336</c:v>
                </c:pt>
                <c:pt idx="2">
                  <c:v>2203811.0945000001</c:v>
                </c:pt>
                <c:pt idx="3">
                  <c:v>2269511.2429999998</c:v>
                </c:pt>
                <c:pt idx="4">
                  <c:v>3340655.1031666673</c:v>
                </c:pt>
                <c:pt idx="5">
                  <c:v>2797090.2801666674</c:v>
                </c:pt>
                <c:pt idx="6">
                  <c:v>2967506.4915000009</c:v>
                </c:pt>
                <c:pt idx="7">
                  <c:v>2524221.3333333335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A-45B2-85CC-7C83615A1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India!$Q$27</c:f>
          <c:strCache>
            <c:ptCount val="1"/>
            <c:pt idx="0">
              <c:v>India : Robusta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India!$M$83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India!$N$75:$Y$75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India!$N$83:$Y$83</c:f>
              <c:numCache>
                <c:formatCode>#,##0</c:formatCode>
                <c:ptCount val="12"/>
                <c:pt idx="0">
                  <c:v>415326.51983333332</c:v>
                </c:pt>
                <c:pt idx="1">
                  <c:v>842668.06716666673</c:v>
                </c:pt>
                <c:pt idx="2">
                  <c:v>1391386.0478333333</c:v>
                </c:pt>
                <c:pt idx="3">
                  <c:v>1851651.2050000001</c:v>
                </c:pt>
                <c:pt idx="4">
                  <c:v>2260058.4021666669</c:v>
                </c:pt>
                <c:pt idx="5">
                  <c:v>2797981.3130000005</c:v>
                </c:pt>
                <c:pt idx="6">
                  <c:v>3340655.1031666673</c:v>
                </c:pt>
                <c:pt idx="7">
                  <c:v>3891829.8325000005</c:v>
                </c:pt>
                <c:pt idx="8">
                  <c:v>4409202.4366666675</c:v>
                </c:pt>
                <c:pt idx="9">
                  <c:v>4853198.4153333344</c:v>
                </c:pt>
                <c:pt idx="10">
                  <c:v>5267186.9350000015</c:v>
                </c:pt>
                <c:pt idx="11">
                  <c:v>5704739.438000001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0B-458B-8174-1ADCC7A7AB75}"/>
            </c:ext>
          </c:extLst>
        </c:ser>
        <c:ser>
          <c:idx val="3"/>
          <c:order val="3"/>
          <c:tx>
            <c:strRef>
              <c:f>India!$M$84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India!$N$75:$Y$75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India!$N$84:$Y$84</c:f>
              <c:numCache>
                <c:formatCode>#,##0</c:formatCode>
                <c:ptCount val="12"/>
                <c:pt idx="0">
                  <c:v>351970.24400000006</c:v>
                </c:pt>
                <c:pt idx="1">
                  <c:v>686939.08933333354</c:v>
                </c:pt>
                <c:pt idx="2">
                  <c:v>992689.67050000024</c:v>
                </c:pt>
                <c:pt idx="3">
                  <c:v>1298402.6083333339</c:v>
                </c:pt>
                <c:pt idx="4">
                  <c:v>1734555.1428333339</c:v>
                </c:pt>
                <c:pt idx="5">
                  <c:v>2301051.4648333341</c:v>
                </c:pt>
                <c:pt idx="6">
                  <c:v>2797090.2801666674</c:v>
                </c:pt>
                <c:pt idx="7">
                  <c:v>3263343.1796666672</c:v>
                </c:pt>
                <c:pt idx="8">
                  <c:v>3725883.1223333338</c:v>
                </c:pt>
                <c:pt idx="9">
                  <c:v>4161808.2555000004</c:v>
                </c:pt>
                <c:pt idx="10">
                  <c:v>4524426.1186666675</c:v>
                </c:pt>
                <c:pt idx="11">
                  <c:v>4873725.9953333344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0B-458B-8174-1ADCC7A7AB75}"/>
            </c:ext>
          </c:extLst>
        </c:ser>
        <c:ser>
          <c:idx val="4"/>
          <c:order val="4"/>
          <c:tx>
            <c:strRef>
              <c:f>India!$M$85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India!$N$75:$Y$75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India!$N$85:$Y$85</c:f>
              <c:numCache>
                <c:formatCode>#,##0</c:formatCode>
                <c:ptCount val="12"/>
                <c:pt idx="0">
                  <c:v>329671.25933333347</c:v>
                </c:pt>
                <c:pt idx="1">
                  <c:v>660631.56833333347</c:v>
                </c:pt>
                <c:pt idx="2">
                  <c:v>927694.27900000021</c:v>
                </c:pt>
                <c:pt idx="3">
                  <c:v>1207560.0623333335</c:v>
                </c:pt>
                <c:pt idx="4">
                  <c:v>1765311.1</c:v>
                </c:pt>
                <c:pt idx="5">
                  <c:v>2479615.4915000005</c:v>
                </c:pt>
                <c:pt idx="6">
                  <c:v>2967506.4915000009</c:v>
                </c:pt>
                <c:pt idx="7">
                  <c:v>3587135.2965000011</c:v>
                </c:pt>
                <c:pt idx="8">
                  <c:v>4134935.2965000011</c:v>
                </c:pt>
                <c:pt idx="9">
                  <c:v>4682735.2965000011</c:v>
                </c:pt>
                <c:pt idx="10">
                  <c:v>5045353.1596666677</c:v>
                </c:pt>
                <c:pt idx="11">
                  <c:v>5394653.0363333346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0B-458B-8174-1ADCC7A7AB75}"/>
            </c:ext>
          </c:extLst>
        </c:ser>
        <c:ser>
          <c:idx val="5"/>
          <c:order val="5"/>
          <c:tx>
            <c:strRef>
              <c:f>India!$M$86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India!$N$75:$Y$75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India!$N$86:$Y$86</c:f>
              <c:numCache>
                <c:formatCode>#,##0</c:formatCode>
                <c:ptCount val="12"/>
                <c:pt idx="0">
                  <c:v>243283</c:v>
                </c:pt>
                <c:pt idx="1">
                  <c:v>486566</c:v>
                </c:pt>
                <c:pt idx="2">
                  <c:v>705466</c:v>
                </c:pt>
                <c:pt idx="3">
                  <c:v>1025701</c:v>
                </c:pt>
                <c:pt idx="4">
                  <c:v>1453901</c:v>
                </c:pt>
                <c:pt idx="5">
                  <c:v>2041584.3333333335</c:v>
                </c:pt>
                <c:pt idx="6">
                  <c:v>2524221.3333333335</c:v>
                </c:pt>
                <c:pt idx="7">
                  <c:v>2945254.3333333335</c:v>
                </c:pt>
                <c:pt idx="8">
                  <c:v>3367254.3333333335</c:v>
                </c:pt>
                <c:pt idx="9">
                  <c:v>3808670.3333333335</c:v>
                </c:pt>
                <c:pt idx="10">
                  <c:v>4119036.3333333335</c:v>
                </c:pt>
                <c:pt idx="11">
                  <c:v>4443036.333333334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0B-458B-8174-1ADCC7A7AB75}"/>
            </c:ext>
          </c:extLst>
        </c:ser>
        <c:ser>
          <c:idx val="6"/>
          <c:order val="6"/>
          <c:tx>
            <c:strRef>
              <c:f>India!$M$87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India!$N$75:$Y$75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India!$N$87:$Y$87</c:f>
              <c:numCache>
                <c:formatCode>#,##0</c:formatCode>
                <c:ptCount val="12"/>
                <c:pt idx="0">
                  <c:v>313450</c:v>
                </c:pt>
                <c:pt idx="1">
                  <c:v>624450</c:v>
                </c:pt>
                <c:pt idx="2">
                  <c:v>964450</c:v>
                </c:pt>
                <c:pt idx="3">
                  <c:v>1264450</c:v>
                </c:pt>
                <c:pt idx="4">
                  <c:v>1814450</c:v>
                </c:pt>
                <c:pt idx="5">
                  <c:v>2363750</c:v>
                </c:pt>
                <c:pt idx="6">
                  <c:v>2908916.666666667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F-4646-8126-E014ED460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India!$M$81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India!$N$75:$Y$75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India!$N$81:$Y$81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295580.67500000005</c:v>
                      </c:pt>
                      <c:pt idx="1">
                        <c:v>554010.22333333339</c:v>
                      </c:pt>
                      <c:pt idx="2">
                        <c:v>847337.81466666679</c:v>
                      </c:pt>
                      <c:pt idx="3">
                        <c:v>1080209.2015000002</c:v>
                      </c:pt>
                      <c:pt idx="4">
                        <c:v>1472882.5451666669</c:v>
                      </c:pt>
                      <c:pt idx="5">
                        <c:v>1953653.5813333336</c:v>
                      </c:pt>
                      <c:pt idx="6">
                        <c:v>2203811.0945000001</c:v>
                      </c:pt>
                      <c:pt idx="7">
                        <c:v>2603770.6391666671</c:v>
                      </c:pt>
                      <c:pt idx="8">
                        <c:v>3026333.0118333339</c:v>
                      </c:pt>
                      <c:pt idx="9">
                        <c:v>3427294.8443333339</c:v>
                      </c:pt>
                      <c:pt idx="10">
                        <c:v>3733168.1168333339</c:v>
                      </c:pt>
                      <c:pt idx="11">
                        <c:v>4024800.5688333339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80B-458B-8174-1ADCC7A7AB7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India!$M$82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India!$N$75:$Y$75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India!$N$82:$Y$82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282263.98733333341</c:v>
                      </c:pt>
                      <c:pt idx="1">
                        <c:v>555493.74700000021</c:v>
                      </c:pt>
                      <c:pt idx="2">
                        <c:v>790064.27316666686</c:v>
                      </c:pt>
                      <c:pt idx="3">
                        <c:v>999152.96650000021</c:v>
                      </c:pt>
                      <c:pt idx="4">
                        <c:v>1351712.3333333335</c:v>
                      </c:pt>
                      <c:pt idx="5">
                        <c:v>1876548.9983333333</c:v>
                      </c:pt>
                      <c:pt idx="6">
                        <c:v>2269511.2429999998</c:v>
                      </c:pt>
                      <c:pt idx="7">
                        <c:v>2661295.4418333331</c:v>
                      </c:pt>
                      <c:pt idx="8">
                        <c:v>3154195.3086666665</c:v>
                      </c:pt>
                      <c:pt idx="9">
                        <c:v>3579246.3573333332</c:v>
                      </c:pt>
                      <c:pt idx="10">
                        <c:v>4013568.9963333337</c:v>
                      </c:pt>
                      <c:pt idx="11">
                        <c:v>4487332.6011666665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80B-458B-8174-1ADCC7A7AB75}"/>
                  </c:ext>
                </c:extLst>
              </c15:ser>
            </c15:filteredLineSeries>
          </c:ext>
        </c:extLst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'Brazil + Vietnam Coffee'!$C$5</c:f>
          <c:strCache>
            <c:ptCount val="1"/>
            <c:pt idx="0">
              <c:v>Vietnam &amp; Brazil : Total Coffee Exports (Monthly)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'Brazil + Vietnam Coffee'!$B$12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5">
                    <a:lumMod val="20000"/>
                    <a:lumOff val="80000"/>
                  </a:schemeClr>
                </a:solidFill>
                <a:round/>
              </a:ln>
              <a:effectLst/>
            </c:spPr>
          </c:marker>
          <c:cat>
            <c:strRef>
              <c:f>'Brazil + Vietnam Coffee'!$C$6:$N$6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Coffee'!$C$12:$N$12</c:f>
              <c:numCache>
                <c:formatCode>#,##0</c:formatCode>
                <c:ptCount val="12"/>
                <c:pt idx="0">
                  <c:v>5051709.666666667</c:v>
                </c:pt>
                <c:pt idx="1">
                  <c:v>5087436.666666667</c:v>
                </c:pt>
                <c:pt idx="2">
                  <c:v>5886214.666666667</c:v>
                </c:pt>
                <c:pt idx="3">
                  <c:v>5706056.333333334</c:v>
                </c:pt>
                <c:pt idx="4">
                  <c:v>5790450.666666667</c:v>
                </c:pt>
                <c:pt idx="5">
                  <c:v>6306290.333333334</c:v>
                </c:pt>
                <c:pt idx="6">
                  <c:v>5959663</c:v>
                </c:pt>
                <c:pt idx="7">
                  <c:v>4845545.333333334</c:v>
                </c:pt>
                <c:pt idx="8">
                  <c:v>4463472</c:v>
                </c:pt>
                <c:pt idx="9">
                  <c:v>4571591</c:v>
                </c:pt>
                <c:pt idx="10">
                  <c:v>4922572</c:v>
                </c:pt>
                <c:pt idx="11">
                  <c:v>5526250.666666667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F-40E7-8DC2-E79B9B689E39}"/>
            </c:ext>
          </c:extLst>
        </c:ser>
        <c:ser>
          <c:idx val="6"/>
          <c:order val="6"/>
          <c:tx>
            <c:strRef>
              <c:f>'Brazil + Vietnam Coffee'!$B$13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'Brazil + Vietnam Coffee'!$C$6:$N$6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Coffee'!$C$13:$N$13</c:f>
              <c:numCache>
                <c:formatCode>#,##0</c:formatCode>
                <c:ptCount val="12"/>
                <c:pt idx="0">
                  <c:v>5680359</c:v>
                </c:pt>
                <c:pt idx="1">
                  <c:v>5951135.333333334</c:v>
                </c:pt>
                <c:pt idx="2">
                  <c:v>6636125.333333334</c:v>
                </c:pt>
                <c:pt idx="3">
                  <c:v>6285637.666666667</c:v>
                </c:pt>
                <c:pt idx="4">
                  <c:v>5742864</c:v>
                </c:pt>
                <c:pt idx="5">
                  <c:v>6330879.333333334</c:v>
                </c:pt>
                <c:pt idx="6">
                  <c:v>5488599.666666667</c:v>
                </c:pt>
                <c:pt idx="7">
                  <c:v>4567733.333333334</c:v>
                </c:pt>
                <c:pt idx="8">
                  <c:v>4860331.666666667</c:v>
                </c:pt>
                <c:pt idx="9">
                  <c:v>4536019</c:v>
                </c:pt>
                <c:pt idx="10">
                  <c:v>4292171.666666667</c:v>
                </c:pt>
                <c:pt idx="11">
                  <c:v>4551312.333333334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9F-40E7-8DC2-E79B9B689E39}"/>
            </c:ext>
          </c:extLst>
        </c:ser>
        <c:ser>
          <c:idx val="7"/>
          <c:order val="7"/>
          <c:tx>
            <c:strRef>
              <c:f>'Brazil + Vietnam Coffee'!$B$14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'Brazil + Vietnam Coffee'!$C$6:$N$6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Coffee'!$C$14:$N$14</c:f>
              <c:numCache>
                <c:formatCode>#,##0</c:formatCode>
                <c:ptCount val="12"/>
                <c:pt idx="0">
                  <c:v>5033318</c:v>
                </c:pt>
                <c:pt idx="1">
                  <c:v>4764573.666666667</c:v>
                </c:pt>
                <c:pt idx="2">
                  <c:v>6502655.333333334</c:v>
                </c:pt>
                <c:pt idx="3">
                  <c:v>7153053.333333334</c:v>
                </c:pt>
                <c:pt idx="4">
                  <c:v>5697305</c:v>
                </c:pt>
                <c:pt idx="5">
                  <c:v>6955926</c:v>
                </c:pt>
                <c:pt idx="6">
                  <c:v>5356323.333333334</c:v>
                </c:pt>
                <c:pt idx="7">
                  <c:v>5047196.666666667</c:v>
                </c:pt>
                <c:pt idx="8">
                  <c:v>5113039.333333334</c:v>
                </c:pt>
                <c:pt idx="9">
                  <c:v>4097523.3333333335</c:v>
                </c:pt>
                <c:pt idx="10">
                  <c:v>4391415.666666667</c:v>
                </c:pt>
                <c:pt idx="11">
                  <c:v>4687027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9F-40E7-8DC2-E79B9B689E39}"/>
            </c:ext>
          </c:extLst>
        </c:ser>
        <c:ser>
          <c:idx val="8"/>
          <c:order val="8"/>
          <c:tx>
            <c:strRef>
              <c:f>'Brazil + Vietnam Coffee'!$B$15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'Brazil + Vietnam Coffee'!$C$6:$N$6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Coffee'!$C$15:$N$15</c:f>
              <c:numCache>
                <c:formatCode>#,##0</c:formatCode>
                <c:ptCount val="12"/>
                <c:pt idx="0">
                  <c:v>4610952</c:v>
                </c:pt>
                <c:pt idx="1">
                  <c:v>5601198</c:v>
                </c:pt>
                <c:pt idx="2">
                  <c:v>6181379.7000000002</c:v>
                </c:pt>
                <c:pt idx="3">
                  <c:v>5309452.3341989312</c:v>
                </c:pt>
                <c:pt idx="4">
                  <c:v>5035338.8064211532</c:v>
                </c:pt>
                <c:pt idx="5">
                  <c:v>6361096.694444444</c:v>
                </c:pt>
                <c:pt idx="6">
                  <c:v>5215142.027777778</c:v>
                </c:pt>
                <c:pt idx="7">
                  <c:v>4650598.3320561945</c:v>
                </c:pt>
                <c:pt idx="8">
                  <c:v>4702988.694444444</c:v>
                </c:pt>
                <c:pt idx="9">
                  <c:v>4692794.2104717474</c:v>
                </c:pt>
                <c:pt idx="10">
                  <c:v>4928216.694444444</c:v>
                </c:pt>
                <c:pt idx="11">
                  <c:v>3978815.6944444445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9F-40E7-8DC2-E79B9B689E39}"/>
            </c:ext>
          </c:extLst>
        </c:ser>
        <c:ser>
          <c:idx val="9"/>
          <c:order val="9"/>
          <c:tx>
            <c:strRef>
              <c:f>'Brazil + Vietnam Coffee'!$B$16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'Brazil + Vietnam Coffee'!$C$6:$N$6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Coffee'!$C$16:$N$16</c:f>
              <c:numCache>
                <c:formatCode>#,##0</c:formatCode>
                <c:ptCount val="12"/>
                <c:pt idx="0">
                  <c:v>4855193</c:v>
                </c:pt>
                <c:pt idx="1">
                  <c:v>6165363.333333334</c:v>
                </c:pt>
                <c:pt idx="2">
                  <c:v>7260371.666666667</c:v>
                </c:pt>
                <c:pt idx="3">
                  <c:v>7706679</c:v>
                </c:pt>
                <c:pt idx="4">
                  <c:v>6063560</c:v>
                </c:pt>
                <c:pt idx="5">
                  <c:v>7160936.333333334</c:v>
                </c:pt>
                <c:pt idx="6">
                  <c:v>6464392</c:v>
                </c:pt>
                <c:pt idx="7">
                  <c:v>5380650.333333334</c:v>
                </c:pt>
                <c:pt idx="8">
                  <c:v>4489908.333333334</c:v>
                </c:pt>
                <c:pt idx="9">
                  <c:v>4683420.333333334</c:v>
                </c:pt>
                <c:pt idx="10">
                  <c:v>4758272.333333334</c:v>
                </c:pt>
                <c:pt idx="11">
                  <c:v>5019928.666666667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9F-40E7-8DC2-E79B9B689E39}"/>
            </c:ext>
          </c:extLst>
        </c:ser>
        <c:ser>
          <c:idx val="10"/>
          <c:order val="10"/>
          <c:tx>
            <c:strRef>
              <c:f>'Brazil + Vietnam Coffee'!$B$17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'Brazil + Vietnam Coffee'!$C$6:$N$6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Coffee'!$C$17:$N$17</c:f>
              <c:numCache>
                <c:formatCode>#,##0</c:formatCode>
                <c:ptCount val="12"/>
                <c:pt idx="0">
                  <c:v>5540993</c:v>
                </c:pt>
                <c:pt idx="1">
                  <c:v>5342896.666666667</c:v>
                </c:pt>
                <c:pt idx="2">
                  <c:v>6800000</c:v>
                </c:pt>
                <c:pt idx="3">
                  <c:v>5868913.666666667</c:v>
                </c:pt>
                <c:pt idx="4">
                  <c:v>5969025.333333334</c:v>
                </c:pt>
                <c:pt idx="5">
                  <c:v>5981745.333333334</c:v>
                </c:pt>
                <c:pt idx="6">
                  <c:v>5569711.666666667</c:v>
                </c:pt>
                <c:pt idx="7">
                  <c:v>5096233.666666667</c:v>
                </c:pt>
                <c:pt idx="8">
                  <c:v>4272068.333333334</c:v>
                </c:pt>
                <c:pt idx="9">
                  <c:v>4153698</c:v>
                </c:pt>
                <c:pt idx="10">
                  <c:v>4301665</c:v>
                </c:pt>
                <c:pt idx="11">
                  <c:v>4822124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9F-40E7-8DC2-E79B9B689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749359"/>
        <c:axId val="508749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'Brazil + Vietnam Coffee'!$B$7</c15:sqref>
                        </c15:formulaRef>
                      </c:ext>
                    </c:extLst>
                    <c:strCache>
                      <c:ptCount val="1"/>
                      <c:pt idx="0">
                        <c:v>14/15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'Brazil + Vietnam Coffee'!$C$6:$N$6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'Brazil + Vietnam Coffee'!$C$7:$N$7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4838890</c:v>
                      </c:pt>
                      <c:pt idx="1">
                        <c:v>4275055.666666667</c:v>
                      </c:pt>
                      <c:pt idx="2">
                        <c:v>4605678.333333334</c:v>
                      </c:pt>
                      <c:pt idx="3">
                        <c:v>5211031.666666667</c:v>
                      </c:pt>
                      <c:pt idx="4">
                        <c:v>4302501.1697574891</c:v>
                      </c:pt>
                      <c:pt idx="5">
                        <c:v>5208363</c:v>
                      </c:pt>
                      <c:pt idx="6">
                        <c:v>4476294.666666667</c:v>
                      </c:pt>
                      <c:pt idx="7">
                        <c:v>4278630.666666667</c:v>
                      </c:pt>
                      <c:pt idx="8">
                        <c:v>4113266.666666667</c:v>
                      </c:pt>
                      <c:pt idx="9">
                        <c:v>4523923</c:v>
                      </c:pt>
                      <c:pt idx="10">
                        <c:v>4194465</c:v>
                      </c:pt>
                      <c:pt idx="11">
                        <c:v>4441528.7359735975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CF9F-40E7-8DC2-E79B9B689E3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+ Vietnam Coffee'!$B$8</c15:sqref>
                        </c15:formulaRef>
                      </c:ext>
                    </c:extLst>
                    <c:strCache>
                      <c:ptCount val="1"/>
                      <c:pt idx="0">
                        <c:v>15/16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+ Vietnam Coffee'!$C$6:$N$6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+ Vietnam Coffee'!$C$8:$N$8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4724246.333333334</c:v>
                      </c:pt>
                      <c:pt idx="1">
                        <c:v>5059571.333333334</c:v>
                      </c:pt>
                      <c:pt idx="2">
                        <c:v>5688176</c:v>
                      </c:pt>
                      <c:pt idx="3">
                        <c:v>5763899.666666667</c:v>
                      </c:pt>
                      <c:pt idx="4">
                        <c:v>4807688.666666667</c:v>
                      </c:pt>
                      <c:pt idx="5">
                        <c:v>5817910</c:v>
                      </c:pt>
                      <c:pt idx="6">
                        <c:v>5335272.666666667</c:v>
                      </c:pt>
                      <c:pt idx="7">
                        <c:v>4914491.666666667</c:v>
                      </c:pt>
                      <c:pt idx="8">
                        <c:v>4709406.666666667</c:v>
                      </c:pt>
                      <c:pt idx="9">
                        <c:v>3992005</c:v>
                      </c:pt>
                      <c:pt idx="10">
                        <c:v>5250931</c:v>
                      </c:pt>
                      <c:pt idx="11">
                        <c:v>4897582.666666667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F9F-40E7-8DC2-E79B9B689E3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+ Vietnam Coffee'!$B$9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+ Vietnam Coffee'!$C$6:$N$6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+ Vietnam Coffee'!$C$9:$N$9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4995476.666666667</c:v>
                      </c:pt>
                      <c:pt idx="1">
                        <c:v>4873694.333333334</c:v>
                      </c:pt>
                      <c:pt idx="2">
                        <c:v>5392939.666666667</c:v>
                      </c:pt>
                      <c:pt idx="3">
                        <c:v>5522500</c:v>
                      </c:pt>
                      <c:pt idx="4">
                        <c:v>5130927</c:v>
                      </c:pt>
                      <c:pt idx="5">
                        <c:v>5547792.666666667</c:v>
                      </c:pt>
                      <c:pt idx="6">
                        <c:v>4352916.333333334</c:v>
                      </c:pt>
                      <c:pt idx="7">
                        <c:v>4443034</c:v>
                      </c:pt>
                      <c:pt idx="8">
                        <c:v>3923460.666666667</c:v>
                      </c:pt>
                      <c:pt idx="9">
                        <c:v>3285094.3333333335</c:v>
                      </c:pt>
                      <c:pt idx="10">
                        <c:v>3877768.6475507766</c:v>
                      </c:pt>
                      <c:pt idx="11">
                        <c:v>3475200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F9F-40E7-8DC2-E79B9B689E3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+ Vietnam Coffee'!$B$10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+ Vietnam Coffee'!$C$6:$N$6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+ Vietnam Coffee'!$C$10:$N$10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3912058.3333333335</c:v>
                      </c:pt>
                      <c:pt idx="1">
                        <c:v>4459747.9446219383</c:v>
                      </c:pt>
                      <c:pt idx="2">
                        <c:v>5354698.333333334</c:v>
                      </c:pt>
                      <c:pt idx="3">
                        <c:v>6145059</c:v>
                      </c:pt>
                      <c:pt idx="4">
                        <c:v>4519098</c:v>
                      </c:pt>
                      <c:pt idx="5">
                        <c:v>5792761</c:v>
                      </c:pt>
                      <c:pt idx="6">
                        <c:v>4765896</c:v>
                      </c:pt>
                      <c:pt idx="7">
                        <c:v>4057383</c:v>
                      </c:pt>
                      <c:pt idx="8">
                        <c:v>4660478.333333334</c:v>
                      </c:pt>
                      <c:pt idx="9">
                        <c:v>4057222.3333333335</c:v>
                      </c:pt>
                      <c:pt idx="10">
                        <c:v>5220494.333333334</c:v>
                      </c:pt>
                      <c:pt idx="11">
                        <c:v>4844570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F9F-40E7-8DC2-E79B9B689E3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+ Vietnam Coffee'!$B$11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+ Vietnam Coffee'!$C$6:$N$6</c15:sqref>
                        </c15:formulaRef>
                      </c:ext>
                    </c:extLst>
                    <c:strCache>
                      <c:ptCount val="12"/>
                      <c:pt idx="0">
                        <c:v>Oct</c:v>
                      </c:pt>
                      <c:pt idx="1">
                        <c:v>Nov</c:v>
                      </c:pt>
                      <c:pt idx="2">
                        <c:v>Dec</c:v>
                      </c:pt>
                      <c:pt idx="3">
                        <c:v>Jan</c:v>
                      </c:pt>
                      <c:pt idx="4">
                        <c:v>Feb</c:v>
                      </c:pt>
                      <c:pt idx="5">
                        <c:v>Mar</c:v>
                      </c:pt>
                      <c:pt idx="6">
                        <c:v>Apr</c:v>
                      </c:pt>
                      <c:pt idx="7">
                        <c:v>May</c:v>
                      </c:pt>
                      <c:pt idx="8">
                        <c:v>Jun</c:v>
                      </c:pt>
                      <c:pt idx="9">
                        <c:v>Jul</c:v>
                      </c:pt>
                      <c:pt idx="10">
                        <c:v>Aug</c:v>
                      </c:pt>
                      <c:pt idx="11">
                        <c:v>Sep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'Brazil + Vietnam Coffee'!$C$11:$N$11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5905736.666666667</c:v>
                      </c:pt>
                      <c:pt idx="1">
                        <c:v>6223904.333333334</c:v>
                      </c:pt>
                      <c:pt idx="2">
                        <c:v>6311954</c:v>
                      </c:pt>
                      <c:pt idx="3">
                        <c:v>6803593</c:v>
                      </c:pt>
                      <c:pt idx="4">
                        <c:v>5193502.666666667</c:v>
                      </c:pt>
                      <c:pt idx="5">
                        <c:v>5589861.333333334</c:v>
                      </c:pt>
                      <c:pt idx="6">
                        <c:v>5251004.666666667</c:v>
                      </c:pt>
                      <c:pt idx="7">
                        <c:v>5655973.666666667</c:v>
                      </c:pt>
                      <c:pt idx="8">
                        <c:v>4951434.333333334</c:v>
                      </c:pt>
                      <c:pt idx="9">
                        <c:v>5033671</c:v>
                      </c:pt>
                      <c:pt idx="10">
                        <c:v>4935287</c:v>
                      </c:pt>
                      <c:pt idx="11">
                        <c:v>4722481.666666667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F9F-40E7-8DC2-E79B9B689E39}"/>
                  </c:ext>
                </c:extLst>
              </c15:ser>
            </c15:filteredLineSeries>
          </c:ext>
        </c:extLst>
      </c:lineChart>
      <c:catAx>
        <c:axId val="5087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839"/>
        <c:crosses val="autoZero"/>
        <c:auto val="1"/>
        <c:lblAlgn val="ctr"/>
        <c:lblOffset val="100"/>
        <c:noMultiLvlLbl val="0"/>
      </c:catAx>
      <c:valAx>
        <c:axId val="50874983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72049932799514"/>
          <c:y val="0.15070006870641015"/>
          <c:w val="0.79820178413129539"/>
          <c:h val="6.902024959821032E-2"/>
        </c:manualLayout>
      </c:layout>
      <c:overlay val="0"/>
      <c:spPr>
        <a:noFill/>
        <a:ln>
          <a:solidFill>
            <a:schemeClr val="accent2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accent4">
                    <a:lumMod val="20000"/>
                    <a:lumOff val="80000"/>
                  </a:schemeClr>
                </a:solidFill>
              </a:rPr>
              <a:t>with Min, max &amp; 5 yr</a:t>
            </a:r>
            <a:r>
              <a:rPr lang="en-US" sz="1050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avg</a:t>
            </a:r>
            <a:endParaRPr lang="en-US" sz="1050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'Brazil + Vietnam Coffee'!$A$66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'Brazil + Vietnam Coffee'!$B$65:$M$65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Coffee'!$B$66:$M$66</c:f>
              <c:numCache>
                <c:formatCode>#,##0</c:formatCode>
                <c:ptCount val="12"/>
                <c:pt idx="0">
                  <c:v>5540993</c:v>
                </c:pt>
                <c:pt idx="1">
                  <c:v>5342896.666666667</c:v>
                </c:pt>
                <c:pt idx="2">
                  <c:v>6800000</c:v>
                </c:pt>
                <c:pt idx="3">
                  <c:v>5868913.666666667</c:v>
                </c:pt>
                <c:pt idx="4">
                  <c:v>5969025.333333334</c:v>
                </c:pt>
                <c:pt idx="5">
                  <c:v>5981745.333333334</c:v>
                </c:pt>
                <c:pt idx="6">
                  <c:v>5569711.666666667</c:v>
                </c:pt>
                <c:pt idx="7">
                  <c:v>5096233.666666667</c:v>
                </c:pt>
                <c:pt idx="8">
                  <c:v>4272068.333333334</c:v>
                </c:pt>
                <c:pt idx="9">
                  <c:v>4153698</c:v>
                </c:pt>
                <c:pt idx="10">
                  <c:v>4301665</c:v>
                </c:pt>
                <c:pt idx="11">
                  <c:v>4822124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7-4C49-BF28-3BEDF99B6993}"/>
            </c:ext>
          </c:extLst>
        </c:ser>
        <c:ser>
          <c:idx val="1"/>
          <c:order val="1"/>
          <c:tx>
            <c:strRef>
              <c:f>'Brazil + Vietnam Coffee'!$A$67</c:f>
              <c:strCache>
                <c:ptCount val="1"/>
                <c:pt idx="0">
                  <c:v>Min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'Brazil + Vietnam Coffee'!$B$65:$M$65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Coffee'!$B$67:$M$67</c:f>
              <c:numCache>
                <c:formatCode>#,##0</c:formatCode>
                <c:ptCount val="12"/>
                <c:pt idx="0">
                  <c:v>3912058.3333333335</c:v>
                </c:pt>
                <c:pt idx="1">
                  <c:v>4275055.666666667</c:v>
                </c:pt>
                <c:pt idx="2">
                  <c:v>4605678.333333334</c:v>
                </c:pt>
                <c:pt idx="3">
                  <c:v>5211031.666666667</c:v>
                </c:pt>
                <c:pt idx="4">
                  <c:v>4302501.1697574891</c:v>
                </c:pt>
                <c:pt idx="5">
                  <c:v>5208363</c:v>
                </c:pt>
                <c:pt idx="6">
                  <c:v>4352916.333333334</c:v>
                </c:pt>
                <c:pt idx="7">
                  <c:v>4057383</c:v>
                </c:pt>
                <c:pt idx="8">
                  <c:v>3923460.666666667</c:v>
                </c:pt>
                <c:pt idx="9">
                  <c:v>3285094.3333333335</c:v>
                </c:pt>
                <c:pt idx="10">
                  <c:v>3877768.6475507766</c:v>
                </c:pt>
                <c:pt idx="11">
                  <c:v>3475200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07-4C49-BF28-3BEDF99B6993}"/>
            </c:ext>
          </c:extLst>
        </c:ser>
        <c:ser>
          <c:idx val="2"/>
          <c:order val="2"/>
          <c:tx>
            <c:strRef>
              <c:f>'Brazil + Vietnam Coffee'!$A$68</c:f>
              <c:strCache>
                <c:ptCount val="1"/>
                <c:pt idx="0">
                  <c:v>Max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'Brazil + Vietnam Coffee'!$B$65:$M$65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Coffee'!$B$68:$M$68</c:f>
              <c:numCache>
                <c:formatCode>#,##0</c:formatCode>
                <c:ptCount val="12"/>
                <c:pt idx="0">
                  <c:v>5905736.666666667</c:v>
                </c:pt>
                <c:pt idx="1">
                  <c:v>6223904.333333334</c:v>
                </c:pt>
                <c:pt idx="2">
                  <c:v>7260371.666666667</c:v>
                </c:pt>
                <c:pt idx="3">
                  <c:v>7706679</c:v>
                </c:pt>
                <c:pt idx="4">
                  <c:v>6063560</c:v>
                </c:pt>
                <c:pt idx="5">
                  <c:v>7160936.333333334</c:v>
                </c:pt>
                <c:pt idx="6">
                  <c:v>6464392</c:v>
                </c:pt>
                <c:pt idx="7">
                  <c:v>5655973.666666667</c:v>
                </c:pt>
                <c:pt idx="8">
                  <c:v>5113039.333333334</c:v>
                </c:pt>
                <c:pt idx="9">
                  <c:v>5033671</c:v>
                </c:pt>
                <c:pt idx="10">
                  <c:v>5250931</c:v>
                </c:pt>
                <c:pt idx="11">
                  <c:v>5526250.666666667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07-4C49-BF28-3BEDF99B6993}"/>
            </c:ext>
          </c:extLst>
        </c:ser>
        <c:ser>
          <c:idx val="3"/>
          <c:order val="3"/>
          <c:tx>
            <c:strRef>
              <c:f>'Brazil + Vietnam Coffee'!$A$69</c:f>
              <c:strCache>
                <c:ptCount val="1"/>
                <c:pt idx="0">
                  <c:v>Avg(5)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</c:marker>
          <c:cat>
            <c:strRef>
              <c:f>'Brazil + Vietnam Coffee'!$B$65:$M$65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Coffee'!$B$69:$M$69</c:f>
              <c:numCache>
                <c:formatCode>#,##0</c:formatCode>
                <c:ptCount val="12"/>
                <c:pt idx="0">
                  <c:v>5046306.333333334</c:v>
                </c:pt>
                <c:pt idx="1">
                  <c:v>5513941.4000000004</c:v>
                </c:pt>
                <c:pt idx="2">
                  <c:v>6493349.3400000008</c:v>
                </c:pt>
                <c:pt idx="3">
                  <c:v>6432175.7335064532</c:v>
                </c:pt>
                <c:pt idx="4">
                  <c:v>5665903.6946175639</c:v>
                </c:pt>
                <c:pt idx="5">
                  <c:v>6623025.7388888896</c:v>
                </c:pt>
                <c:pt idx="6">
                  <c:v>5696824.0055555552</c:v>
                </c:pt>
                <c:pt idx="7">
                  <c:v>4898344.7997445734</c:v>
                </c:pt>
                <c:pt idx="8">
                  <c:v>4725948.0055555571</c:v>
                </c:pt>
                <c:pt idx="9">
                  <c:v>4516269.5754276831</c:v>
                </c:pt>
                <c:pt idx="10">
                  <c:v>4658529.6722222222</c:v>
                </c:pt>
                <c:pt idx="11">
                  <c:v>4752666.8722222224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07-4C49-BF28-3BEDF99B6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56367"/>
        <c:axId val="518655887"/>
      </c:lineChart>
      <c:catAx>
        <c:axId val="5186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5887"/>
        <c:crosses val="autoZero"/>
        <c:auto val="1"/>
        <c:lblAlgn val="ctr"/>
        <c:lblOffset val="100"/>
        <c:noMultiLvlLbl val="0"/>
      </c:catAx>
      <c:valAx>
        <c:axId val="5186558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408279242721423"/>
          <c:y val="0.1640610019656121"/>
          <c:w val="0.63183441514557159"/>
          <c:h val="7.6002267367554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4">
                    <a:lumMod val="20000"/>
                    <a:lumOff val="80000"/>
                  </a:schemeClr>
                </a:solidFill>
              </a:rPr>
              <a:t>Rolling 12m Sum of Exports (Mn Bags)</a:t>
            </a:r>
          </a:p>
        </c:rich>
      </c:tx>
      <c:layout>
        <c:manualLayout>
          <c:xMode val="edge"/>
          <c:yMode val="edge"/>
          <c:x val="0.21970005634460624"/>
          <c:y val="3.2536545730579028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'Brazil + Vietnam Coffee'!$I$84</c:f>
              <c:strCache>
                <c:ptCount val="1"/>
                <c:pt idx="0">
                  <c:v>Rolling 12m Sum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'Brazil + Vietnam Coffee'!$H$85:$H$208</c:f>
              <c:strCache>
                <c:ptCount val="124"/>
                <c:pt idx="0">
                  <c:v>Sep'14/15</c:v>
                </c:pt>
                <c:pt idx="1">
                  <c:v>Oct'15/16</c:v>
                </c:pt>
                <c:pt idx="2">
                  <c:v>Nov'15/16</c:v>
                </c:pt>
                <c:pt idx="3">
                  <c:v>Dec'15/16</c:v>
                </c:pt>
                <c:pt idx="4">
                  <c:v>Jan'15/16</c:v>
                </c:pt>
                <c:pt idx="5">
                  <c:v>Feb'15/16</c:v>
                </c:pt>
                <c:pt idx="6">
                  <c:v>Mar'15/16</c:v>
                </c:pt>
                <c:pt idx="7">
                  <c:v>Apr'15/16</c:v>
                </c:pt>
                <c:pt idx="8">
                  <c:v>May'15/16</c:v>
                </c:pt>
                <c:pt idx="9">
                  <c:v>Jun'15/16</c:v>
                </c:pt>
                <c:pt idx="10">
                  <c:v>Jul'15/16</c:v>
                </c:pt>
                <c:pt idx="11">
                  <c:v>Aug'15/16</c:v>
                </c:pt>
                <c:pt idx="12">
                  <c:v>Sep'15/16</c:v>
                </c:pt>
                <c:pt idx="13">
                  <c:v>Oct'16/17</c:v>
                </c:pt>
                <c:pt idx="14">
                  <c:v>Nov'16/17</c:v>
                </c:pt>
                <c:pt idx="15">
                  <c:v>Dec'16/17</c:v>
                </c:pt>
                <c:pt idx="16">
                  <c:v>Jan'16/17</c:v>
                </c:pt>
                <c:pt idx="17">
                  <c:v>Feb'16/17</c:v>
                </c:pt>
                <c:pt idx="18">
                  <c:v>Mar'16/17</c:v>
                </c:pt>
                <c:pt idx="19">
                  <c:v>Apr'16/17</c:v>
                </c:pt>
                <c:pt idx="20">
                  <c:v>May'16/17</c:v>
                </c:pt>
                <c:pt idx="21">
                  <c:v>Jun'16/17</c:v>
                </c:pt>
                <c:pt idx="22">
                  <c:v>Jul'16/17</c:v>
                </c:pt>
                <c:pt idx="23">
                  <c:v>Aug'16/17</c:v>
                </c:pt>
                <c:pt idx="24">
                  <c:v>Sep'16/17</c:v>
                </c:pt>
                <c:pt idx="25">
                  <c:v>Oct'17/18</c:v>
                </c:pt>
                <c:pt idx="26">
                  <c:v>Nov'17/18</c:v>
                </c:pt>
                <c:pt idx="27">
                  <c:v>Dec'17/18</c:v>
                </c:pt>
                <c:pt idx="28">
                  <c:v>Jan'17/18</c:v>
                </c:pt>
                <c:pt idx="29">
                  <c:v>Feb'17/18</c:v>
                </c:pt>
                <c:pt idx="30">
                  <c:v>Mar'17/18</c:v>
                </c:pt>
                <c:pt idx="31">
                  <c:v>Apr'17/18</c:v>
                </c:pt>
                <c:pt idx="32">
                  <c:v>May'17/18</c:v>
                </c:pt>
                <c:pt idx="33">
                  <c:v>Jun'17/18</c:v>
                </c:pt>
                <c:pt idx="34">
                  <c:v>Jul'17/18</c:v>
                </c:pt>
                <c:pt idx="35">
                  <c:v>Aug'17/18</c:v>
                </c:pt>
                <c:pt idx="36">
                  <c:v>Sep'17/18</c:v>
                </c:pt>
                <c:pt idx="37">
                  <c:v>Oct'18/19</c:v>
                </c:pt>
                <c:pt idx="38">
                  <c:v>Nov'18/19</c:v>
                </c:pt>
                <c:pt idx="39">
                  <c:v>Dec'18/19</c:v>
                </c:pt>
                <c:pt idx="40">
                  <c:v>Jan'18/19</c:v>
                </c:pt>
                <c:pt idx="41">
                  <c:v>Feb'18/19</c:v>
                </c:pt>
                <c:pt idx="42">
                  <c:v>Mar'18/19</c:v>
                </c:pt>
                <c:pt idx="43">
                  <c:v>Apr'18/19</c:v>
                </c:pt>
                <c:pt idx="44">
                  <c:v>May'18/19</c:v>
                </c:pt>
                <c:pt idx="45">
                  <c:v>Jun'18/19</c:v>
                </c:pt>
                <c:pt idx="46">
                  <c:v>Jul'18/19</c:v>
                </c:pt>
                <c:pt idx="47">
                  <c:v>Aug'18/19</c:v>
                </c:pt>
                <c:pt idx="48">
                  <c:v>Sep'18/19</c:v>
                </c:pt>
                <c:pt idx="49">
                  <c:v>Oct'19/20</c:v>
                </c:pt>
                <c:pt idx="50">
                  <c:v>Nov'19/20</c:v>
                </c:pt>
                <c:pt idx="51">
                  <c:v>Dec'19/20</c:v>
                </c:pt>
                <c:pt idx="52">
                  <c:v>Jan'19/20</c:v>
                </c:pt>
                <c:pt idx="53">
                  <c:v>Feb'19/20</c:v>
                </c:pt>
                <c:pt idx="54">
                  <c:v>Mar'19/20</c:v>
                </c:pt>
                <c:pt idx="55">
                  <c:v>Apr'19/20</c:v>
                </c:pt>
                <c:pt idx="56">
                  <c:v>May'19/20</c:v>
                </c:pt>
                <c:pt idx="57">
                  <c:v>Jun'19/20</c:v>
                </c:pt>
                <c:pt idx="58">
                  <c:v>Jul'19/20</c:v>
                </c:pt>
                <c:pt idx="59">
                  <c:v>Aug'19/20</c:v>
                </c:pt>
                <c:pt idx="60">
                  <c:v>Sep'19/20</c:v>
                </c:pt>
                <c:pt idx="61">
                  <c:v>Oct'20/21</c:v>
                </c:pt>
                <c:pt idx="62">
                  <c:v>Nov'20/21</c:v>
                </c:pt>
                <c:pt idx="63">
                  <c:v>Dec'20/21</c:v>
                </c:pt>
                <c:pt idx="64">
                  <c:v>Jan'20/21</c:v>
                </c:pt>
                <c:pt idx="65">
                  <c:v>Feb'20/21</c:v>
                </c:pt>
                <c:pt idx="66">
                  <c:v>Mar'20/21</c:v>
                </c:pt>
                <c:pt idx="67">
                  <c:v>Apr'20/21</c:v>
                </c:pt>
                <c:pt idx="68">
                  <c:v>May'20/21</c:v>
                </c:pt>
                <c:pt idx="69">
                  <c:v>Jun'20/21</c:v>
                </c:pt>
                <c:pt idx="70">
                  <c:v>Jul'20/21</c:v>
                </c:pt>
                <c:pt idx="71">
                  <c:v>Aug'20/21</c:v>
                </c:pt>
                <c:pt idx="72">
                  <c:v>Sep'20/21</c:v>
                </c:pt>
                <c:pt idx="73">
                  <c:v>Oct'21/22</c:v>
                </c:pt>
                <c:pt idx="74">
                  <c:v>Nov'21/22</c:v>
                </c:pt>
                <c:pt idx="75">
                  <c:v>Dec'21/22</c:v>
                </c:pt>
                <c:pt idx="76">
                  <c:v>Jan'21/22</c:v>
                </c:pt>
                <c:pt idx="77">
                  <c:v>Feb'21/22</c:v>
                </c:pt>
                <c:pt idx="78">
                  <c:v>Mar'21/22</c:v>
                </c:pt>
                <c:pt idx="79">
                  <c:v>Apr'21/22</c:v>
                </c:pt>
                <c:pt idx="80">
                  <c:v>May'21/22</c:v>
                </c:pt>
                <c:pt idx="81">
                  <c:v>Jun'21/22</c:v>
                </c:pt>
                <c:pt idx="82">
                  <c:v>Jul'21/22</c:v>
                </c:pt>
                <c:pt idx="83">
                  <c:v>Aug'21/22</c:v>
                </c:pt>
                <c:pt idx="84">
                  <c:v>Sep'21/22</c:v>
                </c:pt>
                <c:pt idx="85">
                  <c:v>Oct'22/23</c:v>
                </c:pt>
                <c:pt idx="86">
                  <c:v>Nov'22/23</c:v>
                </c:pt>
                <c:pt idx="87">
                  <c:v>Dec'22/23</c:v>
                </c:pt>
                <c:pt idx="88">
                  <c:v>Jan'22/23</c:v>
                </c:pt>
                <c:pt idx="89">
                  <c:v>Feb'22/23</c:v>
                </c:pt>
                <c:pt idx="90">
                  <c:v>Mar'22/23</c:v>
                </c:pt>
                <c:pt idx="91">
                  <c:v>Apr'22/23</c:v>
                </c:pt>
                <c:pt idx="92">
                  <c:v>May'22/23</c:v>
                </c:pt>
                <c:pt idx="93">
                  <c:v>Jun'22/23</c:v>
                </c:pt>
                <c:pt idx="94">
                  <c:v>Jul'22/23</c:v>
                </c:pt>
                <c:pt idx="95">
                  <c:v>Aug'22/23</c:v>
                </c:pt>
                <c:pt idx="96">
                  <c:v>Sep'22/23</c:v>
                </c:pt>
                <c:pt idx="97">
                  <c:v>Oct'23/24</c:v>
                </c:pt>
                <c:pt idx="98">
                  <c:v>Nov'23/24</c:v>
                </c:pt>
                <c:pt idx="99">
                  <c:v>Dec'23/24</c:v>
                </c:pt>
                <c:pt idx="100">
                  <c:v>Jan'23/24</c:v>
                </c:pt>
                <c:pt idx="101">
                  <c:v>Feb'23/24</c:v>
                </c:pt>
                <c:pt idx="102">
                  <c:v>Mar'23/24</c:v>
                </c:pt>
                <c:pt idx="103">
                  <c:v>Apr'23/24</c:v>
                </c:pt>
                <c:pt idx="104">
                  <c:v>May'23/24</c:v>
                </c:pt>
                <c:pt idx="105">
                  <c:v>Jun'23/24</c:v>
                </c:pt>
                <c:pt idx="106">
                  <c:v>Jul'23/24</c:v>
                </c:pt>
                <c:pt idx="107">
                  <c:v>Aug'23/24</c:v>
                </c:pt>
                <c:pt idx="108">
                  <c:v>Sep'23/24</c:v>
                </c:pt>
                <c:pt idx="109">
                  <c:v>Oct'24/25</c:v>
                </c:pt>
                <c:pt idx="110">
                  <c:v>Nov'24/25</c:v>
                </c:pt>
                <c:pt idx="111">
                  <c:v>Dec'24/25</c:v>
                </c:pt>
                <c:pt idx="112">
                  <c:v>Jan'24/25</c:v>
                </c:pt>
                <c:pt idx="113">
                  <c:v>Feb'24/25</c:v>
                </c:pt>
                <c:pt idx="114">
                  <c:v>Mar'24/25</c:v>
                </c:pt>
                <c:pt idx="115">
                  <c:v>Apr'24/25</c:v>
                </c:pt>
                <c:pt idx="116">
                  <c:v>May'24/25</c:v>
                </c:pt>
                <c:pt idx="117">
                  <c:v>Jun'24/25</c:v>
                </c:pt>
                <c:pt idx="118">
                  <c:v>Jul'24/25</c:v>
                </c:pt>
                <c:pt idx="119">
                  <c:v>Aug'24/25</c:v>
                </c:pt>
                <c:pt idx="120">
                  <c:v>Sep'24/25</c:v>
                </c:pt>
                <c:pt idx="121">
                  <c:v>Oct'25/26</c:v>
                </c:pt>
                <c:pt idx="122">
                  <c:v>Nov'25/26</c:v>
                </c:pt>
                <c:pt idx="123">
                  <c:v>Dec'25/26</c:v>
                </c:pt>
              </c:strCache>
            </c:strRef>
          </c:cat>
          <c:val>
            <c:numRef>
              <c:f>'Brazil + Vietnam Coffee'!$I$85:$I$208</c:f>
              <c:numCache>
                <c:formatCode>General</c:formatCode>
                <c:ptCount val="124"/>
                <c:pt idx="0">
                  <c:v>54.469628572397752</c:v>
                </c:pt>
                <c:pt idx="1">
                  <c:v>54.354984905731087</c:v>
                </c:pt>
                <c:pt idx="2">
                  <c:v>55.139500572397758</c:v>
                </c:pt>
                <c:pt idx="3">
                  <c:v>56.221998239064426</c:v>
                </c:pt>
                <c:pt idx="4">
                  <c:v>56.774866239064423</c:v>
                </c:pt>
                <c:pt idx="5">
                  <c:v>57.280053735973596</c:v>
                </c:pt>
                <c:pt idx="6">
                  <c:v>57.889600735973595</c:v>
                </c:pt>
                <c:pt idx="7">
                  <c:v>58.748578735973595</c:v>
                </c:pt>
                <c:pt idx="8">
                  <c:v>59.384439735973586</c:v>
                </c:pt>
                <c:pt idx="9">
                  <c:v>59.980579735973592</c:v>
                </c:pt>
                <c:pt idx="10">
                  <c:v>59.448661735973587</c:v>
                </c:pt>
                <c:pt idx="11">
                  <c:v>60.505127735973595</c:v>
                </c:pt>
                <c:pt idx="12">
                  <c:v>60.961181666666661</c:v>
                </c:pt>
                <c:pt idx="13">
                  <c:v>61.232411999999989</c:v>
                </c:pt>
                <c:pt idx="14">
                  <c:v>61.046534999999999</c:v>
                </c:pt>
                <c:pt idx="15">
                  <c:v>60.751298666666663</c:v>
                </c:pt>
                <c:pt idx="16">
                  <c:v>60.509898999999997</c:v>
                </c:pt>
                <c:pt idx="17">
                  <c:v>60.833137333333333</c:v>
                </c:pt>
                <c:pt idx="18">
                  <c:v>60.563020000000002</c:v>
                </c:pt>
                <c:pt idx="19">
                  <c:v>59.580663666666673</c:v>
                </c:pt>
                <c:pt idx="20">
                  <c:v>59.109206</c:v>
                </c:pt>
                <c:pt idx="21">
                  <c:v>58.323260000000005</c:v>
                </c:pt>
                <c:pt idx="22">
                  <c:v>57.616349333333346</c:v>
                </c:pt>
                <c:pt idx="23">
                  <c:v>56.243186980884111</c:v>
                </c:pt>
                <c:pt idx="24">
                  <c:v>54.820804314217447</c:v>
                </c:pt>
                <c:pt idx="25">
                  <c:v>53.737385980884113</c:v>
                </c:pt>
                <c:pt idx="26">
                  <c:v>53.323439592172718</c:v>
                </c:pt>
                <c:pt idx="27">
                  <c:v>53.285198258839387</c:v>
                </c:pt>
                <c:pt idx="28">
                  <c:v>53.907757258839382</c:v>
                </c:pt>
                <c:pt idx="29">
                  <c:v>53.295928258839382</c:v>
                </c:pt>
                <c:pt idx="30">
                  <c:v>53.540896592172722</c:v>
                </c:pt>
                <c:pt idx="31">
                  <c:v>53.953876258839387</c:v>
                </c:pt>
                <c:pt idx="32">
                  <c:v>53.568225258839384</c:v>
                </c:pt>
                <c:pt idx="33">
                  <c:v>54.305242925506057</c:v>
                </c:pt>
                <c:pt idx="34">
                  <c:v>55.077370925506052</c:v>
                </c:pt>
                <c:pt idx="35">
                  <c:v>56.420096611288614</c:v>
                </c:pt>
                <c:pt idx="36">
                  <c:v>57.789466611288617</c:v>
                </c:pt>
                <c:pt idx="37">
                  <c:v>59.783144944621945</c:v>
                </c:pt>
                <c:pt idx="38">
                  <c:v>61.547301333333344</c:v>
                </c:pt>
                <c:pt idx="39">
                  <c:v>62.504557000000005</c:v>
                </c:pt>
                <c:pt idx="40">
                  <c:v>63.163091000000001</c:v>
                </c:pt>
                <c:pt idx="41">
                  <c:v>63.837495666666662</c:v>
                </c:pt>
                <c:pt idx="42">
                  <c:v>63.634596000000002</c:v>
                </c:pt>
                <c:pt idx="43">
                  <c:v>64.119704666666664</c:v>
                </c:pt>
                <c:pt idx="44">
                  <c:v>65.71829533333333</c:v>
                </c:pt>
                <c:pt idx="45">
                  <c:v>66.009251333333339</c:v>
                </c:pt>
                <c:pt idx="46">
                  <c:v>66.985699999999994</c:v>
                </c:pt>
                <c:pt idx="47">
                  <c:v>66.700492666666662</c:v>
                </c:pt>
                <c:pt idx="48">
                  <c:v>66.578404333333324</c:v>
                </c:pt>
                <c:pt idx="49">
                  <c:v>65.724377333333322</c:v>
                </c:pt>
                <c:pt idx="50">
                  <c:v>64.587909666666661</c:v>
                </c:pt>
                <c:pt idx="51">
                  <c:v>64.162170333333322</c:v>
                </c:pt>
                <c:pt idx="52">
                  <c:v>63.064633666666666</c:v>
                </c:pt>
                <c:pt idx="53">
                  <c:v>63.661581666666656</c:v>
                </c:pt>
                <c:pt idx="54">
                  <c:v>64.378010666666668</c:v>
                </c:pt>
                <c:pt idx="55">
                  <c:v>65.086669000000001</c:v>
                </c:pt>
                <c:pt idx="56">
                  <c:v>64.276240666666666</c:v>
                </c:pt>
                <c:pt idx="57">
                  <c:v>63.788278333333345</c:v>
                </c:pt>
                <c:pt idx="58">
                  <c:v>63.326198333333345</c:v>
                </c:pt>
                <c:pt idx="59">
                  <c:v>63.313483333333338</c:v>
                </c:pt>
                <c:pt idx="60">
                  <c:v>64.11725233333334</c:v>
                </c:pt>
                <c:pt idx="61">
                  <c:v>64.745901666666668</c:v>
                </c:pt>
                <c:pt idx="62">
                  <c:v>65.609600333333333</c:v>
                </c:pt>
                <c:pt idx="63">
                  <c:v>66.359511000000012</c:v>
                </c:pt>
                <c:pt idx="64">
                  <c:v>66.939092333333335</c:v>
                </c:pt>
                <c:pt idx="65">
                  <c:v>66.891505666666674</c:v>
                </c:pt>
                <c:pt idx="66">
                  <c:v>66.916094666666666</c:v>
                </c:pt>
                <c:pt idx="67">
                  <c:v>66.445031333333333</c:v>
                </c:pt>
                <c:pt idx="68">
                  <c:v>66.167219333333335</c:v>
                </c:pt>
                <c:pt idx="69">
                  <c:v>66.564079000000007</c:v>
                </c:pt>
                <c:pt idx="70">
                  <c:v>66.528507000000005</c:v>
                </c:pt>
                <c:pt idx="71">
                  <c:v>65.898106666666664</c:v>
                </c:pt>
                <c:pt idx="72">
                  <c:v>64.923168333333336</c:v>
                </c:pt>
                <c:pt idx="73">
                  <c:v>64.276127333333335</c:v>
                </c:pt>
                <c:pt idx="74">
                  <c:v>63.089565666666665</c:v>
                </c:pt>
                <c:pt idx="75">
                  <c:v>62.95609566666667</c:v>
                </c:pt>
                <c:pt idx="76">
                  <c:v>63.823511333333343</c:v>
                </c:pt>
                <c:pt idx="77">
                  <c:v>63.777952333333339</c:v>
                </c:pt>
                <c:pt idx="78">
                  <c:v>64.402999000000008</c:v>
                </c:pt>
                <c:pt idx="79">
                  <c:v>64.270722666666671</c:v>
                </c:pt>
                <c:pt idx="80">
                  <c:v>64.750186000000014</c:v>
                </c:pt>
                <c:pt idx="81">
                  <c:v>65.002893666666665</c:v>
                </c:pt>
                <c:pt idx="82">
                  <c:v>64.564398000000011</c:v>
                </c:pt>
                <c:pt idx="83">
                  <c:v>64.66364200000001</c:v>
                </c:pt>
                <c:pt idx="84">
                  <c:v>64.799356666666668</c:v>
                </c:pt>
                <c:pt idx="85">
                  <c:v>64.376990666666671</c:v>
                </c:pt>
                <c:pt idx="86">
                  <c:v>65.213615000000004</c:v>
                </c:pt>
                <c:pt idx="87">
                  <c:v>64.892339366666675</c:v>
                </c:pt>
                <c:pt idx="88">
                  <c:v>63.048738367532266</c:v>
                </c:pt>
                <c:pt idx="89">
                  <c:v>62.386772173953425</c:v>
                </c:pt>
                <c:pt idx="90">
                  <c:v>61.791942868397861</c:v>
                </c:pt>
                <c:pt idx="91">
                  <c:v>61.650761562842312</c:v>
                </c:pt>
                <c:pt idx="92">
                  <c:v>61.254163228231832</c:v>
                </c:pt>
                <c:pt idx="93">
                  <c:v>60.844112589342949</c:v>
                </c:pt>
                <c:pt idx="94">
                  <c:v>61.43938346648136</c:v>
                </c:pt>
                <c:pt idx="95">
                  <c:v>61.976184494259151</c:v>
                </c:pt>
                <c:pt idx="96">
                  <c:v>61.2679731887036</c:v>
                </c:pt>
                <c:pt idx="97">
                  <c:v>61.512214188703595</c:v>
                </c:pt>
                <c:pt idx="98">
                  <c:v>62.07637952203693</c:v>
                </c:pt>
                <c:pt idx="99">
                  <c:v>63.15537148870358</c:v>
                </c:pt>
                <c:pt idx="100">
                  <c:v>65.552598154504651</c:v>
                </c:pt>
                <c:pt idx="101">
                  <c:v>66.580819348083494</c:v>
                </c:pt>
                <c:pt idx="102">
                  <c:v>67.380658986972378</c:v>
                </c:pt>
                <c:pt idx="103">
                  <c:v>68.629908959194594</c:v>
                </c:pt>
                <c:pt idx="104">
                  <c:v>69.359960960471753</c:v>
                </c:pt>
                <c:pt idx="105">
                  <c:v>69.146880599360642</c:v>
                </c:pt>
                <c:pt idx="106">
                  <c:v>69.137506722222241</c:v>
                </c:pt>
                <c:pt idx="107">
                  <c:v>68.967562361111121</c:v>
                </c:pt>
                <c:pt idx="108">
                  <c:v>70.008675333333343</c:v>
                </c:pt>
                <c:pt idx="109">
                  <c:v>70.694475333333344</c:v>
                </c:pt>
                <c:pt idx="110">
                  <c:v>69.872008666666673</c:v>
                </c:pt>
                <c:pt idx="111">
                  <c:v>69.411636999999999</c:v>
                </c:pt>
                <c:pt idx="112">
                  <c:v>67.573871666666676</c:v>
                </c:pt>
                <c:pt idx="113">
                  <c:v>67.479337000000001</c:v>
                </c:pt>
                <c:pt idx="114">
                  <c:v>66.300145999999998</c:v>
                </c:pt>
                <c:pt idx="115">
                  <c:v>65.405465666666672</c:v>
                </c:pt>
                <c:pt idx="116">
                  <c:v>65.121048999999999</c:v>
                </c:pt>
                <c:pt idx="117">
                  <c:v>64.903209000000004</c:v>
                </c:pt>
                <c:pt idx="118">
                  <c:v>64.373486666666665</c:v>
                </c:pt>
                <c:pt idx="119">
                  <c:v>63.916879333333334</c:v>
                </c:pt>
                <c:pt idx="120">
                  <c:v>63.719074666666671</c:v>
                </c:pt>
                <c:pt idx="121">
                  <c:v>63.153239666666671</c:v>
                </c:pt>
                <c:pt idx="122">
                  <c:v>62.61414400000001</c:v>
                </c:pt>
                <c:pt idx="123">
                  <c:v>61.731818000000004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0-4FEE-A872-3E166ADA0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364447"/>
        <c:axId val="473365887"/>
      </c:lineChart>
      <c:catAx>
        <c:axId val="47336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5887"/>
        <c:crosses val="autoZero"/>
        <c:auto val="1"/>
        <c:lblAlgn val="ctr"/>
        <c:lblOffset val="100"/>
        <c:noMultiLvlLbl val="0"/>
      </c:catAx>
      <c:valAx>
        <c:axId val="4733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6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'Brazil + Vietnam Coffee'!$K$27</c:f>
          <c:strCache>
            <c:ptCount val="1"/>
            <c:pt idx="0">
              <c:v>Vietnam &amp; Brazil : Total Coffee Exports | YTD : Oct-Sep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'Brazil + Vietnam Coffee'!$S$7:$S$17</c:f>
              <c:strCache>
                <c:ptCount val="11"/>
                <c:pt idx="0">
                  <c:v>14/15</c:v>
                </c:pt>
                <c:pt idx="1">
                  <c:v>15/16</c:v>
                </c:pt>
                <c:pt idx="2">
                  <c:v>16/17</c:v>
                </c:pt>
                <c:pt idx="3">
                  <c:v>17/18</c:v>
                </c:pt>
                <c:pt idx="4">
                  <c:v>18/19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  <c:pt idx="10">
                  <c:v>24/25</c:v>
                </c:pt>
              </c:strCache>
            </c:strRef>
          </c:cat>
          <c:val>
            <c:numRef>
              <c:f>'Brazil + Vietnam Coffee'!$T$7:$T$17</c:f>
              <c:numCache>
                <c:formatCode>#,##0</c:formatCode>
                <c:ptCount val="11"/>
                <c:pt idx="0">
                  <c:v>54469628.572397754</c:v>
                </c:pt>
                <c:pt idx="1">
                  <c:v>60961181.666666664</c:v>
                </c:pt>
                <c:pt idx="2">
                  <c:v>54820804.314217448</c:v>
                </c:pt>
                <c:pt idx="3">
                  <c:v>57789466.611288615</c:v>
                </c:pt>
                <c:pt idx="4">
                  <c:v>66578404.333333328</c:v>
                </c:pt>
                <c:pt idx="5">
                  <c:v>64117252.333333336</c:v>
                </c:pt>
                <c:pt idx="6">
                  <c:v>64923168.333333336</c:v>
                </c:pt>
                <c:pt idx="7">
                  <c:v>64799356.666666672</c:v>
                </c:pt>
                <c:pt idx="8">
                  <c:v>61267973.188703597</c:v>
                </c:pt>
                <c:pt idx="9">
                  <c:v>70008675.333333343</c:v>
                </c:pt>
                <c:pt idx="10">
                  <c:v>63719074.666666672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3-44D9-84D8-A36A5AB97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60896"/>
        <c:axId val="2068359936"/>
      </c:lineChart>
      <c:catAx>
        <c:axId val="206836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59936"/>
        <c:crosses val="autoZero"/>
        <c:auto val="1"/>
        <c:lblAlgn val="ctr"/>
        <c:lblOffset val="100"/>
        <c:noMultiLvlLbl val="0"/>
      </c:catAx>
      <c:valAx>
        <c:axId val="20683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'Brazil + Vietnam Coffee'!$Q$27</c:f>
          <c:strCache>
            <c:ptCount val="1"/>
            <c:pt idx="0">
              <c:v>Vietnam &amp; Brazil : Total Coffee Exports | Cumulative</c:v>
            </c:pt>
          </c:strCache>
        </c:strRef>
      </c:tx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12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'Brazil + Vietnam Coffee'!$M$81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'Brazil + Vietnam Coffee'!$N$75:$Y$75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Coffee'!$N$81:$Y$81</c:f>
              <c:numCache>
                <c:formatCode>#,##0</c:formatCode>
                <c:ptCount val="12"/>
                <c:pt idx="0">
                  <c:v>5051709.666666667</c:v>
                </c:pt>
                <c:pt idx="1">
                  <c:v>10139146.333333334</c:v>
                </c:pt>
                <c:pt idx="2">
                  <c:v>16025361</c:v>
                </c:pt>
                <c:pt idx="3">
                  <c:v>21731417.333333336</c:v>
                </c:pt>
                <c:pt idx="4">
                  <c:v>27521868.000000004</c:v>
                </c:pt>
                <c:pt idx="5">
                  <c:v>33828158.333333336</c:v>
                </c:pt>
                <c:pt idx="6">
                  <c:v>39787821.333333336</c:v>
                </c:pt>
                <c:pt idx="7">
                  <c:v>44633366.666666672</c:v>
                </c:pt>
                <c:pt idx="8">
                  <c:v>49096838.666666672</c:v>
                </c:pt>
                <c:pt idx="9">
                  <c:v>53668429.666666672</c:v>
                </c:pt>
                <c:pt idx="10">
                  <c:v>58591001.666666672</c:v>
                </c:pt>
                <c:pt idx="11">
                  <c:v>64117252.333333336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6F-4035-8F22-D6854FFFD34A}"/>
            </c:ext>
          </c:extLst>
        </c:ser>
        <c:ser>
          <c:idx val="1"/>
          <c:order val="1"/>
          <c:tx>
            <c:strRef>
              <c:f>'Brazil + Vietnam Coffee'!$M$82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'Brazil + Vietnam Coffee'!$N$75:$Y$75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Coffee'!$N$82:$Y$82</c:f>
              <c:numCache>
                <c:formatCode>#,##0</c:formatCode>
                <c:ptCount val="12"/>
                <c:pt idx="0">
                  <c:v>5680359</c:v>
                </c:pt>
                <c:pt idx="1">
                  <c:v>11631494.333333334</c:v>
                </c:pt>
                <c:pt idx="2">
                  <c:v>18267619.666666668</c:v>
                </c:pt>
                <c:pt idx="3">
                  <c:v>24553257.333333336</c:v>
                </c:pt>
                <c:pt idx="4">
                  <c:v>30296121.333333336</c:v>
                </c:pt>
                <c:pt idx="5">
                  <c:v>36627000.666666672</c:v>
                </c:pt>
                <c:pt idx="6">
                  <c:v>42115600.333333336</c:v>
                </c:pt>
                <c:pt idx="7">
                  <c:v>46683333.666666672</c:v>
                </c:pt>
                <c:pt idx="8">
                  <c:v>51543665.333333336</c:v>
                </c:pt>
                <c:pt idx="9">
                  <c:v>56079684.333333336</c:v>
                </c:pt>
                <c:pt idx="10">
                  <c:v>60371856</c:v>
                </c:pt>
                <c:pt idx="11">
                  <c:v>64923168.333333336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6F-4035-8F22-D6854FFFD34A}"/>
            </c:ext>
          </c:extLst>
        </c:ser>
        <c:ser>
          <c:idx val="2"/>
          <c:order val="2"/>
          <c:tx>
            <c:strRef>
              <c:f>'Brazil + Vietnam Coffee'!$M$83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'Brazil + Vietnam Coffee'!$N$75:$Y$75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Coffee'!$N$83:$Y$83</c:f>
              <c:numCache>
                <c:formatCode>#,##0</c:formatCode>
                <c:ptCount val="12"/>
                <c:pt idx="0">
                  <c:v>5033318</c:v>
                </c:pt>
                <c:pt idx="1">
                  <c:v>9797891.6666666679</c:v>
                </c:pt>
                <c:pt idx="2">
                  <c:v>16300547.000000002</c:v>
                </c:pt>
                <c:pt idx="3">
                  <c:v>23453600.333333336</c:v>
                </c:pt>
                <c:pt idx="4">
                  <c:v>29150905.333333336</c:v>
                </c:pt>
                <c:pt idx="5">
                  <c:v>36106831.333333336</c:v>
                </c:pt>
                <c:pt idx="6">
                  <c:v>41463154.666666672</c:v>
                </c:pt>
                <c:pt idx="7">
                  <c:v>46510351.333333336</c:v>
                </c:pt>
                <c:pt idx="8">
                  <c:v>51623390.666666672</c:v>
                </c:pt>
                <c:pt idx="9">
                  <c:v>55720914.000000007</c:v>
                </c:pt>
                <c:pt idx="10">
                  <c:v>60112329.666666672</c:v>
                </c:pt>
                <c:pt idx="11">
                  <c:v>64799356.666666672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6F-4035-8F22-D6854FFFD34A}"/>
            </c:ext>
          </c:extLst>
        </c:ser>
        <c:ser>
          <c:idx val="3"/>
          <c:order val="3"/>
          <c:tx>
            <c:strRef>
              <c:f>'Brazil + Vietnam Coffee'!$M$84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'Brazil + Vietnam Coffee'!$N$75:$Y$75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Coffee'!$N$84:$Y$84</c:f>
              <c:numCache>
                <c:formatCode>#,##0</c:formatCode>
                <c:ptCount val="12"/>
                <c:pt idx="0">
                  <c:v>4610952</c:v>
                </c:pt>
                <c:pt idx="1">
                  <c:v>10212150</c:v>
                </c:pt>
                <c:pt idx="2">
                  <c:v>16393529.699999999</c:v>
                </c:pt>
                <c:pt idx="3">
                  <c:v>21702982.034198932</c:v>
                </c:pt>
                <c:pt idx="4">
                  <c:v>26738320.840620086</c:v>
                </c:pt>
                <c:pt idx="5">
                  <c:v>33099417.53506453</c:v>
                </c:pt>
                <c:pt idx="6">
                  <c:v>38314559.562842309</c:v>
                </c:pt>
                <c:pt idx="7">
                  <c:v>42965157.894898504</c:v>
                </c:pt>
                <c:pt idx="8">
                  <c:v>47668146.589342952</c:v>
                </c:pt>
                <c:pt idx="9">
                  <c:v>52360940.799814701</c:v>
                </c:pt>
                <c:pt idx="10">
                  <c:v>57289157.494259149</c:v>
                </c:pt>
                <c:pt idx="11">
                  <c:v>61267973.188703597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6F-4035-8F22-D6854FFFD34A}"/>
            </c:ext>
          </c:extLst>
        </c:ser>
        <c:ser>
          <c:idx val="4"/>
          <c:order val="4"/>
          <c:tx>
            <c:strRef>
              <c:f>'Brazil + Vietnam Coffee'!$M$85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'Brazil + Vietnam Coffee'!$N$75:$Y$75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Coffee'!$N$85:$Y$85</c:f>
              <c:numCache>
                <c:formatCode>#,##0</c:formatCode>
                <c:ptCount val="12"/>
                <c:pt idx="0">
                  <c:v>4855193</c:v>
                </c:pt>
                <c:pt idx="1">
                  <c:v>11020556.333333334</c:v>
                </c:pt>
                <c:pt idx="2">
                  <c:v>18280928</c:v>
                </c:pt>
                <c:pt idx="3">
                  <c:v>25987607</c:v>
                </c:pt>
                <c:pt idx="4">
                  <c:v>32051167</c:v>
                </c:pt>
                <c:pt idx="5">
                  <c:v>39212103.333333336</c:v>
                </c:pt>
                <c:pt idx="6">
                  <c:v>45676495.333333336</c:v>
                </c:pt>
                <c:pt idx="7">
                  <c:v>51057145.666666672</c:v>
                </c:pt>
                <c:pt idx="8">
                  <c:v>55547054.000000007</c:v>
                </c:pt>
                <c:pt idx="9">
                  <c:v>60230474.333333343</c:v>
                </c:pt>
                <c:pt idx="10">
                  <c:v>64988746.666666679</c:v>
                </c:pt>
                <c:pt idx="11">
                  <c:v>70008675.333333343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6F-4035-8F22-D6854FFFD34A}"/>
            </c:ext>
          </c:extLst>
        </c:ser>
        <c:ser>
          <c:idx val="5"/>
          <c:order val="5"/>
          <c:tx>
            <c:strRef>
              <c:f>'Brazil + Vietnam Coffee'!$M$86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'Brazil + Vietnam Coffee'!$N$75:$Y$75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'Brazil + Vietnam Coffee'!$N$86:$Y$86</c:f>
              <c:numCache>
                <c:formatCode>#,##0</c:formatCode>
                <c:ptCount val="12"/>
                <c:pt idx="0">
                  <c:v>5540993</c:v>
                </c:pt>
                <c:pt idx="1">
                  <c:v>10883889.666666668</c:v>
                </c:pt>
                <c:pt idx="2">
                  <c:v>17683889.666666668</c:v>
                </c:pt>
                <c:pt idx="3">
                  <c:v>23552803.333333336</c:v>
                </c:pt>
                <c:pt idx="4">
                  <c:v>29521828.666666672</c:v>
                </c:pt>
                <c:pt idx="5">
                  <c:v>35503574.000000007</c:v>
                </c:pt>
                <c:pt idx="6">
                  <c:v>41073285.666666672</c:v>
                </c:pt>
                <c:pt idx="7">
                  <c:v>46169519.333333336</c:v>
                </c:pt>
                <c:pt idx="8">
                  <c:v>50441587.666666672</c:v>
                </c:pt>
                <c:pt idx="9">
                  <c:v>54595285.666666672</c:v>
                </c:pt>
                <c:pt idx="10">
                  <c:v>58896950.666666672</c:v>
                </c:pt>
                <c:pt idx="11">
                  <c:v>63719074.666666672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6F-4035-8F22-D6854FFFD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544208"/>
        <c:axId val="320532208"/>
      </c:lineChart>
      <c:catAx>
        <c:axId val="3205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32208"/>
        <c:crosses val="autoZero"/>
        <c:auto val="1"/>
        <c:lblAlgn val="ctr"/>
        <c:lblOffset val="100"/>
        <c:noMultiLvlLbl val="0"/>
      </c:catAx>
      <c:valAx>
        <c:axId val="320532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Global derived'!A1"/><Relationship Id="rId3" Type="http://schemas.openxmlformats.org/officeDocument/2006/relationships/hyperlink" Target="#'S5 Robusta'!A1"/><Relationship Id="rId7" Type="http://schemas.openxmlformats.org/officeDocument/2006/relationships/image" Target="../media/image1.png"/><Relationship Id="rId2" Type="http://schemas.openxmlformats.org/officeDocument/2006/relationships/hyperlink" Target="#'S5 Arabica'!A1"/><Relationship Id="rId1" Type="http://schemas.openxmlformats.org/officeDocument/2006/relationships/hyperlink" Target="#'S4 Arabica'!A1"/><Relationship Id="rId6" Type="http://schemas.openxmlformats.org/officeDocument/2006/relationships/hyperlink" Target="#'Agg (Peru Included)'!A1"/><Relationship Id="rId5" Type="http://schemas.openxmlformats.org/officeDocument/2006/relationships/hyperlink" Target="#Aggregated!A1"/><Relationship Id="rId4" Type="http://schemas.openxmlformats.org/officeDocument/2006/relationships/hyperlink" Target="#'S2 Robusta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hyperlink" Target="#Menu!A1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hyperlink" Target="#Menu!A1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7" Type="http://schemas.openxmlformats.org/officeDocument/2006/relationships/chart" Target="../charts/chart17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hyperlink" Target="#Menu!A1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3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hyperlink" Target="#Menu!A1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hyperlink" Target="#Menu!A1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hyperlink" Target="#Menu!A1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hyperlink" Target="#Menu!A1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7" Type="http://schemas.openxmlformats.org/officeDocument/2006/relationships/hyperlink" Target="https://www.cecafe.com.br/dados-estatisticos/exportacoes-brasileiras/" TargetMode="Externa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6" Type="http://schemas.openxmlformats.org/officeDocument/2006/relationships/hyperlink" Target="#Menu!A1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7" Type="http://schemas.openxmlformats.org/officeDocument/2006/relationships/hyperlink" Target="https://federaciondecafeteros.org/wp/coffee-statistics/?lang=en" TargetMode="Externa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6" Type="http://schemas.openxmlformats.org/officeDocument/2006/relationships/hyperlink" Target="#Menu!A1"/><Relationship Id="rId5" Type="http://schemas.openxmlformats.org/officeDocument/2006/relationships/chart" Target="../charts/chart48.xml"/><Relationship Id="rId4" Type="http://schemas.openxmlformats.org/officeDocument/2006/relationships/chart" Target="../charts/chart47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51.xml"/><Relationship Id="rId7" Type="http://schemas.openxmlformats.org/officeDocument/2006/relationships/hyperlink" Target="https://exportadoresdecafe.com/cifras" TargetMode="Externa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6" Type="http://schemas.openxmlformats.org/officeDocument/2006/relationships/hyperlink" Target="#Menu!A1"/><Relationship Id="rId5" Type="http://schemas.openxmlformats.org/officeDocument/2006/relationships/chart" Target="../charts/chart53.xml"/><Relationship Id="rId10" Type="http://schemas.openxmlformats.org/officeDocument/2006/relationships/chart" Target="../charts/chart54.xml"/><Relationship Id="rId4" Type="http://schemas.openxmlformats.org/officeDocument/2006/relationships/chart" Target="../charts/chart52.xml"/><Relationship Id="rId9" Type="http://schemas.openxmlformats.org/officeDocument/2006/relationships/hyperlink" Target="https://etgworld.sharepoint.com/sites/DirectionalCoffeeandCocoa/Shared%20Documents/Analysis/Fundamental/Master/The%20Soft%20Scape/Database/1.%20Coffee/1.%20Exports%20&amp;%20Crop%20Size%20Validation/Honduras%20Outlook.xlsx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7" Type="http://schemas.openxmlformats.org/officeDocument/2006/relationships/hyperlink" Target="https://ethiopianmonitor.com/?s=coffee" TargetMode="Externa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hyperlink" Target="#Menu!A1"/><Relationship Id="rId5" Type="http://schemas.openxmlformats.org/officeDocument/2006/relationships/chart" Target="../charts/chart59.xml"/><Relationship Id="rId4" Type="http://schemas.openxmlformats.org/officeDocument/2006/relationships/chart" Target="../charts/chart58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7" Type="http://schemas.openxmlformats.org/officeDocument/2006/relationships/hyperlink" Target="https://www1.tdmlogin.com/tdm/index.html" TargetMode="External"/><Relationship Id="rId2" Type="http://schemas.openxmlformats.org/officeDocument/2006/relationships/chart" Target="../charts/chart61.xml"/><Relationship Id="rId1" Type="http://schemas.openxmlformats.org/officeDocument/2006/relationships/chart" Target="../charts/chart60.xml"/><Relationship Id="rId6" Type="http://schemas.openxmlformats.org/officeDocument/2006/relationships/hyperlink" Target="#Menu!A1"/><Relationship Id="rId5" Type="http://schemas.openxmlformats.org/officeDocument/2006/relationships/chart" Target="../charts/chart64.xml"/><Relationship Id="rId4" Type="http://schemas.openxmlformats.org/officeDocument/2006/relationships/chart" Target="../charts/chart63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6" Type="http://schemas.openxmlformats.org/officeDocument/2006/relationships/hyperlink" Target="#Menu!A1"/><Relationship Id="rId5" Type="http://schemas.openxmlformats.org/officeDocument/2006/relationships/chart" Target="../charts/chart69.xml"/><Relationship Id="rId4" Type="http://schemas.openxmlformats.org/officeDocument/2006/relationships/chart" Target="../charts/chart68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2.xml"/><Relationship Id="rId2" Type="http://schemas.openxmlformats.org/officeDocument/2006/relationships/chart" Target="../charts/chart71.xml"/><Relationship Id="rId1" Type="http://schemas.openxmlformats.org/officeDocument/2006/relationships/chart" Target="../charts/chart70.xml"/><Relationship Id="rId6" Type="http://schemas.openxmlformats.org/officeDocument/2006/relationships/hyperlink" Target="#Menu!A1"/><Relationship Id="rId5" Type="http://schemas.openxmlformats.org/officeDocument/2006/relationships/chart" Target="../charts/chart74.xml"/><Relationship Id="rId4" Type="http://schemas.openxmlformats.org/officeDocument/2006/relationships/chart" Target="../charts/chart73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ustoms.gov.vn/index.jsp?pageId=5002&amp;group=Statistical%20data&amp;category=General%20indicators" TargetMode="External"/><Relationship Id="rId3" Type="http://schemas.openxmlformats.org/officeDocument/2006/relationships/chart" Target="../charts/chart77.xml"/><Relationship Id="rId7" Type="http://schemas.openxmlformats.org/officeDocument/2006/relationships/hyperlink" Target="#'VTN to Terminals'!A1"/><Relationship Id="rId2" Type="http://schemas.openxmlformats.org/officeDocument/2006/relationships/chart" Target="../charts/chart76.xml"/><Relationship Id="rId1" Type="http://schemas.openxmlformats.org/officeDocument/2006/relationships/chart" Target="../charts/chart75.xml"/><Relationship Id="rId6" Type="http://schemas.openxmlformats.org/officeDocument/2006/relationships/hyperlink" Target="#Menu!A1"/><Relationship Id="rId5" Type="http://schemas.openxmlformats.org/officeDocument/2006/relationships/chart" Target="../charts/chart79.xml"/><Relationship Id="rId4" Type="http://schemas.openxmlformats.org/officeDocument/2006/relationships/chart" Target="../charts/chart78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6.xml"/><Relationship Id="rId13" Type="http://schemas.openxmlformats.org/officeDocument/2006/relationships/chart" Target="../charts/chart90.xml"/><Relationship Id="rId18" Type="http://schemas.openxmlformats.org/officeDocument/2006/relationships/chart" Target="../charts/chart95.xml"/><Relationship Id="rId3" Type="http://schemas.openxmlformats.org/officeDocument/2006/relationships/chart" Target="../charts/chart82.xml"/><Relationship Id="rId7" Type="http://schemas.openxmlformats.org/officeDocument/2006/relationships/chart" Target="../charts/chart85.xml"/><Relationship Id="rId12" Type="http://schemas.openxmlformats.org/officeDocument/2006/relationships/chart" Target="../charts/chart89.xml"/><Relationship Id="rId17" Type="http://schemas.openxmlformats.org/officeDocument/2006/relationships/chart" Target="../charts/chart94.xml"/><Relationship Id="rId2" Type="http://schemas.openxmlformats.org/officeDocument/2006/relationships/chart" Target="../charts/chart81.xml"/><Relationship Id="rId16" Type="http://schemas.openxmlformats.org/officeDocument/2006/relationships/chart" Target="../charts/chart93.xml"/><Relationship Id="rId1" Type="http://schemas.openxmlformats.org/officeDocument/2006/relationships/chart" Target="../charts/chart80.xml"/><Relationship Id="rId6" Type="http://schemas.openxmlformats.org/officeDocument/2006/relationships/chart" Target="../charts/chart84.xml"/><Relationship Id="rId11" Type="http://schemas.openxmlformats.org/officeDocument/2006/relationships/chart" Target="../charts/chart88.xml"/><Relationship Id="rId5" Type="http://schemas.openxmlformats.org/officeDocument/2006/relationships/hyperlink" Target="#Vietnam!A1"/><Relationship Id="rId15" Type="http://schemas.openxmlformats.org/officeDocument/2006/relationships/chart" Target="../charts/chart92.xml"/><Relationship Id="rId10" Type="http://schemas.openxmlformats.org/officeDocument/2006/relationships/chart" Target="../charts/chart87.xml"/><Relationship Id="rId4" Type="http://schemas.openxmlformats.org/officeDocument/2006/relationships/chart" Target="../charts/chart83.xml"/><Relationship Id="rId9" Type="http://schemas.openxmlformats.org/officeDocument/2006/relationships/hyperlink" Target="#'Vietnam R'!A1"/><Relationship Id="rId14" Type="http://schemas.openxmlformats.org/officeDocument/2006/relationships/chart" Target="../charts/chart91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8.xml"/><Relationship Id="rId7" Type="http://schemas.openxmlformats.org/officeDocument/2006/relationships/hyperlink" Target="https://www.cecafe.com.br/dados-estatisticos/exportacoes-brasileiras/" TargetMode="External"/><Relationship Id="rId2" Type="http://schemas.openxmlformats.org/officeDocument/2006/relationships/chart" Target="../charts/chart97.xml"/><Relationship Id="rId1" Type="http://schemas.openxmlformats.org/officeDocument/2006/relationships/chart" Target="../charts/chart96.xml"/><Relationship Id="rId6" Type="http://schemas.openxmlformats.org/officeDocument/2006/relationships/hyperlink" Target="#Menu!A1"/><Relationship Id="rId5" Type="http://schemas.openxmlformats.org/officeDocument/2006/relationships/chart" Target="../charts/chart100.xml"/><Relationship Id="rId4" Type="http://schemas.openxmlformats.org/officeDocument/2006/relationships/chart" Target="../charts/chart99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7" Type="http://schemas.openxmlformats.org/officeDocument/2006/relationships/hyperlink" Target="https://www.bps.go.id/en/exim" TargetMode="Externa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6" Type="http://schemas.openxmlformats.org/officeDocument/2006/relationships/hyperlink" Target="#Menu!A1"/><Relationship Id="rId5" Type="http://schemas.openxmlformats.org/officeDocument/2006/relationships/chart" Target="../charts/chart105.xml"/><Relationship Id="rId4" Type="http://schemas.openxmlformats.org/officeDocument/2006/relationships/chart" Target="../charts/chart104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8.xml"/><Relationship Id="rId7" Type="http://schemas.openxmlformats.org/officeDocument/2006/relationships/hyperlink" Target="https://ugandacoffee.go.ug/index.php/resource-center/reports/monthly-reports" TargetMode="Externa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Relationship Id="rId6" Type="http://schemas.openxmlformats.org/officeDocument/2006/relationships/hyperlink" Target="#Menu!A1"/><Relationship Id="rId5" Type="http://schemas.openxmlformats.org/officeDocument/2006/relationships/chart" Target="../charts/chart110.xml"/><Relationship Id="rId4" Type="http://schemas.openxmlformats.org/officeDocument/2006/relationships/chart" Target="../charts/chart109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3.xml"/><Relationship Id="rId7" Type="http://schemas.openxmlformats.org/officeDocument/2006/relationships/hyperlink" Target="https://www1.tdmlogin.com/tdm/index.html" TargetMode="External"/><Relationship Id="rId2" Type="http://schemas.openxmlformats.org/officeDocument/2006/relationships/chart" Target="../charts/chart112.xml"/><Relationship Id="rId1" Type="http://schemas.openxmlformats.org/officeDocument/2006/relationships/chart" Target="../charts/chart111.xml"/><Relationship Id="rId6" Type="http://schemas.openxmlformats.org/officeDocument/2006/relationships/hyperlink" Target="#Menu!A1"/><Relationship Id="rId5" Type="http://schemas.openxmlformats.org/officeDocument/2006/relationships/chart" Target="../charts/chart115.xml"/><Relationship Id="rId4" Type="http://schemas.openxmlformats.org/officeDocument/2006/relationships/chart" Target="../charts/chart114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8.xml"/><Relationship Id="rId2" Type="http://schemas.openxmlformats.org/officeDocument/2006/relationships/chart" Target="../charts/chart117.xml"/><Relationship Id="rId1" Type="http://schemas.openxmlformats.org/officeDocument/2006/relationships/chart" Target="../charts/chart116.xml"/><Relationship Id="rId6" Type="http://schemas.openxmlformats.org/officeDocument/2006/relationships/hyperlink" Target="#Menu!A1"/><Relationship Id="rId5" Type="http://schemas.openxmlformats.org/officeDocument/2006/relationships/chart" Target="../charts/chart120.xml"/><Relationship Id="rId4" Type="http://schemas.openxmlformats.org/officeDocument/2006/relationships/chart" Target="../charts/chart1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349622</xdr:colOff>
      <xdr:row>8</xdr:row>
      <xdr:rowOff>-1</xdr:rowOff>
    </xdr:from>
    <xdr:to>
      <xdr:col>2</xdr:col>
      <xdr:colOff>497541</xdr:colOff>
      <xdr:row>18</xdr:row>
      <xdr:rowOff>35858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321E96-B322-4151-552A-7CE570098FBA}"/>
            </a:ext>
          </a:extLst>
        </xdr:cNvPr>
        <xdr:cNvSpPr/>
      </xdr:nvSpPr>
      <xdr:spPr>
        <a:xfrm>
          <a:off x="1631575" y="1797423"/>
          <a:ext cx="147919" cy="2070847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</xdr:col>
      <xdr:colOff>605118</xdr:colOff>
      <xdr:row>7</xdr:row>
      <xdr:rowOff>170330</xdr:rowOff>
    </xdr:from>
    <xdr:to>
      <xdr:col>2</xdr:col>
      <xdr:colOff>121024</xdr:colOff>
      <xdr:row>21</xdr:row>
      <xdr:rowOff>22412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9C4B1E-E5E7-4770-9D13-63CF93EE6889}"/>
            </a:ext>
          </a:extLst>
        </xdr:cNvPr>
        <xdr:cNvSpPr/>
      </xdr:nvSpPr>
      <xdr:spPr>
        <a:xfrm>
          <a:off x="1246094" y="1783977"/>
          <a:ext cx="156883" cy="2671482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9</xdr:col>
      <xdr:colOff>1</xdr:colOff>
      <xdr:row>7</xdr:row>
      <xdr:rowOff>152401</xdr:rowOff>
    </xdr:from>
    <xdr:to>
      <xdr:col>9</xdr:col>
      <xdr:colOff>156883</xdr:colOff>
      <xdr:row>20</xdr:row>
      <xdr:rowOff>215153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07AEA7-6E06-416E-B17F-8527AC744849}"/>
            </a:ext>
          </a:extLst>
        </xdr:cNvPr>
        <xdr:cNvSpPr/>
      </xdr:nvSpPr>
      <xdr:spPr>
        <a:xfrm>
          <a:off x="5768789" y="1766048"/>
          <a:ext cx="156882" cy="264907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9</xdr:col>
      <xdr:colOff>286872</xdr:colOff>
      <xdr:row>7</xdr:row>
      <xdr:rowOff>147918</xdr:rowOff>
    </xdr:from>
    <xdr:to>
      <xdr:col>9</xdr:col>
      <xdr:colOff>457200</xdr:colOff>
      <xdr:row>11</xdr:row>
      <xdr:rowOff>228600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1C50A57-AD0A-40DE-BC96-57B248120FFA}"/>
            </a:ext>
          </a:extLst>
        </xdr:cNvPr>
        <xdr:cNvSpPr/>
      </xdr:nvSpPr>
      <xdr:spPr>
        <a:xfrm>
          <a:off x="6055660" y="1761565"/>
          <a:ext cx="170328" cy="865094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5</xdr:col>
      <xdr:colOff>466165</xdr:colOff>
      <xdr:row>24</xdr:row>
      <xdr:rowOff>67238</xdr:rowOff>
    </xdr:from>
    <xdr:to>
      <xdr:col>10</xdr:col>
      <xdr:colOff>349623</xdr:colOff>
      <xdr:row>26</xdr:row>
      <xdr:rowOff>116542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A9A78C3-208E-9D59-6912-76A055F4A086}"/>
            </a:ext>
          </a:extLst>
        </xdr:cNvPr>
        <xdr:cNvSpPr/>
      </xdr:nvSpPr>
      <xdr:spPr>
        <a:xfrm>
          <a:off x="3671047" y="4867838"/>
          <a:ext cx="3088341" cy="416857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kern="1200"/>
            <a:t>Arabica</a:t>
          </a:r>
          <a:r>
            <a:rPr lang="en-US" sz="1200" b="1" kern="1200" baseline="0"/>
            <a:t> + Robusta Exports (Ex Peru)</a:t>
          </a:r>
          <a:endParaRPr lang="en-US" sz="1000" b="1" kern="1200"/>
        </a:p>
      </xdr:txBody>
    </xdr:sp>
    <xdr:clientData/>
  </xdr:twoCellAnchor>
  <xdr:twoCellAnchor>
    <xdr:from>
      <xdr:col>5</xdr:col>
      <xdr:colOff>475130</xdr:colOff>
      <xdr:row>28</xdr:row>
      <xdr:rowOff>62528</xdr:rowOff>
    </xdr:from>
    <xdr:to>
      <xdr:col>10</xdr:col>
      <xdr:colOff>358588</xdr:colOff>
      <xdr:row>30</xdr:row>
      <xdr:rowOff>111832</xdr:rowOff>
    </xdr:to>
    <xdr:sp macro="" textlink="">
      <xdr:nvSpPr>
        <xdr:cNvPr id="2" name="Rectangle: Rounded Corners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8931B20-99A2-43D5-B6B1-7976BBE826BB}"/>
            </a:ext>
          </a:extLst>
        </xdr:cNvPr>
        <xdr:cNvSpPr/>
      </xdr:nvSpPr>
      <xdr:spPr>
        <a:xfrm>
          <a:off x="4060340" y="5575598"/>
          <a:ext cx="3083858" cy="415064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kern="1200"/>
            <a:t>Arabica + Robusta (Inc Peru)</a:t>
          </a:r>
          <a:endParaRPr lang="en-US" sz="1200" b="1" kern="1200" baseline="0"/>
        </a:p>
        <a:p>
          <a:pPr algn="ctr"/>
          <a:endParaRPr lang="en-US" sz="1000" b="1" kern="1200"/>
        </a:p>
      </xdr:txBody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11</xdr:col>
      <xdr:colOff>201930</xdr:colOff>
      <xdr:row>75</xdr:row>
      <xdr:rowOff>102870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476EA01-E775-63C5-FDA9-A670B0A95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" y="7524750"/>
          <a:ext cx="6602730" cy="668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491490</xdr:colOff>
      <xdr:row>32</xdr:row>
      <xdr:rowOff>152400</xdr:rowOff>
    </xdr:from>
    <xdr:to>
      <xdr:col>10</xdr:col>
      <xdr:colOff>374948</xdr:colOff>
      <xdr:row>35</xdr:row>
      <xdr:rowOff>18824</xdr:rowOff>
    </xdr:to>
    <xdr:sp macro="" textlink="">
      <xdr:nvSpPr>
        <xdr:cNvPr id="8" name="Rectangle: Rounded Corners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4E17E98-0A08-4259-B9E3-0273CD375FBA}"/>
            </a:ext>
          </a:extLst>
        </xdr:cNvPr>
        <xdr:cNvSpPr/>
      </xdr:nvSpPr>
      <xdr:spPr>
        <a:xfrm>
          <a:off x="4076700" y="6396990"/>
          <a:ext cx="3083858" cy="41506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kern="1200"/>
            <a:t>GLOBAL</a:t>
          </a:r>
          <a:r>
            <a:rPr lang="en-US" sz="1200" b="1" kern="1200" baseline="0"/>
            <a:t> TOTAL COFFEE EXPORTS</a:t>
          </a:r>
          <a:endParaRPr lang="en-US" sz="10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2</xdr:row>
      <xdr:rowOff>55245</xdr:rowOff>
    </xdr:from>
    <xdr:to>
      <xdr:col>14</xdr:col>
      <xdr:colOff>53340</xdr:colOff>
      <xdr:row>17</xdr:row>
      <xdr:rowOff>55245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A99CB7-746D-A570-A088-3016CB3D9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499110</xdr:colOff>
      <xdr:row>20</xdr:row>
      <xdr:rowOff>3810</xdr:rowOff>
    </xdr:from>
    <xdr:to>
      <xdr:col>13</xdr:col>
      <xdr:colOff>251460</xdr:colOff>
      <xdr:row>65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5EF8FF-4725-ED6D-2497-3B613AC96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9270" y="3661410"/>
          <a:ext cx="6793230" cy="8317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522836</xdr:colOff>
      <xdr:row>20</xdr:row>
      <xdr:rowOff>98934</xdr:rowOff>
    </xdr:from>
    <xdr:to>
      <xdr:col>8</xdr:col>
      <xdr:colOff>70757</xdr:colOff>
      <xdr:row>34</xdr:row>
      <xdr:rowOff>168730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90CB9-8558-4897-BB49-A52EE694B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7AF9A2-D417-4CA4-B4AF-72BC98566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BF222B-1024-4322-9A82-C0DF690A3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14B332-3786-4A38-B82F-6B2BA2F3E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429987</xdr:colOff>
      <xdr:row>20</xdr:row>
      <xdr:rowOff>174171</xdr:rowOff>
    </xdr:from>
    <xdr:to>
      <xdr:col>21</xdr:col>
      <xdr:colOff>571501</xdr:colOff>
      <xdr:row>49</xdr:row>
      <xdr:rowOff>103413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7B1406-50A7-41E4-A326-0AAA7E384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2E57B9F-5EB7-4D0E-8DBF-DA30E3FC24C8}"/>
            </a:ext>
          </a:extLst>
        </xdr:cNvPr>
        <xdr:cNvSpPr/>
      </xdr:nvSpPr>
      <xdr:spPr>
        <a:xfrm>
          <a:off x="576943" y="70757"/>
          <a:ext cx="101835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522836</xdr:colOff>
      <xdr:row>20</xdr:row>
      <xdr:rowOff>98934</xdr:rowOff>
    </xdr:from>
    <xdr:to>
      <xdr:col>8</xdr:col>
      <xdr:colOff>70757</xdr:colOff>
      <xdr:row>34</xdr:row>
      <xdr:rowOff>168730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60FC0D-1524-433D-90BD-DFED519D2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19BA36-93CE-4D01-B422-49EB4A928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AA7F6F-F8C2-405C-8CA3-04716A976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E96FC7-ACF1-4F26-86B3-67D638BA9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429987</xdr:colOff>
      <xdr:row>20</xdr:row>
      <xdr:rowOff>174171</xdr:rowOff>
    </xdr:from>
    <xdr:to>
      <xdr:col>21</xdr:col>
      <xdr:colOff>571501</xdr:colOff>
      <xdr:row>49</xdr:row>
      <xdr:rowOff>103413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2A75F4-1099-404F-996A-3CFBBC534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6339352-68BF-465F-A914-F06F5366B35D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528278</xdr:colOff>
      <xdr:row>20</xdr:row>
      <xdr:rowOff>82606</xdr:rowOff>
    </xdr:from>
    <xdr:to>
      <xdr:col>8</xdr:col>
      <xdr:colOff>76199</xdr:colOff>
      <xdr:row>34</xdr:row>
      <xdr:rowOff>152402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C8731-DAF3-467E-B310-C6B4387B5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A4F895-B848-46C6-8D96-80129617F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E41D8D-C88A-4E2F-A43C-84A84859B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AAF10F-F4BB-4E9A-B193-FBFCDF0A4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429987</xdr:colOff>
      <xdr:row>20</xdr:row>
      <xdr:rowOff>174171</xdr:rowOff>
    </xdr:from>
    <xdr:to>
      <xdr:col>21</xdr:col>
      <xdr:colOff>571501</xdr:colOff>
      <xdr:row>49</xdr:row>
      <xdr:rowOff>103413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0E9F9F-8408-499B-B942-CC5DC3329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C9739C-4A40-4EC8-BB98-CCDCD589E790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22</xdr:col>
      <xdr:colOff>397328</xdr:colOff>
      <xdr:row>5</xdr:row>
      <xdr:rowOff>111575</xdr:rowOff>
    </xdr:from>
    <xdr:to>
      <xdr:col>30</xdr:col>
      <xdr:colOff>587829</xdr:colOff>
      <xdr:row>26</xdr:row>
      <xdr:rowOff>65312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107C458-E907-953A-D9F4-3D6AA8D28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528278</xdr:colOff>
      <xdr:row>20</xdr:row>
      <xdr:rowOff>82606</xdr:rowOff>
    </xdr:from>
    <xdr:to>
      <xdr:col>8</xdr:col>
      <xdr:colOff>76199</xdr:colOff>
      <xdr:row>34</xdr:row>
      <xdr:rowOff>152402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364D4-E70E-4E36-AD10-AA3094D0E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757765-3CF4-4D95-B3BA-71C8B3E79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AFEC3D-E6C9-464F-A1E4-B1C394141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E81980-CC2E-42E8-A01F-705B77845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429987</xdr:colOff>
      <xdr:row>20</xdr:row>
      <xdr:rowOff>174171</xdr:rowOff>
    </xdr:from>
    <xdr:to>
      <xdr:col>21</xdr:col>
      <xdr:colOff>571501</xdr:colOff>
      <xdr:row>49</xdr:row>
      <xdr:rowOff>103413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21D3B6-7EA3-4402-BD20-5A0104947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E799292-35EB-4B73-97BB-3480BE9D300A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22</xdr:col>
      <xdr:colOff>397328</xdr:colOff>
      <xdr:row>5</xdr:row>
      <xdr:rowOff>111575</xdr:rowOff>
    </xdr:from>
    <xdr:to>
      <xdr:col>30</xdr:col>
      <xdr:colOff>587829</xdr:colOff>
      <xdr:row>26</xdr:row>
      <xdr:rowOff>65312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66B418-F403-4C8B-A365-30E3095AC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522836</xdr:colOff>
      <xdr:row>20</xdr:row>
      <xdr:rowOff>98934</xdr:rowOff>
    </xdr:from>
    <xdr:to>
      <xdr:col>8</xdr:col>
      <xdr:colOff>70757</xdr:colOff>
      <xdr:row>34</xdr:row>
      <xdr:rowOff>168730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77A0B3-0D82-4E20-9074-442962D3C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531323-B55B-4DAC-84C5-C9BF22AB1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408816-3C16-498A-84EE-4C428B15F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3A89FD-699B-46AB-BE04-EADB70B6B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429987</xdr:colOff>
      <xdr:row>20</xdr:row>
      <xdr:rowOff>174171</xdr:rowOff>
    </xdr:from>
    <xdr:to>
      <xdr:col>21</xdr:col>
      <xdr:colOff>571501</xdr:colOff>
      <xdr:row>49</xdr:row>
      <xdr:rowOff>103413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A530FB-B708-47B7-BE72-FDFA1B69E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CA403B2-1413-470C-A859-F7A619D869B4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517394</xdr:colOff>
      <xdr:row>20</xdr:row>
      <xdr:rowOff>131590</xdr:rowOff>
    </xdr:from>
    <xdr:to>
      <xdr:col>8</xdr:col>
      <xdr:colOff>65315</xdr:colOff>
      <xdr:row>35</xdr:row>
      <xdr:rowOff>16328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CCAC9-CE73-4E81-8782-4D5C5FAF3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4524E5-972C-4357-907B-2E3ACEB17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B6F5A7-F0A3-4447-A386-994A8BF81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1B7FC5-ACFA-4175-837C-1424E6568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429987</xdr:colOff>
      <xdr:row>20</xdr:row>
      <xdr:rowOff>174171</xdr:rowOff>
    </xdr:from>
    <xdr:to>
      <xdr:col>21</xdr:col>
      <xdr:colOff>571501</xdr:colOff>
      <xdr:row>49</xdr:row>
      <xdr:rowOff>103413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F936D7-8BF4-4A80-BEE1-EB9852434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6AB4297-C084-4361-A272-B1B3E84FADCD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517394</xdr:colOff>
      <xdr:row>20</xdr:row>
      <xdr:rowOff>131590</xdr:rowOff>
    </xdr:from>
    <xdr:to>
      <xdr:col>8</xdr:col>
      <xdr:colOff>65315</xdr:colOff>
      <xdr:row>35</xdr:row>
      <xdr:rowOff>16328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1795F-22FA-4917-A059-4138530F4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56DF67-4E2B-4B91-A40A-6785068EA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EAEFB1-FE62-4FE8-8FD3-0C7C89650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DA84F9-C012-47FE-BD07-EAFB1BA0D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429987</xdr:colOff>
      <xdr:row>20</xdr:row>
      <xdr:rowOff>174171</xdr:rowOff>
    </xdr:from>
    <xdr:to>
      <xdr:col>21</xdr:col>
      <xdr:colOff>571501</xdr:colOff>
      <xdr:row>49</xdr:row>
      <xdr:rowOff>103413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210618-4540-47A9-BBE8-666F9FCA3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4BA29DB-AFC0-49A5-B902-4395D46D1224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533722</xdr:colOff>
      <xdr:row>20</xdr:row>
      <xdr:rowOff>104377</xdr:rowOff>
    </xdr:from>
    <xdr:to>
      <xdr:col>8</xdr:col>
      <xdr:colOff>81643</xdr:colOff>
      <xdr:row>34</xdr:row>
      <xdr:rowOff>174173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F0D174-A82C-629C-646E-7F5E39810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81ECEB-3A92-A58A-8E19-E620C349F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599F54-0340-4C54-A464-7CDA7FCB9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12D07E-4871-D490-88FF-99BA3FDE4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446315</xdr:colOff>
      <xdr:row>20</xdr:row>
      <xdr:rowOff>174171</xdr:rowOff>
    </xdr:from>
    <xdr:to>
      <xdr:col>21</xdr:col>
      <xdr:colOff>587829</xdr:colOff>
      <xdr:row>49</xdr:row>
      <xdr:rowOff>103413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9FD9EC7-57EC-417B-0595-732540ADE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11" name="Arrow: Left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80E6687-C210-14D1-492E-510CDDFF820C}"/>
            </a:ext>
          </a:extLst>
        </xdr:cNvPr>
        <xdr:cNvSpPr/>
      </xdr:nvSpPr>
      <xdr:spPr>
        <a:xfrm>
          <a:off x="576943" y="70757"/>
          <a:ext cx="767443" cy="375557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19</xdr:col>
      <xdr:colOff>598715</xdr:colOff>
      <xdr:row>0</xdr:row>
      <xdr:rowOff>125185</xdr:rowOff>
    </xdr:from>
    <xdr:to>
      <xdr:col>21</xdr:col>
      <xdr:colOff>457201</xdr:colOff>
      <xdr:row>1</xdr:row>
      <xdr:rowOff>103414</xdr:rowOff>
    </xdr:to>
    <xdr:sp macro="" textlink="">
      <xdr:nvSpPr>
        <xdr:cNvPr id="15" name="Rectangle: Rounded Corners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D369684-1503-4A2E-87B8-5696892D83BE}"/>
            </a:ext>
          </a:extLst>
        </xdr:cNvPr>
        <xdr:cNvSpPr/>
      </xdr:nvSpPr>
      <xdr:spPr>
        <a:xfrm>
          <a:off x="12801601" y="125185"/>
          <a:ext cx="1143000" cy="3048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chemeClr val="accent4">
                  <a:lumMod val="50000"/>
                </a:schemeClr>
              </a:solidFill>
            </a:rPr>
            <a:t>Link To Source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522836</xdr:colOff>
      <xdr:row>20</xdr:row>
      <xdr:rowOff>98934</xdr:rowOff>
    </xdr:from>
    <xdr:to>
      <xdr:col>8</xdr:col>
      <xdr:colOff>70757</xdr:colOff>
      <xdr:row>34</xdr:row>
      <xdr:rowOff>168730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7F91B3-529B-44A8-8FE9-74ED4761B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97971</xdr:rowOff>
    </xdr:from>
    <xdr:to>
      <xdr:col>8</xdr:col>
      <xdr:colOff>59871</xdr:colOff>
      <xdr:row>49</xdr:row>
      <xdr:rowOff>125185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10F131-FF21-4652-B131-670F47DEB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83273</xdr:rowOff>
    </xdr:from>
    <xdr:to>
      <xdr:col>14</xdr:col>
      <xdr:colOff>342899</xdr:colOff>
      <xdr:row>49</xdr:row>
      <xdr:rowOff>103413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97C492-5B51-475B-B00A-853EE72FD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089E28-5503-490F-A6FE-0D5CE0B43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478973</xdr:colOff>
      <xdr:row>21</xdr:row>
      <xdr:rowOff>5441</xdr:rowOff>
    </xdr:from>
    <xdr:to>
      <xdr:col>21</xdr:col>
      <xdr:colOff>620487</xdr:colOff>
      <xdr:row>49</xdr:row>
      <xdr:rowOff>119741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4ED7BD-EB03-4B92-B391-151979C53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0E894F7-384E-4C36-AB91-8DEF06BB13FE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20</xdr:col>
      <xdr:colOff>38100</xdr:colOff>
      <xdr:row>0</xdr:row>
      <xdr:rowOff>130629</xdr:rowOff>
    </xdr:from>
    <xdr:to>
      <xdr:col>21</xdr:col>
      <xdr:colOff>538843</xdr:colOff>
      <xdr:row>1</xdr:row>
      <xdr:rowOff>108858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7B243EA-51F7-4930-B296-4E2F9FD73CF1}"/>
            </a:ext>
          </a:extLst>
        </xdr:cNvPr>
        <xdr:cNvSpPr/>
      </xdr:nvSpPr>
      <xdr:spPr>
        <a:xfrm>
          <a:off x="12883243" y="130629"/>
          <a:ext cx="1143000" cy="3048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chemeClr val="accent4">
                  <a:lumMod val="50000"/>
                </a:schemeClr>
              </a:solidFill>
            </a:rPr>
            <a:t>Link To Source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522836</xdr:colOff>
      <xdr:row>20</xdr:row>
      <xdr:rowOff>98934</xdr:rowOff>
    </xdr:from>
    <xdr:to>
      <xdr:col>8</xdr:col>
      <xdr:colOff>70757</xdr:colOff>
      <xdr:row>34</xdr:row>
      <xdr:rowOff>168730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EBB4C5-F2EE-40E9-B36F-924665DE8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53A8F5-8ACA-41B2-8148-2D69E7160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DFA9F7-C292-488D-9AFA-C06D98E2D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D18701-B020-4CA5-8FE9-7C1737224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429987</xdr:colOff>
      <xdr:row>20</xdr:row>
      <xdr:rowOff>174171</xdr:rowOff>
    </xdr:from>
    <xdr:to>
      <xdr:col>21</xdr:col>
      <xdr:colOff>571501</xdr:colOff>
      <xdr:row>49</xdr:row>
      <xdr:rowOff>103413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B68C39-8202-4712-A118-97B40A096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44A0D1-C641-4491-972E-4A82D6A541DF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19</xdr:col>
      <xdr:colOff>626889</xdr:colOff>
      <xdr:row>0</xdr:row>
      <xdr:rowOff>136072</xdr:rowOff>
    </xdr:from>
    <xdr:to>
      <xdr:col>21</xdr:col>
      <xdr:colOff>485375</xdr:colOff>
      <xdr:row>1</xdr:row>
      <xdr:rowOff>114301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C20209-7A18-4A3A-99D8-8075231B578B}"/>
            </a:ext>
          </a:extLst>
        </xdr:cNvPr>
        <xdr:cNvSpPr/>
      </xdr:nvSpPr>
      <xdr:spPr>
        <a:xfrm>
          <a:off x="12948877" y="136072"/>
          <a:ext cx="1140439" cy="305441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chemeClr val="accent4">
                  <a:lumMod val="50000"/>
                </a:schemeClr>
              </a:solidFill>
            </a:rPr>
            <a:t>Link To Source</a:t>
          </a:r>
        </a:p>
      </xdr:txBody>
    </xdr:sp>
    <xdr:clientData/>
  </xdr:twoCellAnchor>
  <xdr:twoCellAnchor editAs="oneCell">
    <xdr:from>
      <xdr:col>13</xdr:col>
      <xdr:colOff>625930</xdr:colOff>
      <xdr:row>93</xdr:row>
      <xdr:rowOff>157843</xdr:rowOff>
    </xdr:from>
    <xdr:to>
      <xdr:col>39</xdr:col>
      <xdr:colOff>53548</xdr:colOff>
      <xdr:row>124</xdr:row>
      <xdr:rowOff>89238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8D9D58E-2AAC-BEBA-4C7E-39A1B9DE6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75273" y="17384486"/>
          <a:ext cx="17509394" cy="5668166"/>
        </a:xfrm>
        <a:prstGeom prst="rect">
          <a:avLst/>
        </a:prstGeom>
      </xdr:spPr>
    </xdr:pic>
    <xdr:clientData/>
  </xdr:twoCellAnchor>
  <xdr:twoCellAnchor>
    <xdr:from>
      <xdr:col>17</xdr:col>
      <xdr:colOff>354106</xdr:colOff>
      <xdr:row>0</xdr:row>
      <xdr:rowOff>152400</xdr:rowOff>
    </xdr:from>
    <xdr:to>
      <xdr:col>19</xdr:col>
      <xdr:colOff>212592</xdr:colOff>
      <xdr:row>1</xdr:row>
      <xdr:rowOff>130629</xdr:rowOff>
    </xdr:to>
    <xdr:sp macro="" textlink="">
      <xdr:nvSpPr>
        <xdr:cNvPr id="10" name="Rectangle: Rounded Corners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952E910-C849-4004-9EF1-57A16FAC4FB0}"/>
            </a:ext>
          </a:extLst>
        </xdr:cNvPr>
        <xdr:cNvSpPr/>
      </xdr:nvSpPr>
      <xdr:spPr>
        <a:xfrm>
          <a:off x="11394141" y="152400"/>
          <a:ext cx="1140439" cy="305441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 kern="1200">
              <a:solidFill>
                <a:schemeClr val="accent4">
                  <a:lumMod val="50000"/>
                </a:schemeClr>
              </a:solidFill>
            </a:rPr>
            <a:t>Sales Progression</a:t>
          </a:r>
        </a:p>
      </xdr:txBody>
    </xdr:sp>
    <xdr:clientData/>
  </xdr:twoCellAnchor>
  <xdr:twoCellAnchor>
    <xdr:from>
      <xdr:col>22</xdr:col>
      <xdr:colOff>593271</xdr:colOff>
      <xdr:row>3</xdr:row>
      <xdr:rowOff>13606</xdr:rowOff>
    </xdr:from>
    <xdr:to>
      <xdr:col>38</xdr:col>
      <xdr:colOff>391884</xdr:colOff>
      <xdr:row>34</xdr:row>
      <xdr:rowOff>108859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EA84702-4EA2-C5A8-668D-C9CECA643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522836</xdr:colOff>
      <xdr:row>20</xdr:row>
      <xdr:rowOff>98934</xdr:rowOff>
    </xdr:from>
    <xdr:to>
      <xdr:col>8</xdr:col>
      <xdr:colOff>70757</xdr:colOff>
      <xdr:row>34</xdr:row>
      <xdr:rowOff>168730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025CF-0148-4E75-827B-CC052DD49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25628D-20C1-4F3D-8365-E53F66BFA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34AFAB-2032-41FC-A596-3D576F798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DA843D-2162-4FB2-BCFB-434B5410C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429987</xdr:colOff>
      <xdr:row>20</xdr:row>
      <xdr:rowOff>174171</xdr:rowOff>
    </xdr:from>
    <xdr:to>
      <xdr:col>21</xdr:col>
      <xdr:colOff>571501</xdr:colOff>
      <xdr:row>49</xdr:row>
      <xdr:rowOff>103413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F37B9E-DF22-4BBB-90B0-E88480F2B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8D52AFC-EDEC-4E95-985C-0133ACD15107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20</xdr:col>
      <xdr:colOff>59872</xdr:colOff>
      <xdr:row>0</xdr:row>
      <xdr:rowOff>125185</xdr:rowOff>
    </xdr:from>
    <xdr:to>
      <xdr:col>21</xdr:col>
      <xdr:colOff>560615</xdr:colOff>
      <xdr:row>1</xdr:row>
      <xdr:rowOff>103414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8E5636F-387B-4200-ADD9-BD8DA01D08D7}"/>
            </a:ext>
          </a:extLst>
        </xdr:cNvPr>
        <xdr:cNvSpPr/>
      </xdr:nvSpPr>
      <xdr:spPr>
        <a:xfrm>
          <a:off x="12905015" y="125185"/>
          <a:ext cx="1143000" cy="3048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chemeClr val="accent4">
                  <a:lumMod val="50000"/>
                </a:schemeClr>
              </a:solidFill>
            </a:rPr>
            <a:t>Link To Source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522836</xdr:colOff>
      <xdr:row>20</xdr:row>
      <xdr:rowOff>98934</xdr:rowOff>
    </xdr:from>
    <xdr:to>
      <xdr:col>8</xdr:col>
      <xdr:colOff>70757</xdr:colOff>
      <xdr:row>34</xdr:row>
      <xdr:rowOff>168730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9DB85-2B7C-4CD1-AD38-C2B153B3E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8B3A65-4C18-4F28-8CCD-200CC8B74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812AF6-590A-41FC-9512-BE9153D34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436140-DE24-4AA3-B478-E7A315963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429987</xdr:colOff>
      <xdr:row>20</xdr:row>
      <xdr:rowOff>174171</xdr:rowOff>
    </xdr:from>
    <xdr:to>
      <xdr:col>21</xdr:col>
      <xdr:colOff>571501</xdr:colOff>
      <xdr:row>49</xdr:row>
      <xdr:rowOff>103413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9FEE56-A797-46C5-9E54-C9EBF6C7F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BBE0F0F-8569-49D4-AAB3-3E1C4907B17B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19</xdr:col>
      <xdr:colOff>609600</xdr:colOff>
      <xdr:row>0</xdr:row>
      <xdr:rowOff>125185</xdr:rowOff>
    </xdr:from>
    <xdr:to>
      <xdr:col>21</xdr:col>
      <xdr:colOff>468086</xdr:colOff>
      <xdr:row>1</xdr:row>
      <xdr:rowOff>103414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4FB3A35-D1BF-4C5F-9415-B0E84E1F33BB}"/>
            </a:ext>
          </a:extLst>
        </xdr:cNvPr>
        <xdr:cNvSpPr/>
      </xdr:nvSpPr>
      <xdr:spPr>
        <a:xfrm>
          <a:off x="12812486" y="125185"/>
          <a:ext cx="1143000" cy="3048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chemeClr val="accent4">
                  <a:lumMod val="50000"/>
                </a:schemeClr>
              </a:solidFill>
            </a:rPr>
            <a:t>Link To Source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522836</xdr:colOff>
      <xdr:row>20</xdr:row>
      <xdr:rowOff>98934</xdr:rowOff>
    </xdr:from>
    <xdr:to>
      <xdr:col>8</xdr:col>
      <xdr:colOff>70757</xdr:colOff>
      <xdr:row>34</xdr:row>
      <xdr:rowOff>168730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C422B-4779-4CCF-9063-81EF7E1F0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499AD2-3380-4016-8867-E61060CA1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C77326-2B23-4576-8673-DA6BAEC22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25364B-7CA6-416D-8B98-ABAD297ED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370116</xdr:colOff>
      <xdr:row>20</xdr:row>
      <xdr:rowOff>168728</xdr:rowOff>
    </xdr:from>
    <xdr:to>
      <xdr:col>21</xdr:col>
      <xdr:colOff>511630</xdr:colOff>
      <xdr:row>49</xdr:row>
      <xdr:rowOff>97970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572F5C-3B9B-4D87-A442-6F2721522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81643</xdr:colOff>
      <xdr:row>1</xdr:row>
      <xdr:rowOff>201386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B118E5E-BF72-48B9-957A-F8697E78541D}"/>
            </a:ext>
          </a:extLst>
        </xdr:cNvPr>
        <xdr:cNvSpPr/>
      </xdr:nvSpPr>
      <xdr:spPr>
        <a:xfrm>
          <a:off x="576943" y="70757"/>
          <a:ext cx="789214" cy="266700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522836</xdr:colOff>
      <xdr:row>20</xdr:row>
      <xdr:rowOff>98934</xdr:rowOff>
    </xdr:from>
    <xdr:to>
      <xdr:col>8</xdr:col>
      <xdr:colOff>70757</xdr:colOff>
      <xdr:row>34</xdr:row>
      <xdr:rowOff>168730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017F3-30D2-41F7-B472-054E73AE9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BC65DB-30AD-46D6-B2D5-1C62A8213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B712E8-74CD-4BFE-9FDC-E32FDB56B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5105B2-38C5-4ADE-B178-DA4D5BAC5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370115</xdr:colOff>
      <xdr:row>20</xdr:row>
      <xdr:rowOff>168728</xdr:rowOff>
    </xdr:from>
    <xdr:to>
      <xdr:col>23</xdr:col>
      <xdr:colOff>65314</xdr:colOff>
      <xdr:row>49</xdr:row>
      <xdr:rowOff>97970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FF6248-AE81-428C-A00A-6FF2985AA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F5294C6-5508-4174-AAFF-BF623643493E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397651</xdr:colOff>
      <xdr:row>22</xdr:row>
      <xdr:rowOff>142477</xdr:rowOff>
    </xdr:from>
    <xdr:to>
      <xdr:col>7</xdr:col>
      <xdr:colOff>587829</xdr:colOff>
      <xdr:row>37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CFF35-4F6B-457F-B453-70D2BB07A4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455279</xdr:colOff>
      <xdr:row>38</xdr:row>
      <xdr:rowOff>54427</xdr:rowOff>
    </xdr:from>
    <xdr:to>
      <xdr:col>7</xdr:col>
      <xdr:colOff>620485</xdr:colOff>
      <xdr:row>52</xdr:row>
      <xdr:rowOff>81641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D9009A-209F-4102-972D-9CF6472DC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212271</xdr:colOff>
      <xdr:row>38</xdr:row>
      <xdr:rowOff>39731</xdr:rowOff>
    </xdr:from>
    <xdr:to>
      <xdr:col>14</xdr:col>
      <xdr:colOff>391885</xdr:colOff>
      <xdr:row>52</xdr:row>
      <xdr:rowOff>59871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3ED6C9-4A49-4CD4-818A-B45301242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168729</xdr:colOff>
      <xdr:row>22</xdr:row>
      <xdr:rowOff>174171</xdr:rowOff>
    </xdr:from>
    <xdr:to>
      <xdr:col>14</xdr:col>
      <xdr:colOff>353785</xdr:colOff>
      <xdr:row>37</xdr:row>
      <xdr:rowOff>43542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AB9729-999D-4371-B153-37EA7C5B9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429986</xdr:colOff>
      <xdr:row>20</xdr:row>
      <xdr:rowOff>174171</xdr:rowOff>
    </xdr:from>
    <xdr:to>
      <xdr:col>24</xdr:col>
      <xdr:colOff>549728</xdr:colOff>
      <xdr:row>52</xdr:row>
      <xdr:rowOff>92529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EB1C9952-D490-4151-8910-F5AC8D6F0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079A954-86EB-40FF-B358-6BBC7FEE13EA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19</xdr:col>
      <xdr:colOff>54428</xdr:colOff>
      <xdr:row>0</xdr:row>
      <xdr:rowOff>97970</xdr:rowOff>
    </xdr:from>
    <xdr:to>
      <xdr:col>21</xdr:col>
      <xdr:colOff>517072</xdr:colOff>
      <xdr:row>1</xdr:row>
      <xdr:rowOff>136071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9EB884A-E085-7F25-9DC8-0CA21C43E27F}"/>
            </a:ext>
          </a:extLst>
        </xdr:cNvPr>
        <xdr:cNvSpPr/>
      </xdr:nvSpPr>
      <xdr:spPr>
        <a:xfrm>
          <a:off x="12257314" y="97970"/>
          <a:ext cx="1747158" cy="364672"/>
        </a:xfrm>
        <a:prstGeom prst="roundRect">
          <a:avLst/>
        </a:prstGeom>
        <a:solidFill>
          <a:srgbClr val="6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kern="1200"/>
            <a:t>Flow</a:t>
          </a:r>
          <a:r>
            <a:rPr lang="en-US" sz="1600" kern="1200" baseline="0"/>
            <a:t> To Terminals</a:t>
          </a:r>
          <a:endParaRPr lang="en-US" sz="1600" kern="1200"/>
        </a:p>
      </xdr:txBody>
    </xdr:sp>
    <xdr:clientData/>
  </xdr:twoCellAnchor>
  <xdr:twoCellAnchor>
    <xdr:from>
      <xdr:col>22</xdr:col>
      <xdr:colOff>70755</xdr:colOff>
      <xdr:row>0</xdr:row>
      <xdr:rowOff>119741</xdr:rowOff>
    </xdr:from>
    <xdr:to>
      <xdr:col>23</xdr:col>
      <xdr:colOff>587827</xdr:colOff>
      <xdr:row>1</xdr:row>
      <xdr:rowOff>114299</xdr:rowOff>
    </xdr:to>
    <xdr:sp macro="" textlink="">
      <xdr:nvSpPr>
        <xdr:cNvPr id="9" name="Rectangle: Rounded Corner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CB4273D-ECD4-450E-9A93-89C7982C447C}"/>
            </a:ext>
          </a:extLst>
        </xdr:cNvPr>
        <xdr:cNvSpPr/>
      </xdr:nvSpPr>
      <xdr:spPr>
        <a:xfrm>
          <a:off x="14200412" y="119741"/>
          <a:ext cx="1159329" cy="321129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chemeClr val="accent4">
                  <a:lumMod val="50000"/>
                </a:schemeClr>
              </a:solidFill>
            </a:rPr>
            <a:t>Link To Source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550546</xdr:colOff>
      <xdr:row>2</xdr:row>
      <xdr:rowOff>164782</xdr:rowOff>
    </xdr:from>
    <xdr:to>
      <xdr:col>42</xdr:col>
      <xdr:colOff>131446</xdr:colOff>
      <xdr:row>24</xdr:row>
      <xdr:rowOff>5716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C86DB1-BAEB-4436-AA3F-94874F7F2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343571</xdr:colOff>
      <xdr:row>26</xdr:row>
      <xdr:rowOff>20733</xdr:rowOff>
    </xdr:from>
    <xdr:to>
      <xdr:col>59</xdr:col>
      <xdr:colOff>89647</xdr:colOff>
      <xdr:row>43</xdr:row>
      <xdr:rowOff>82252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53D920-E399-4746-8128-AC156A08F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63537</xdr:colOff>
      <xdr:row>3</xdr:row>
      <xdr:rowOff>21850</xdr:rowOff>
    </xdr:from>
    <xdr:to>
      <xdr:col>50</xdr:col>
      <xdr:colOff>414617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E595A9-9A3B-4363-A3C5-7D3F31513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558276</xdr:colOff>
      <xdr:row>3</xdr:row>
      <xdr:rowOff>33616</xdr:rowOff>
    </xdr:from>
    <xdr:to>
      <xdr:col>59</xdr:col>
      <xdr:colOff>11205</xdr:colOff>
      <xdr:row>24</xdr:row>
      <xdr:rowOff>171897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0F2ABD-9823-4F0E-B593-9BFC19922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0</xdr:row>
      <xdr:rowOff>140970</xdr:rowOff>
    </xdr:from>
    <xdr:to>
      <xdr:col>2</xdr:col>
      <xdr:colOff>238125</xdr:colOff>
      <xdr:row>0</xdr:row>
      <xdr:rowOff>447675</xdr:rowOff>
    </xdr:to>
    <xdr:sp macro="" textlink="">
      <xdr:nvSpPr>
        <xdr:cNvPr id="21" name="Arrow: Left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55A60C-7914-4866-A7E3-3A583C9881E8}"/>
            </a:ext>
          </a:extLst>
        </xdr:cNvPr>
        <xdr:cNvSpPr/>
      </xdr:nvSpPr>
      <xdr:spPr>
        <a:xfrm>
          <a:off x="697230" y="140970"/>
          <a:ext cx="821055" cy="306705"/>
        </a:xfrm>
        <a:prstGeom prst="lef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626746</xdr:colOff>
      <xdr:row>2</xdr:row>
      <xdr:rowOff>143010</xdr:rowOff>
    </xdr:from>
    <xdr:to>
      <xdr:col>12</xdr:col>
      <xdr:colOff>207646</xdr:colOff>
      <xdr:row>23</xdr:row>
      <xdr:rowOff>169001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CC932C-7FDB-4392-9700-F546F107A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63537</xdr:colOff>
      <xdr:row>3</xdr:row>
      <xdr:rowOff>21850</xdr:rowOff>
    </xdr:from>
    <xdr:to>
      <xdr:col>20</xdr:col>
      <xdr:colOff>414617</xdr:colOff>
      <xdr:row>25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9B8140-FE0F-4836-B6B7-47A888209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558276</xdr:colOff>
      <xdr:row>3</xdr:row>
      <xdr:rowOff>33616</xdr:rowOff>
    </xdr:from>
    <xdr:to>
      <xdr:col>29</xdr:col>
      <xdr:colOff>11205</xdr:colOff>
      <xdr:row>24</xdr:row>
      <xdr:rowOff>171897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750E8A-EEE1-42E2-AA2F-6CA4152A9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62</xdr:col>
      <xdr:colOff>57150</xdr:colOff>
      <xdr:row>0</xdr:row>
      <xdr:rowOff>140970</xdr:rowOff>
    </xdr:from>
    <xdr:to>
      <xdr:col>63</xdr:col>
      <xdr:colOff>238125</xdr:colOff>
      <xdr:row>0</xdr:row>
      <xdr:rowOff>447675</xdr:rowOff>
    </xdr:to>
    <xdr:sp macro="" textlink="">
      <xdr:nvSpPr>
        <xdr:cNvPr id="10" name="Arrow: Left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5AE6E8C-FAC3-4254-B22D-BBF710399D0E}"/>
            </a:ext>
          </a:extLst>
        </xdr:cNvPr>
        <xdr:cNvSpPr/>
      </xdr:nvSpPr>
      <xdr:spPr>
        <a:xfrm>
          <a:off x="39970710" y="140970"/>
          <a:ext cx="821055" cy="306705"/>
        </a:xfrm>
        <a:prstGeom prst="lef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62</xdr:col>
      <xdr:colOff>566875</xdr:colOff>
      <xdr:row>3</xdr:row>
      <xdr:rowOff>39596</xdr:rowOff>
    </xdr:from>
    <xdr:to>
      <xdr:col>73</xdr:col>
      <xdr:colOff>147775</xdr:colOff>
      <xdr:row>24</xdr:row>
      <xdr:rowOff>65587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284E8D2-828B-4468-B762-464ABC8CF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80</xdr:col>
      <xdr:colOff>343571</xdr:colOff>
      <xdr:row>26</xdr:row>
      <xdr:rowOff>20733</xdr:rowOff>
    </xdr:from>
    <xdr:to>
      <xdr:col>90</xdr:col>
      <xdr:colOff>89647</xdr:colOff>
      <xdr:row>43</xdr:row>
      <xdr:rowOff>82252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5F52A95-91EC-477C-9C86-400E95ECB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74</xdr:col>
      <xdr:colOff>85308</xdr:colOff>
      <xdr:row>3</xdr:row>
      <xdr:rowOff>16407</xdr:rowOff>
    </xdr:from>
    <xdr:to>
      <xdr:col>81</xdr:col>
      <xdr:colOff>436388</xdr:colOff>
      <xdr:row>24</xdr:row>
      <xdr:rowOff>179615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2A7E7EE-AB43-439F-B1B4-44545E439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81</xdr:col>
      <xdr:colOff>596376</xdr:colOff>
      <xdr:row>3</xdr:row>
      <xdr:rowOff>33616</xdr:rowOff>
    </xdr:from>
    <xdr:to>
      <xdr:col>90</xdr:col>
      <xdr:colOff>49305</xdr:colOff>
      <xdr:row>24</xdr:row>
      <xdr:rowOff>171897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50FF011-016A-4CD3-9B38-2F5872189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429986</xdr:colOff>
      <xdr:row>26</xdr:row>
      <xdr:rowOff>50223</xdr:rowOff>
    </xdr:from>
    <xdr:to>
      <xdr:col>27</xdr:col>
      <xdr:colOff>506186</xdr:colOff>
      <xdr:row>42</xdr:row>
      <xdr:rowOff>153638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5C64A4B-2F51-4B95-A9BC-1127E80A3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92</xdr:col>
      <xdr:colOff>57150</xdr:colOff>
      <xdr:row>0</xdr:row>
      <xdr:rowOff>140970</xdr:rowOff>
    </xdr:from>
    <xdr:to>
      <xdr:col>93</xdr:col>
      <xdr:colOff>238125</xdr:colOff>
      <xdr:row>0</xdr:row>
      <xdr:rowOff>447675</xdr:rowOff>
    </xdr:to>
    <xdr:sp macro="" textlink="">
      <xdr:nvSpPr>
        <xdr:cNvPr id="16" name="Arrow: Left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DB60B07-B5D3-4C76-B9E1-EC250C12A9EF}"/>
            </a:ext>
          </a:extLst>
        </xdr:cNvPr>
        <xdr:cNvSpPr/>
      </xdr:nvSpPr>
      <xdr:spPr>
        <a:xfrm>
          <a:off x="59287410" y="140970"/>
          <a:ext cx="821055" cy="306705"/>
        </a:xfrm>
        <a:prstGeom prst="lef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111</xdr:col>
      <xdr:colOff>471190</xdr:colOff>
      <xdr:row>2</xdr:row>
      <xdr:rowOff>158801</xdr:rowOff>
    </xdr:from>
    <xdr:to>
      <xdr:col>119</xdr:col>
      <xdr:colOff>566376</xdr:colOff>
      <xdr:row>24</xdr:row>
      <xdr:rowOff>112025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7F34D56-17B3-433D-9C99-F7195BD27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111</xdr:col>
      <xdr:colOff>24245</xdr:colOff>
      <xdr:row>26</xdr:row>
      <xdr:rowOff>58882</xdr:rowOff>
    </xdr:from>
    <xdr:to>
      <xdr:col>118</xdr:col>
      <xdr:colOff>135082</xdr:colOff>
      <xdr:row>41</xdr:row>
      <xdr:rowOff>45027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A8DA4E-751D-E36C-530B-93743B7EB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103</xdr:col>
      <xdr:colOff>384463</xdr:colOff>
      <xdr:row>3</xdr:row>
      <xdr:rowOff>3462</xdr:rowOff>
    </xdr:from>
    <xdr:to>
      <xdr:col>111</xdr:col>
      <xdr:colOff>207817</xdr:colOff>
      <xdr:row>23</xdr:row>
      <xdr:rowOff>34635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AED75BC-F1FB-A253-C9CD-A10DECB38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92</xdr:col>
      <xdr:colOff>384463</xdr:colOff>
      <xdr:row>2</xdr:row>
      <xdr:rowOff>45026</xdr:rowOff>
    </xdr:from>
    <xdr:to>
      <xdr:col>103</xdr:col>
      <xdr:colOff>124690</xdr:colOff>
      <xdr:row>23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335143A-67BA-5259-D280-B37149560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348665</xdr:colOff>
      <xdr:row>20</xdr:row>
      <xdr:rowOff>120706</xdr:rowOff>
    </xdr:from>
    <xdr:to>
      <xdr:col>7</xdr:col>
      <xdr:colOff>538843</xdr:colOff>
      <xdr:row>35</xdr:row>
      <xdr:rowOff>5444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1A982-0214-44D7-93E3-F79FF6E7B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CACB1A-C177-4FAB-A3F0-382E683AD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52A568-67DA-4CFF-8D44-6E1AC0D3F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146956</xdr:colOff>
      <xdr:row>20</xdr:row>
      <xdr:rowOff>76201</xdr:rowOff>
    </xdr:from>
    <xdr:to>
      <xdr:col>14</xdr:col>
      <xdr:colOff>332012</xdr:colOff>
      <xdr:row>34</xdr:row>
      <xdr:rowOff>130629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F6FC2D-785F-4B99-B78C-BD6E923A8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429987</xdr:colOff>
      <xdr:row>20</xdr:row>
      <xdr:rowOff>174171</xdr:rowOff>
    </xdr:from>
    <xdr:to>
      <xdr:col>21</xdr:col>
      <xdr:colOff>571501</xdr:colOff>
      <xdr:row>49</xdr:row>
      <xdr:rowOff>103413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68A1A2-57A6-4415-91B6-37DD15D3C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D5538BE-166B-4FCB-ABCF-BD689F1CAEAC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20</xdr:col>
      <xdr:colOff>217714</xdr:colOff>
      <xdr:row>0</xdr:row>
      <xdr:rowOff>130628</xdr:rowOff>
    </xdr:from>
    <xdr:to>
      <xdr:col>22</xdr:col>
      <xdr:colOff>76200</xdr:colOff>
      <xdr:row>1</xdr:row>
      <xdr:rowOff>108857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8994DAA-68ED-400B-8FA7-F0D0B5AF71BA}"/>
            </a:ext>
          </a:extLst>
        </xdr:cNvPr>
        <xdr:cNvSpPr/>
      </xdr:nvSpPr>
      <xdr:spPr>
        <a:xfrm>
          <a:off x="13062857" y="130628"/>
          <a:ext cx="1143000" cy="3048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chemeClr val="accent4">
                  <a:lumMod val="50000"/>
                </a:schemeClr>
              </a:solidFill>
            </a:rPr>
            <a:t>Link To Source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522836</xdr:colOff>
      <xdr:row>20</xdr:row>
      <xdr:rowOff>98934</xdr:rowOff>
    </xdr:from>
    <xdr:to>
      <xdr:col>8</xdr:col>
      <xdr:colOff>70757</xdr:colOff>
      <xdr:row>34</xdr:row>
      <xdr:rowOff>168730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50EAC-A562-4101-9650-8A09F1F51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520593</xdr:colOff>
      <xdr:row>35</xdr:row>
      <xdr:rowOff>92527</xdr:rowOff>
    </xdr:from>
    <xdr:to>
      <xdr:col>8</xdr:col>
      <xdr:colOff>43542</xdr:colOff>
      <xdr:row>49</xdr:row>
      <xdr:rowOff>119741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6CCA20-E581-4FE5-9737-B666A524D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79A046-1ECD-4F4D-96A1-C3863C2BC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F0B0C6-AC59-41FF-A242-6AB432549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429987</xdr:colOff>
      <xdr:row>20</xdr:row>
      <xdr:rowOff>174171</xdr:rowOff>
    </xdr:from>
    <xdr:to>
      <xdr:col>21</xdr:col>
      <xdr:colOff>571501</xdr:colOff>
      <xdr:row>49</xdr:row>
      <xdr:rowOff>103413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BCA453-BCF8-4561-9C9B-1BC437CE7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9F0451B-7A4D-40C9-9613-02B536CB578C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20</xdr:col>
      <xdr:colOff>87086</xdr:colOff>
      <xdr:row>0</xdr:row>
      <xdr:rowOff>125186</xdr:rowOff>
    </xdr:from>
    <xdr:to>
      <xdr:col>21</xdr:col>
      <xdr:colOff>587829</xdr:colOff>
      <xdr:row>1</xdr:row>
      <xdr:rowOff>103415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CBF415C-2C43-4F32-89FD-A763B4D933D5}"/>
            </a:ext>
          </a:extLst>
        </xdr:cNvPr>
        <xdr:cNvSpPr/>
      </xdr:nvSpPr>
      <xdr:spPr>
        <a:xfrm>
          <a:off x="12932229" y="125186"/>
          <a:ext cx="1143000" cy="3048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chemeClr val="accent4">
                  <a:lumMod val="50000"/>
                </a:schemeClr>
              </a:solidFill>
            </a:rPr>
            <a:t>Link To Source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522836</xdr:colOff>
      <xdr:row>20</xdr:row>
      <xdr:rowOff>98934</xdr:rowOff>
    </xdr:from>
    <xdr:to>
      <xdr:col>8</xdr:col>
      <xdr:colOff>70757</xdr:colOff>
      <xdr:row>34</xdr:row>
      <xdr:rowOff>168730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094E8D-CBCA-4DDF-93B1-C29A09850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92528</xdr:rowOff>
    </xdr:from>
    <xdr:to>
      <xdr:col>8</xdr:col>
      <xdr:colOff>59871</xdr:colOff>
      <xdr:row>49</xdr:row>
      <xdr:rowOff>119742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B95F69-B90A-4669-804A-2FCA93D10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163284</xdr:colOff>
      <xdr:row>35</xdr:row>
      <xdr:rowOff>110487</xdr:rowOff>
    </xdr:from>
    <xdr:to>
      <xdr:col>14</xdr:col>
      <xdr:colOff>342898</xdr:colOff>
      <xdr:row>49</xdr:row>
      <xdr:rowOff>130627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37B008-8D1F-4771-A915-E728F2D9F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F4B6B5-9707-43BC-A9A6-C3D9A50E6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429987</xdr:colOff>
      <xdr:row>20</xdr:row>
      <xdr:rowOff>174171</xdr:rowOff>
    </xdr:from>
    <xdr:to>
      <xdr:col>21</xdr:col>
      <xdr:colOff>571501</xdr:colOff>
      <xdr:row>49</xdr:row>
      <xdr:rowOff>103413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32805B-F5AB-4373-8DED-FC55D4B66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D4BA0EF-5EE8-4731-8AD6-0F3448073F11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20</xdr:col>
      <xdr:colOff>201385</xdr:colOff>
      <xdr:row>0</xdr:row>
      <xdr:rowOff>125186</xdr:rowOff>
    </xdr:from>
    <xdr:to>
      <xdr:col>22</xdr:col>
      <xdr:colOff>59871</xdr:colOff>
      <xdr:row>1</xdr:row>
      <xdr:rowOff>103415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254BB4D-57D9-48AA-97C3-AE456D933058}"/>
            </a:ext>
          </a:extLst>
        </xdr:cNvPr>
        <xdr:cNvSpPr/>
      </xdr:nvSpPr>
      <xdr:spPr>
        <a:xfrm>
          <a:off x="13046528" y="125186"/>
          <a:ext cx="1143000" cy="3048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chemeClr val="accent4">
                  <a:lumMod val="50000"/>
                </a:schemeClr>
              </a:solidFill>
            </a:rPr>
            <a:t>Link To Source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522836</xdr:colOff>
      <xdr:row>20</xdr:row>
      <xdr:rowOff>98934</xdr:rowOff>
    </xdr:from>
    <xdr:to>
      <xdr:col>8</xdr:col>
      <xdr:colOff>70757</xdr:colOff>
      <xdr:row>34</xdr:row>
      <xdr:rowOff>168730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8A0A4-A3C9-4C75-BBBF-0348E827A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01B69E-197E-4735-85E1-DA650473E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163284</xdr:colOff>
      <xdr:row>35</xdr:row>
      <xdr:rowOff>110487</xdr:rowOff>
    </xdr:from>
    <xdr:to>
      <xdr:col>14</xdr:col>
      <xdr:colOff>342898</xdr:colOff>
      <xdr:row>49</xdr:row>
      <xdr:rowOff>130627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F72FEF-43AF-4F1A-8DB6-635715A74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F54C1C-F2E1-4EF9-A26D-13ED5080E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429987</xdr:colOff>
      <xdr:row>20</xdr:row>
      <xdr:rowOff>174171</xdr:rowOff>
    </xdr:from>
    <xdr:to>
      <xdr:col>21</xdr:col>
      <xdr:colOff>571501</xdr:colOff>
      <xdr:row>49</xdr:row>
      <xdr:rowOff>103413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CF9D7B-3E7C-468B-8005-F2E7F0F18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59872</xdr:colOff>
      <xdr:row>1</xdr:row>
      <xdr:rowOff>119743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D7F6DD-F486-480B-800B-AED3C4A26CB2}"/>
            </a:ext>
          </a:extLst>
        </xdr:cNvPr>
        <xdr:cNvSpPr/>
      </xdr:nvSpPr>
      <xdr:spPr>
        <a:xfrm>
          <a:off x="576943" y="70757"/>
          <a:ext cx="763089" cy="376646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20</xdr:col>
      <xdr:colOff>65314</xdr:colOff>
      <xdr:row>0</xdr:row>
      <xdr:rowOff>119743</xdr:rowOff>
    </xdr:from>
    <xdr:to>
      <xdr:col>21</xdr:col>
      <xdr:colOff>566057</xdr:colOff>
      <xdr:row>1</xdr:row>
      <xdr:rowOff>97972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9AC5234-F7E0-44C9-9325-B86172C73129}"/>
            </a:ext>
          </a:extLst>
        </xdr:cNvPr>
        <xdr:cNvSpPr/>
      </xdr:nvSpPr>
      <xdr:spPr>
        <a:xfrm>
          <a:off x="12910457" y="119743"/>
          <a:ext cx="1143000" cy="3048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chemeClr val="accent4">
                  <a:lumMod val="50000"/>
                </a:schemeClr>
              </a:solidFill>
            </a:rPr>
            <a:t>Link To Source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522836</xdr:colOff>
      <xdr:row>20</xdr:row>
      <xdr:rowOff>98934</xdr:rowOff>
    </xdr:from>
    <xdr:to>
      <xdr:col>8</xdr:col>
      <xdr:colOff>70757</xdr:colOff>
      <xdr:row>34</xdr:row>
      <xdr:rowOff>168730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240B6F-53C0-4FCD-B25C-84B307BFD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536922</xdr:colOff>
      <xdr:row>35</xdr:row>
      <xdr:rowOff>76199</xdr:rowOff>
    </xdr:from>
    <xdr:to>
      <xdr:col>8</xdr:col>
      <xdr:colOff>59871</xdr:colOff>
      <xdr:row>49</xdr:row>
      <xdr:rowOff>103413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7374FA-1D36-440C-B622-7489720B9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163285</xdr:colOff>
      <xdr:row>35</xdr:row>
      <xdr:rowOff>88716</xdr:rowOff>
    </xdr:from>
    <xdr:to>
      <xdr:col>14</xdr:col>
      <xdr:colOff>342899</xdr:colOff>
      <xdr:row>49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5B4157-47FB-47BA-8816-D54FCCB47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141514</xdr:colOff>
      <xdr:row>20</xdr:row>
      <xdr:rowOff>136072</xdr:rowOff>
    </xdr:from>
    <xdr:to>
      <xdr:col>14</xdr:col>
      <xdr:colOff>326570</xdr:colOff>
      <xdr:row>35</xdr:row>
      <xdr:rowOff>5442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5F606A-A835-444E-93FF-B1487EB6A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370116</xdr:colOff>
      <xdr:row>20</xdr:row>
      <xdr:rowOff>168728</xdr:rowOff>
    </xdr:from>
    <xdr:to>
      <xdr:col>21</xdr:col>
      <xdr:colOff>511630</xdr:colOff>
      <xdr:row>49</xdr:row>
      <xdr:rowOff>97970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112574-1623-493A-AD64-5F00324C1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576943</xdr:colOff>
      <xdr:row>0</xdr:row>
      <xdr:rowOff>70757</xdr:rowOff>
    </xdr:from>
    <xdr:to>
      <xdr:col>2</xdr:col>
      <xdr:colOff>81643</xdr:colOff>
      <xdr:row>1</xdr:row>
      <xdr:rowOff>201386</xdr:rowOff>
    </xdr:to>
    <xdr:sp macro="" textlink="">
      <xdr:nvSpPr>
        <xdr:cNvPr id="7" name="Arrow: Left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A45EB14-D6F2-444B-B62D-8FE8C6E4798F}"/>
            </a:ext>
          </a:extLst>
        </xdr:cNvPr>
        <xdr:cNvSpPr/>
      </xdr:nvSpPr>
      <xdr:spPr>
        <a:xfrm>
          <a:off x="576943" y="70757"/>
          <a:ext cx="784860" cy="263979"/>
        </a:xfrm>
        <a:prstGeom prst="lef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irectionalCoffeeandCocoa/Shared%20Documents/Analysis/Fundamental/Master/The%20Soft%20Scape/Daily%20Updates/Daily%20Updates.xlsx" TargetMode="External"/><Relationship Id="rId2" Type="http://schemas.openxmlformats.org/officeDocument/2006/relationships/externalLinkPath" Target="https://etgworld.sharepoint.com/sites/DirectionalCoffeeandCocoa/Shared%20Documents/Analysis/Fundamental/Master/The%20Soft%20Scape/Daily%20Updates/Daily%20Updates.xlsx" TargetMode="External"/><Relationship Id="rId1" Type="http://schemas.openxmlformats.org/officeDocument/2006/relationships/externalLinkPath" Target="/sites/DirectionalCoffeeandCocoa/Shared%20Documents/Analysis/Fundamental/Master/The%20Soft%20Scape/Daily%20Updates/Daily%20Upd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C Certs (LSEG automated)"/>
      <sheetName val="Menu"/>
      <sheetName val="template"/>
      <sheetName val="Cecafe"/>
      <sheetName val="Comexstat"/>
      <sheetName val="Cecafe (Sep'26)"/>
      <sheetName val="Daily Cecafe (Sept'25)"/>
      <sheetName val="Cecafe (Aug'26)"/>
      <sheetName val="Rolling Cecafe"/>
      <sheetName val="Daily Cecafe (Oct'25)"/>
      <sheetName val="Daily Cecafe (Dec'25)"/>
      <sheetName val="Daily Cecafe Dec'24"/>
      <sheetName val="Daily Cecafe Jan'25"/>
      <sheetName val="Projection arabica cecafe"/>
      <sheetName val="Cecafe May'26"/>
      <sheetName val="Cecafe July'26"/>
      <sheetName val="Cecafe Jul'25"/>
      <sheetName val="Cecafe June'26"/>
      <sheetName val="Cecafe Jun'25"/>
      <sheetName val="May'25"/>
      <sheetName val="Cecafe Apr'26"/>
      <sheetName val="Daily Cecafe Apr'25"/>
      <sheetName val="Cecafe Mar'26"/>
      <sheetName val="Daily Cecafe Mar'25"/>
      <sheetName val="Cecafe Feb'26"/>
      <sheetName val="Cecafe Feb'25"/>
      <sheetName val="Daily Cecafe (Jan'26)"/>
      <sheetName val="Arabica Exports"/>
      <sheetName val="Robusta Exports"/>
      <sheetName val="Solubel Exports"/>
      <sheetName val="A+R+Soluvel"/>
      <sheetName val="Daily Cecafe (Nov'25)"/>
      <sheetName val="Cecafe (Nov'24)"/>
      <sheetName val="Daily Cecafe Aug'25"/>
      <sheetName val="cecafe aug'24"/>
      <sheetName val="Cecafe May'25"/>
      <sheetName val="Robusta Exports apr-mar"/>
      <sheetName val="Junn&quot;24"/>
      <sheetName val="sugar April'24"/>
      <sheetName val="Sugar Mar'24"/>
      <sheetName val="Sugar Apr'24"/>
      <sheetName val="sugar may'24"/>
      <sheetName val="Daily Registrations"/>
      <sheetName val="Cecafe Moving Averages"/>
      <sheetName val="Sugar Nov'24"/>
      <sheetName val="Sugar Aug'24"/>
      <sheetName val="Sugar Jul'24"/>
      <sheetName val="Feb'24"/>
      <sheetName val="Jan'24"/>
      <sheetName val="Dec'23"/>
      <sheetName val="Sugar Feb'25"/>
      <sheetName val="Sugar"/>
      <sheetName val="Sugar Jan'25"/>
      <sheetName val="Sugar Dec'24"/>
      <sheetName val="Sugar Oct'24"/>
      <sheetName val="A+ R"/>
      <sheetName val="Nov'23 Cecafe"/>
      <sheetName val="AR Ratio"/>
      <sheetName val="R+S"/>
      <sheetName val="Arabica Certs"/>
      <sheetName val="EOM Arabica "/>
      <sheetName val="Sheet1"/>
      <sheetName val="Arabica Soft Fresh Pending"/>
      <sheetName val="Arabica soft Imp Decert"/>
      <sheetName val="Arabica Soft Passed"/>
      <sheetName val="Arabica Certs reports"/>
      <sheetName val="Robusta Certs"/>
      <sheetName val="Rob Queue"/>
      <sheetName val="Rob Visuals"/>
      <sheetName val="Rob Gradings"/>
      <sheetName val="Rob Daily Certs"/>
      <sheetName val="London certs"/>
      <sheetName val="Lon Cocoa Q"/>
      <sheetName val="Lon Stock Change"/>
      <sheetName val="NYC Cocoa"/>
      <sheetName val="Cocoa Stocks old"/>
      <sheetName val="Cocoa Stocks"/>
      <sheetName val="NYC Stk chg"/>
      <sheetName val="KC Certs vs Structure"/>
      <sheetName val="Cot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1">
          <cell r="I61">
            <v>3301696</v>
          </cell>
          <cell r="J61">
            <v>2907707</v>
          </cell>
          <cell r="K61">
            <v>2824160</v>
          </cell>
          <cell r="L61">
            <v>2688108</v>
          </cell>
          <cell r="M61">
            <v>2413181</v>
          </cell>
          <cell r="N61">
            <v>1828485</v>
          </cell>
        </row>
        <row r="62">
          <cell r="C62">
            <v>1992423</v>
          </cell>
          <cell r="D62">
            <v>2279622</v>
          </cell>
          <cell r="E62">
            <v>2977456</v>
          </cell>
          <cell r="F62">
            <v>3388002</v>
          </cell>
          <cell r="G62">
            <v>3064278</v>
          </cell>
          <cell r="H62">
            <v>2646077</v>
          </cell>
          <cell r="I62">
            <v>2354885</v>
          </cell>
          <cell r="J62">
            <v>2069721</v>
          </cell>
          <cell r="K62">
            <v>2295458</v>
          </cell>
          <cell r="L62">
            <v>2284296</v>
          </cell>
          <cell r="M62">
            <v>2144329</v>
          </cell>
          <cell r="N62">
            <v>2019742</v>
          </cell>
        </row>
        <row r="63">
          <cell r="D63">
            <v>2959308</v>
          </cell>
          <cell r="E63">
            <v>2766290</v>
          </cell>
        </row>
      </sheetData>
      <sheetData sheetId="28">
        <row r="54">
          <cell r="I54">
            <v>333801</v>
          </cell>
          <cell r="J54">
            <v>230785</v>
          </cell>
          <cell r="K54">
            <v>139002</v>
          </cell>
          <cell r="L54">
            <v>104837</v>
          </cell>
          <cell r="M54">
            <v>203686</v>
          </cell>
          <cell r="N54">
            <v>477200</v>
          </cell>
        </row>
        <row r="55">
          <cell r="C55">
            <v>461625</v>
          </cell>
          <cell r="D55">
            <v>621010</v>
          </cell>
          <cell r="E55">
            <v>493018</v>
          </cell>
          <cell r="F55">
            <v>448556</v>
          </cell>
          <cell r="G55">
            <v>259323</v>
          </cell>
          <cell r="H55">
            <v>222147</v>
          </cell>
          <cell r="I55">
            <v>182225</v>
          </cell>
          <cell r="J55">
            <v>230555</v>
          </cell>
          <cell r="K55">
            <v>373858</v>
          </cell>
          <cell r="L55">
            <v>501403</v>
          </cell>
          <cell r="M55">
            <v>603995</v>
          </cell>
          <cell r="N55">
            <v>643659</v>
          </cell>
        </row>
        <row r="56">
          <cell r="D56">
            <v>962607</v>
          </cell>
          <cell r="E56">
            <v>813904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B5EBDC-5D4C-432B-BBB6-8E8C6094B931}">
  <we:reference id="wa200000565" version="1.0.0.80" store="en-US" storeType="OMEX"/>
  <we:alternateReferences>
    <we:reference id="WA200000565" version="1.0.0.8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\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0"/>
  <sheetViews>
    <sheetView showGridLines="0" tabSelected="1" zoomScaleNormal="100" workbookViewId="0">
      <selection activeCell="S26" sqref="S26"/>
    </sheetView>
  </sheetViews>
  <sheetFormatPr defaultRowHeight="14.4" x14ac:dyDescent="0.55000000000000004"/>
  <cols>
    <col min="1" max="1" width="14.15625" bestFit="1" customWidth="1"/>
  </cols>
  <sheetData>
    <row r="1" spans="1:27" s="2" customFormat="1" ht="25.8" x14ac:dyDescent="0.55000000000000004">
      <c r="A1" s="77" t="s">
        <v>36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s="2" customFormat="1" ht="16.899999999999999" customHeight="1" x14ac:dyDescent="0.55000000000000004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s="10" customFormat="1" ht="1.5" customHeight="1" x14ac:dyDescent="0.55000000000000004"/>
    <row r="4" spans="1:27" x14ac:dyDescent="0.55000000000000004">
      <c r="A4" s="45">
        <f ca="1">NOW()</f>
        <v>46314.492123148149</v>
      </c>
    </row>
    <row r="6" spans="1:27" ht="25" customHeight="1" x14ac:dyDescent="0.55000000000000004">
      <c r="C6" s="78" t="s">
        <v>41</v>
      </c>
      <c r="D6" s="78"/>
      <c r="E6" s="78"/>
      <c r="F6" s="78"/>
      <c r="G6" s="28" t="s">
        <v>55</v>
      </c>
      <c r="J6" s="78" t="s">
        <v>42</v>
      </c>
      <c r="K6" s="78"/>
      <c r="L6" s="78"/>
      <c r="M6" s="78"/>
      <c r="N6" s="28" t="s">
        <v>55</v>
      </c>
    </row>
    <row r="9" spans="1:27" ht="18.3" x14ac:dyDescent="0.55000000000000004">
      <c r="D9" s="76" t="s">
        <v>35</v>
      </c>
      <c r="E9" s="76"/>
      <c r="F9" s="76"/>
      <c r="G9" s="27" t="str">
        <f ca="1">'Brazil Arabica'!$F$56</f>
        <v>Sep'25/26</v>
      </c>
      <c r="K9" s="76" t="s">
        <v>51</v>
      </c>
      <c r="L9" s="76"/>
      <c r="M9" s="76"/>
      <c r="N9" s="27" t="str">
        <f ca="1">Vietnam!$F$56</f>
        <v>Sep'25/26</v>
      </c>
    </row>
    <row r="12" spans="1:27" ht="18.3" x14ac:dyDescent="0.55000000000000004">
      <c r="D12" s="76" t="s">
        <v>37</v>
      </c>
      <c r="E12" s="76"/>
      <c r="F12" s="76"/>
      <c r="G12" s="27" t="str">
        <f ca="1">Colombia!$F$56</f>
        <v>Aug'25/26</v>
      </c>
      <c r="K12" s="76" t="s">
        <v>35</v>
      </c>
      <c r="L12" s="76"/>
      <c r="M12" s="76"/>
      <c r="N12" s="27" t="str">
        <f ca="1">'Brazil Robusta'!$F$56</f>
        <v>Sep'25/26</v>
      </c>
    </row>
    <row r="15" spans="1:27" ht="18.3" x14ac:dyDescent="0.55000000000000004">
      <c r="D15" s="76" t="s">
        <v>38</v>
      </c>
      <c r="E15" s="76"/>
      <c r="F15" s="76"/>
      <c r="G15" s="27" t="str">
        <f ca="1">Honduras!$F$56</f>
        <v>Aug'25/26</v>
      </c>
      <c r="K15" s="76" t="s">
        <v>52</v>
      </c>
      <c r="L15" s="76"/>
      <c r="M15" s="76"/>
      <c r="N15" s="27" t="str">
        <f ca="1">Indonesia!$F$56</f>
        <v>Apr'25/26</v>
      </c>
    </row>
    <row r="18" spans="4:14" ht="18.3" x14ac:dyDescent="0.55000000000000004">
      <c r="D18" s="76" t="s">
        <v>39</v>
      </c>
      <c r="E18" s="76"/>
      <c r="F18" s="76"/>
      <c r="G18" s="27" t="str">
        <f ca="1">Ethiopia!$F$56</f>
        <v>May'25/26</v>
      </c>
      <c r="K18" s="76" t="s">
        <v>53</v>
      </c>
      <c r="L18" s="76"/>
      <c r="M18" s="76"/>
      <c r="N18" s="27" t="str">
        <f ca="1">Uganda!$F$56</f>
        <v>Jul'25/26</v>
      </c>
    </row>
    <row r="21" spans="4:14" ht="18.3" x14ac:dyDescent="0.55000000000000004">
      <c r="D21" s="76" t="s">
        <v>40</v>
      </c>
      <c r="E21" s="76"/>
      <c r="F21" s="76"/>
      <c r="G21" s="27" t="str">
        <f ca="1">Peru!$F$56</f>
        <v>May'24/25</v>
      </c>
      <c r="K21" s="76" t="s">
        <v>54</v>
      </c>
      <c r="L21" s="76"/>
      <c r="M21" s="76"/>
      <c r="N21" s="27" t="str">
        <f ca="1">India!$F$56</f>
        <v>Apr'25/26</v>
      </c>
    </row>
    <row r="26" spans="4:14" x14ac:dyDescent="0.55000000000000004">
      <c r="L26" s="27" t="str">
        <f ca="1">Aggregated!F56</f>
        <v>Apr'25/26</v>
      </c>
    </row>
    <row r="30" spans="4:14" x14ac:dyDescent="0.55000000000000004">
      <c r="L30" s="27" t="str">
        <f ca="1">'Agg (Peru Included)'!F56</f>
        <v>Sep'24/25</v>
      </c>
    </row>
  </sheetData>
  <mergeCells count="13">
    <mergeCell ref="K12:M12"/>
    <mergeCell ref="K15:M15"/>
    <mergeCell ref="K18:M18"/>
    <mergeCell ref="K21:M21"/>
    <mergeCell ref="D12:F12"/>
    <mergeCell ref="D15:F15"/>
    <mergeCell ref="D18:F18"/>
    <mergeCell ref="D21:F21"/>
    <mergeCell ref="K9:M9"/>
    <mergeCell ref="A1:Q2"/>
    <mergeCell ref="C6:F6"/>
    <mergeCell ref="J6:M6"/>
    <mergeCell ref="D9:F9"/>
  </mergeCells>
  <hyperlinks>
    <hyperlink ref="D9:F9" location="'Brazil Arabica'!A1" display="Brazil" xr:uid="{B9A7468D-AC76-4A51-9897-6EBB74F9055D}"/>
    <hyperlink ref="D12:F12" location="Colombia!A1" display="Colombia" xr:uid="{41AED641-87DB-4BF1-B402-66FF96D41523}"/>
    <hyperlink ref="D15:F15" location="Honduras!A1" display="Honduras" xr:uid="{296A0026-04EE-49D3-B2CA-0A0D3FEAAB2E}"/>
    <hyperlink ref="D18:F18" location="Ethiopia!A1" display="Ethiopia" xr:uid="{FF7CACF3-123B-407A-9D86-7719AE997AA1}"/>
    <hyperlink ref="D21:F21" location="Peru!A1" display="Peru" xr:uid="{D2A4A283-E3AD-4A5D-ADA0-EF4814111A49}"/>
    <hyperlink ref="K9:M9" location="Vietnam!A1" display="Vietnam" xr:uid="{8B7CCCFB-0259-4CAD-A670-5A9A73AF9B0D}"/>
    <hyperlink ref="K12:M12" location="'Brazil Robusta'!A1" display="Brazil" xr:uid="{9F9E1BE2-3ECB-4ABE-A470-3F67B49E0599}"/>
    <hyperlink ref="K15:M15" location="Indonesia!A1" display="Indonesia" xr:uid="{607CA529-738F-4A93-BBAD-BFCCD375341C}"/>
    <hyperlink ref="K18:M18" location="Uganda!A1" display="Uganda" xr:uid="{07F72B22-21B9-4C80-ADFF-A55E9E515F9D}"/>
    <hyperlink ref="K21:M21" location="India!A1" display="India" xr:uid="{C8A6E30D-4B65-4A00-A7DA-2105E709EB73}"/>
    <hyperlink ref="C6:F6" location="'S5 Arabica'!A1" display="Arabica" xr:uid="{8D54FA49-6EFD-4688-A094-9CAA49B4FFAB}"/>
    <hyperlink ref="J6:M6" location="'S5 Robusta'!A1" display="Robusta" xr:uid="{41954634-3711-4767-9F76-8B9B6574E75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39EB-239E-4F98-8B32-BCF00D884914}">
  <sheetPr codeName="Sheet19"/>
  <dimension ref="C3:F17"/>
  <sheetViews>
    <sheetView workbookViewId="0">
      <selection activeCell="O13" sqref="O13"/>
    </sheetView>
  </sheetViews>
  <sheetFormatPr defaultRowHeight="14.4" x14ac:dyDescent="0.55000000000000004"/>
  <sheetData>
    <row r="3" spans="3:6" x14ac:dyDescent="0.55000000000000004">
      <c r="C3" s="79" t="s">
        <v>103</v>
      </c>
      <c r="D3" s="79"/>
      <c r="E3" s="79"/>
      <c r="F3" s="79"/>
    </row>
    <row r="5" spans="3:6" x14ac:dyDescent="0.55000000000000004">
      <c r="D5" t="s">
        <v>100</v>
      </c>
      <c r="E5" t="s">
        <v>101</v>
      </c>
      <c r="F5" t="s">
        <v>102</v>
      </c>
    </row>
    <row r="6" spans="3:6" x14ac:dyDescent="0.55000000000000004">
      <c r="C6" t="s">
        <v>1</v>
      </c>
      <c r="D6">
        <v>10</v>
      </c>
      <c r="E6">
        <v>8.727009942976002</v>
      </c>
      <c r="F6" s="65">
        <f>E6/D6</f>
        <v>0.87270099429760017</v>
      </c>
    </row>
    <row r="7" spans="3:6" x14ac:dyDescent="0.55000000000000004">
      <c r="C7" t="s">
        <v>2</v>
      </c>
      <c r="D7">
        <v>10</v>
      </c>
      <c r="E7">
        <v>9.0577548029220072</v>
      </c>
      <c r="F7" s="65">
        <f t="shared" ref="F7:F17" si="0">E7/D7</f>
        <v>0.90577548029220067</v>
      </c>
    </row>
    <row r="8" spans="3:6" x14ac:dyDescent="0.55000000000000004">
      <c r="C8" t="s">
        <v>3</v>
      </c>
      <c r="D8">
        <v>11.6</v>
      </c>
      <c r="E8">
        <v>10.279128507839669</v>
      </c>
      <c r="F8" s="65">
        <f t="shared" si="0"/>
        <v>0.88613176791721282</v>
      </c>
    </row>
    <row r="9" spans="3:6" x14ac:dyDescent="0.55000000000000004">
      <c r="C9" t="s">
        <v>4</v>
      </c>
      <c r="D9">
        <v>11</v>
      </c>
      <c r="E9">
        <v>9.844219217901454</v>
      </c>
      <c r="F9" s="65">
        <f t="shared" si="0"/>
        <v>0.89492901980922313</v>
      </c>
    </row>
    <row r="10" spans="3:6" x14ac:dyDescent="0.55000000000000004">
      <c r="C10" t="s">
        <v>5</v>
      </c>
      <c r="D10">
        <v>11.6</v>
      </c>
      <c r="E10">
        <v>9.4219663277654462</v>
      </c>
      <c r="F10" s="65">
        <f t="shared" si="0"/>
        <v>0.81223847653150405</v>
      </c>
    </row>
    <row r="11" spans="3:6" x14ac:dyDescent="0.55000000000000004">
      <c r="C11" t="s">
        <v>6</v>
      </c>
      <c r="D11">
        <v>13</v>
      </c>
      <c r="E11">
        <v>10.624493580744556</v>
      </c>
      <c r="F11" s="65">
        <f t="shared" si="0"/>
        <v>0.81726873698035041</v>
      </c>
    </row>
    <row r="12" spans="3:6" x14ac:dyDescent="0.55000000000000004">
      <c r="C12" t="s">
        <v>7</v>
      </c>
      <c r="D12">
        <v>11.6</v>
      </c>
      <c r="E12">
        <v>9.1028455965025561</v>
      </c>
      <c r="F12" s="65">
        <f t="shared" si="0"/>
        <v>0.78472806866401346</v>
      </c>
    </row>
    <row r="13" spans="3:6" x14ac:dyDescent="0.55000000000000004">
      <c r="C13" t="s">
        <v>8</v>
      </c>
      <c r="D13">
        <v>11.7</v>
      </c>
      <c r="E13">
        <v>8.985324422103572</v>
      </c>
      <c r="F13" s="65">
        <f t="shared" si="0"/>
        <v>0.76797644633363871</v>
      </c>
    </row>
    <row r="14" spans="3:6" x14ac:dyDescent="0.55000000000000004">
      <c r="C14" t="s">
        <v>9</v>
      </c>
      <c r="D14">
        <v>11.6</v>
      </c>
      <c r="E14">
        <v>8.9204848570305568</v>
      </c>
      <c r="F14" s="65">
        <f t="shared" si="0"/>
        <v>0.76900731526125488</v>
      </c>
    </row>
    <row r="15" spans="3:6" x14ac:dyDescent="0.55000000000000004">
      <c r="C15" t="s">
        <v>10</v>
      </c>
      <c r="D15">
        <v>11.2</v>
      </c>
      <c r="E15">
        <v>8.878134188982683</v>
      </c>
      <c r="F15" s="65">
        <f t="shared" si="0"/>
        <v>0.79269055258773957</v>
      </c>
    </row>
    <row r="16" spans="3:6" x14ac:dyDescent="0.55000000000000004">
      <c r="C16" t="s">
        <v>11</v>
      </c>
      <c r="D16">
        <v>11</v>
      </c>
      <c r="E16">
        <v>8.7938333173615586</v>
      </c>
      <c r="F16" s="65">
        <f t="shared" si="0"/>
        <v>0.79943939248741447</v>
      </c>
    </row>
    <row r="17" spans="3:6" x14ac:dyDescent="0.55000000000000004">
      <c r="C17" t="s">
        <v>12</v>
      </c>
      <c r="D17">
        <v>10.8</v>
      </c>
      <c r="E17">
        <v>8.6403520070706339</v>
      </c>
      <c r="F17" s="65">
        <f t="shared" si="0"/>
        <v>0.80003259324728082</v>
      </c>
    </row>
  </sheetData>
  <mergeCells count="1">
    <mergeCell ref="C3:F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5BDF-641F-471D-8D1D-0E538B41DF4F}">
  <sheetPr codeName="Sheet20"/>
  <dimension ref="A1:AI229"/>
  <sheetViews>
    <sheetView showGridLines="0" zoomScale="70" zoomScaleNormal="70" workbookViewId="0">
      <selection activeCell="E18" sqref="E18"/>
    </sheetView>
  </sheetViews>
  <sheetFormatPr defaultColWidth="8.83984375" defaultRowHeight="14.4" x14ac:dyDescent="0.55000000000000004"/>
  <cols>
    <col min="1" max="1" width="12.41796875" style="11" customWidth="1"/>
    <col min="2" max="2" width="8.83984375" style="11" customWidth="1"/>
    <col min="3" max="11" width="8.83984375" style="11"/>
    <col min="12" max="12" width="9.578125" style="11" bestFit="1" customWidth="1"/>
    <col min="13" max="15" width="8.83984375" style="11"/>
    <col min="16" max="16" width="11.41796875" style="11" customWidth="1"/>
    <col min="17" max="17" width="10.83984375" style="11" bestFit="1" customWidth="1"/>
    <col min="18" max="24" width="8.83984375" style="11"/>
    <col min="25" max="25" width="9.578125" style="11" bestFit="1" customWidth="1"/>
    <col min="26" max="26" width="10.83984375" style="11" bestFit="1" customWidth="1"/>
    <col min="27" max="27" width="9.578125" style="11" bestFit="1" customWidth="1"/>
    <col min="28" max="28" width="11.15625" style="11" bestFit="1" customWidth="1"/>
    <col min="29" max="16384" width="8.83984375" style="11"/>
  </cols>
  <sheetData>
    <row r="1" spans="1:35" s="17" customFormat="1" ht="25.8" x14ac:dyDescent="0.55000000000000004">
      <c r="A1" s="73" t="s">
        <v>96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Oct-Apr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Global Coffee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Oct-Apr</v>
      </c>
      <c r="T6" s="75"/>
      <c r="U6" s="75"/>
    </row>
    <row r="7" spans="1:35" x14ac:dyDescent="0.55000000000000004">
      <c r="A7" s="14">
        <v>1</v>
      </c>
      <c r="B7" s="6" t="s">
        <v>15</v>
      </c>
      <c r="C7" s="21" t="e">
        <v>#N/A</v>
      </c>
      <c r="D7" s="21" t="e">
        <v>#N/A</v>
      </c>
      <c r="E7" s="21" t="e">
        <v>#N/A</v>
      </c>
      <c r="F7" s="21" t="e">
        <v>#N/A</v>
      </c>
      <c r="G7" s="21" t="e">
        <v>#N/A</v>
      </c>
      <c r="H7" s="21" t="e">
        <v>#N/A</v>
      </c>
      <c r="I7" s="21" t="e">
        <v>#N/A</v>
      </c>
      <c r="J7" s="21" t="e">
        <v>#N/A</v>
      </c>
      <c r="K7" s="21" t="e">
        <v>#N/A</v>
      </c>
      <c r="L7" s="21" t="e">
        <v>#N/A</v>
      </c>
      <c r="M7" s="21" t="e">
        <v>#N/A</v>
      </c>
      <c r="N7" s="21" t="e">
        <v>#N/A</v>
      </c>
      <c r="O7" s="6" t="s">
        <v>15</v>
      </c>
      <c r="P7" s="20" t="str">
        <f t="shared" ref="P7:P19" si="0">IF(COUNT(C7:N7)=12,SUM(C7:N7),"")</f>
        <v/>
      </c>
      <c r="Q7" s="2"/>
      <c r="R7" s="2"/>
      <c r="S7" s="6" t="s">
        <v>15</v>
      </c>
      <c r="T7" s="20"/>
      <c r="U7" s="2"/>
    </row>
    <row r="8" spans="1:35" x14ac:dyDescent="0.55000000000000004">
      <c r="A8" s="14">
        <v>2</v>
      </c>
      <c r="B8" s="6" t="s">
        <v>16</v>
      </c>
      <c r="C8" s="21" t="e">
        <v>#N/A</v>
      </c>
      <c r="D8" s="21" t="e">
        <v>#N/A</v>
      </c>
      <c r="E8" s="21" t="e">
        <v>#N/A</v>
      </c>
      <c r="F8" s="21" t="e">
        <v>#N/A</v>
      </c>
      <c r="G8" s="21" t="e">
        <v>#N/A</v>
      </c>
      <c r="H8" s="21" t="e">
        <v>#N/A</v>
      </c>
      <c r="I8" s="21" t="e">
        <v>#N/A</v>
      </c>
      <c r="J8" s="21" t="e">
        <v>#N/A</v>
      </c>
      <c r="K8" s="21" t="e">
        <v>#N/A</v>
      </c>
      <c r="L8" s="21" t="e">
        <v>#N/A</v>
      </c>
      <c r="M8" s="21" t="e">
        <v>#N/A</v>
      </c>
      <c r="N8" s="21" t="e">
        <v>#N/A</v>
      </c>
      <c r="O8" s="6" t="s">
        <v>16</v>
      </c>
      <c r="P8" s="20" t="str">
        <f t="shared" si="0"/>
        <v/>
      </c>
      <c r="Q8" s="7" t="str">
        <f t="shared" ref="Q8:Q18" si="1">IFERROR(P8/P7-1,"")</f>
        <v/>
      </c>
      <c r="R8" s="2"/>
      <c r="S8" s="6" t="s">
        <v>16</v>
      </c>
      <c r="T8" s="20"/>
      <c r="U8" s="7" t="str">
        <f t="shared" ref="U8:U18" si="2">IFERROR(T8/T7-1,"")</f>
        <v/>
      </c>
    </row>
    <row r="9" spans="1:35" x14ac:dyDescent="0.55000000000000004">
      <c r="A9" s="14">
        <v>3</v>
      </c>
      <c r="B9" s="6" t="s">
        <v>17</v>
      </c>
      <c r="C9" s="21" t="e">
        <v>#N/A</v>
      </c>
      <c r="D9" s="21" t="e">
        <v>#N/A</v>
      </c>
      <c r="E9" s="21" t="e">
        <v>#N/A</v>
      </c>
      <c r="F9" s="21" t="e">
        <v>#N/A</v>
      </c>
      <c r="G9" s="21" t="e">
        <v>#N/A</v>
      </c>
      <c r="H9" s="21" t="e">
        <v>#N/A</v>
      </c>
      <c r="I9" s="21" t="e">
        <v>#N/A</v>
      </c>
      <c r="J9" s="21" t="e">
        <v>#N/A</v>
      </c>
      <c r="K9" s="21" t="e">
        <v>#N/A</v>
      </c>
      <c r="L9" s="21" t="e">
        <v>#N/A</v>
      </c>
      <c r="M9" s="21" t="e">
        <v>#N/A</v>
      </c>
      <c r="N9" s="21" t="e">
        <v>#N/A</v>
      </c>
      <c r="O9" s="6" t="s">
        <v>17</v>
      </c>
      <c r="P9" s="20" t="str">
        <f t="shared" si="0"/>
        <v/>
      </c>
      <c r="Q9" s="7" t="str">
        <f t="shared" si="1"/>
        <v/>
      </c>
      <c r="R9" s="2"/>
      <c r="S9" s="6" t="s">
        <v>17</v>
      </c>
      <c r="T9" s="20"/>
      <c r="U9" s="7" t="str">
        <f t="shared" si="2"/>
        <v/>
      </c>
      <c r="Y9" s="43"/>
      <c r="Z9" s="44"/>
    </row>
    <row r="10" spans="1:35" x14ac:dyDescent="0.55000000000000004">
      <c r="A10" s="14">
        <v>4</v>
      </c>
      <c r="B10" s="6" t="s">
        <v>18</v>
      </c>
      <c r="C10" s="23">
        <f>'Agg (Peru Included)'!C10/B$62</f>
        <v>8630970.4682461824</v>
      </c>
      <c r="D10" s="23">
        <f>'Agg (Peru Included)'!D10/C$62</f>
        <v>9055937.5827418789</v>
      </c>
      <c r="E10" s="23">
        <f>'Agg (Peru Included)'!E10/D$62</f>
        <v>10146942.357473075</v>
      </c>
      <c r="F10" s="23">
        <f>'Agg (Peru Included)'!F10/E$62</f>
        <v>10686469.491901226</v>
      </c>
      <c r="G10" s="23">
        <f>'Agg (Peru Included)'!G10/F$62</f>
        <v>10033223.779589375</v>
      </c>
      <c r="H10" s="23">
        <f>'Agg (Peru Included)'!H10/G$62</f>
        <v>11149435.036687834</v>
      </c>
      <c r="I10" s="23">
        <f>'Agg (Peru Included)'!I10/H$62</f>
        <v>10299317.709379356</v>
      </c>
      <c r="J10" s="23">
        <f>'Agg (Peru Included)'!J10/I$62</f>
        <v>9788242.7589356005</v>
      </c>
      <c r="K10" s="23">
        <f>'Agg (Peru Included)'!K10/J$62</f>
        <v>10753919.067892291</v>
      </c>
      <c r="L10" s="23">
        <f>'Agg (Peru Included)'!L10/K$62</f>
        <v>9885368.5785908587</v>
      </c>
      <c r="M10" s="23">
        <f>'Agg (Peru Included)'!M10/L$62</f>
        <v>11117856.545650007</v>
      </c>
      <c r="N10" s="23">
        <f>'Agg (Peru Included)'!N10/M$62</f>
        <v>10386829.560519589</v>
      </c>
      <c r="O10" s="6" t="s">
        <v>18</v>
      </c>
      <c r="P10" s="20">
        <f t="shared" si="0"/>
        <v>121934512.93760729</v>
      </c>
      <c r="Q10" s="7" t="str">
        <f t="shared" si="1"/>
        <v/>
      </c>
      <c r="R10" s="2"/>
      <c r="S10" s="6" t="s">
        <v>18</v>
      </c>
      <c r="T10" s="20">
        <f ca="1">IF(SUM(OFFSET(C10,0,0,1,$C$56))=0,"",SUM(OFFSET(C10,0,0,1,$C$56)))</f>
        <v>70002296.426018938</v>
      </c>
      <c r="U10" s="7" t="str">
        <f t="shared" ca="1" si="2"/>
        <v/>
      </c>
      <c r="Y10" s="43"/>
      <c r="Z10" s="44"/>
    </row>
    <row r="11" spans="1:35" x14ac:dyDescent="0.55000000000000004">
      <c r="A11" s="14">
        <v>5</v>
      </c>
      <c r="B11" s="6" t="s">
        <v>19</v>
      </c>
      <c r="C11" s="23">
        <f>'Agg (Peru Included)'!C11/B$62</f>
        <v>10671215.671042973</v>
      </c>
      <c r="D11" s="23">
        <f>'Agg (Peru Included)'!D11/C$62</f>
        <v>10743708.225571161</v>
      </c>
      <c r="E11" s="23">
        <f>'Agg (Peru Included)'!E11/D$62</f>
        <v>10946305.1968977</v>
      </c>
      <c r="F11" s="23">
        <f>'Agg (Peru Included)'!F11/E$62</f>
        <v>11402898.836439276</v>
      </c>
      <c r="G11" s="23">
        <f>'Agg (Peru Included)'!G11/F$62</f>
        <v>10870670.030980157</v>
      </c>
      <c r="H11" s="23">
        <f>'Agg (Peru Included)'!H11/G$62</f>
        <v>11355909.344637197</v>
      </c>
      <c r="I11" s="23">
        <f>'Agg (Peru Included)'!I11/H$62</f>
        <v>11009150.613840126</v>
      </c>
      <c r="J11" s="23">
        <f>'Agg (Peru Included)'!J11/I$62</f>
        <v>12302119.051450966</v>
      </c>
      <c r="K11" s="23">
        <f>'Agg (Peru Included)'!K11/J$62</f>
        <v>11424806.683976144</v>
      </c>
      <c r="L11" s="23">
        <f>'Agg (Peru Included)'!L11/K$62</f>
        <v>11612504.725000435</v>
      </c>
      <c r="M11" s="23">
        <f>'Agg (Peru Included)'!M11/L$62</f>
        <v>11136573.693754809</v>
      </c>
      <c r="N11" s="23">
        <f>'Agg (Peru Included)'!N11/M$62</f>
        <v>10612658.326759813</v>
      </c>
      <c r="O11" s="6" t="s">
        <v>19</v>
      </c>
      <c r="P11" s="20">
        <f t="shared" si="0"/>
        <v>134088520.40035076</v>
      </c>
      <c r="Q11" s="7">
        <f t="shared" si="1"/>
        <v>9.9676516270357007E-2</v>
      </c>
      <c r="R11" s="2"/>
      <c r="S11" s="6" t="s">
        <v>19</v>
      </c>
      <c r="T11" s="20">
        <f ca="1">IF(SUM(OFFSET(C11,0,0,1,$C$56))=0,"",SUM(OFFSET(C11,0,0,1,$C$56)))</f>
        <v>76999857.91940859</v>
      </c>
      <c r="U11" s="7">
        <f t="shared" ca="1" si="2"/>
        <v>9.9961884833091652E-2</v>
      </c>
      <c r="Y11" s="43"/>
      <c r="Z11" s="44"/>
    </row>
    <row r="12" spans="1:35" x14ac:dyDescent="0.55000000000000004">
      <c r="A12" s="14">
        <v>6</v>
      </c>
      <c r="B12" s="6" t="s">
        <v>20</v>
      </c>
      <c r="C12" s="23">
        <f>'Agg (Peru Included)'!C12/B$62</f>
        <v>9950618.6381846797</v>
      </c>
      <c r="D12" s="23">
        <f>'Agg (Peru Included)'!D12/C$62</f>
        <v>9643185.1113164816</v>
      </c>
      <c r="E12" s="23">
        <f>'Agg (Peru Included)'!E12/D$62</f>
        <v>10815732.707544766</v>
      </c>
      <c r="F12" s="23">
        <f>'Agg (Peru Included)'!F12/E$62</f>
        <v>10204714.835298883</v>
      </c>
      <c r="G12" s="23">
        <f>'Agg (Peru Included)'!G12/F$62</f>
        <v>11530570.381078726</v>
      </c>
      <c r="H12" s="23">
        <f>'Agg (Peru Included)'!H12/G$62</f>
        <v>12146818.164105318</v>
      </c>
      <c r="I12" s="23">
        <f>'Agg (Peru Included)'!I12/H$62</f>
        <v>11261491.991353391</v>
      </c>
      <c r="J12" s="23">
        <f>'Agg (Peru Included)'!J12/I$62</f>
        <v>10719890.753555</v>
      </c>
      <c r="K12" s="23">
        <f>'Agg (Peru Included)'!K12/J$62</f>
        <v>10663595.539210293</v>
      </c>
      <c r="L12" s="23">
        <f>'Agg (Peru Included)'!L12/K$62</f>
        <v>10452609.314790456</v>
      </c>
      <c r="M12" s="23">
        <f>'Agg (Peru Included)'!M12/L$62</f>
        <v>10555719.718583314</v>
      </c>
      <c r="N12" s="23">
        <f>'Agg (Peru Included)'!N12/M$62</f>
        <v>11117875.450022358</v>
      </c>
      <c r="O12" s="6" t="s">
        <v>20</v>
      </c>
      <c r="P12" s="20">
        <f t="shared" si="0"/>
        <v>129062822.60504366</v>
      </c>
      <c r="Q12" s="7">
        <f t="shared" si="1"/>
        <v>-3.7480447843721287E-2</v>
      </c>
      <c r="R12" s="2"/>
      <c r="S12" s="6" t="s">
        <v>20</v>
      </c>
      <c r="T12" s="20">
        <f ca="1">IF(SUM(OFFSET(C12,0,0,1,$C$56))=0,"",SUM(OFFSET(C12,0,0,1,$C$56)))</f>
        <v>75553131.828882247</v>
      </c>
      <c r="U12" s="7">
        <f t="shared" ca="1" si="2"/>
        <v>-1.8788685195244792E-2</v>
      </c>
      <c r="Y12" s="43"/>
      <c r="Z12" s="44"/>
    </row>
    <row r="13" spans="1:35" x14ac:dyDescent="0.55000000000000004">
      <c r="A13" s="14">
        <v>7</v>
      </c>
      <c r="B13" s="6" t="s">
        <v>21</v>
      </c>
      <c r="C13" s="23">
        <f>'Agg (Peru Included)'!C13/B$62</f>
        <v>10162602.207926374</v>
      </c>
      <c r="D13" s="23">
        <f>'Agg (Peru Included)'!D13/C$62</f>
        <v>10538824.42288764</v>
      </c>
      <c r="E13" s="23">
        <f>'Agg (Peru Included)'!E13/D$62</f>
        <v>11492074.80106171</v>
      </c>
      <c r="F13" s="23">
        <f>'Agg (Peru Included)'!F13/E$62</f>
        <v>10563890.244351832</v>
      </c>
      <c r="G13" s="23">
        <f>'Agg (Peru Included)'!G13/F$62</f>
        <v>11616779.141194366</v>
      </c>
      <c r="H13" s="23">
        <f>'Agg (Peru Included)'!H13/G$62</f>
        <v>12688275.198954113</v>
      </c>
      <c r="I13" s="23">
        <f>'Agg (Peru Included)'!I13/H$62</f>
        <v>11757781.903056649</v>
      </c>
      <c r="J13" s="23">
        <f>'Agg (Peru Included)'!J13/I$62</f>
        <v>10523204.073065698</v>
      </c>
      <c r="K13" s="23">
        <f>'Agg (Peru Included)'!K13/J$62</f>
        <v>11636511.937813282</v>
      </c>
      <c r="L13" s="23">
        <f>'Agg (Peru Included)'!L13/K$62</f>
        <v>11107640.554465195</v>
      </c>
      <c r="M13" s="23">
        <f>'Agg (Peru Included)'!M13/L$62</f>
        <v>10497298.393015807</v>
      </c>
      <c r="N13" s="23">
        <f>'Agg (Peru Included)'!N13/M$62</f>
        <v>10786931.405702867</v>
      </c>
      <c r="O13" s="6" t="s">
        <v>21</v>
      </c>
      <c r="P13" s="20">
        <f t="shared" si="0"/>
        <v>133371814.28349552</v>
      </c>
      <c r="Q13" s="7">
        <f t="shared" si="1"/>
        <v>3.3386777008884705E-2</v>
      </c>
      <c r="R13" s="2"/>
      <c r="S13" s="6" t="s">
        <v>21</v>
      </c>
      <c r="T13" s="20">
        <f ca="1">IF(SUM(OFFSET(C13,0,0,1,$C$56))=0,"",SUM(OFFSET(C13,0,0,1,$C$56)))</f>
        <v>78820227.919432685</v>
      </c>
      <c r="U13" s="7">
        <f t="shared" ca="1" si="2"/>
        <v>4.324236482942867E-2</v>
      </c>
    </row>
    <row r="14" spans="1:35" x14ac:dyDescent="0.55000000000000004">
      <c r="A14" s="14">
        <v>8</v>
      </c>
      <c r="B14" s="6" t="s">
        <v>22</v>
      </c>
      <c r="C14" s="23">
        <f>'Agg (Peru Included)'!C14/B$62</f>
        <v>9949518.1549459249</v>
      </c>
      <c r="D14" s="23">
        <f>'Agg (Peru Included)'!D14/C$62</f>
        <v>9804067.7271048669</v>
      </c>
      <c r="E14" s="23">
        <f>'Agg (Peru Included)'!E14/D$62</f>
        <v>11958329.037914967</v>
      </c>
      <c r="F14" s="23">
        <f>'Agg (Peru Included)'!F14/E$62</f>
        <v>12230473.169062009</v>
      </c>
      <c r="G14" s="23">
        <f>'Agg (Peru Included)'!G14/F$62</f>
        <v>11436849.802868651</v>
      </c>
      <c r="H14" s="23">
        <f>'Agg (Peru Included)'!H14/G$62</f>
        <v>13501957.104541706</v>
      </c>
      <c r="I14" s="23">
        <f>'Agg (Peru Included)'!I14/H$62</f>
        <v>11053003.493836617</v>
      </c>
      <c r="J14" s="23">
        <f>'Agg (Peru Included)'!J14/I$62</f>
        <v>11157467.73392245</v>
      </c>
      <c r="K14" s="23">
        <f>'Agg (Peru Included)'!K14/J$62</f>
        <v>11577882.941287177</v>
      </c>
      <c r="L14" s="23">
        <f>'Agg (Peru Included)'!L14/K$62</f>
        <v>10196514.746846348</v>
      </c>
      <c r="M14" s="23">
        <f>'Agg (Peru Included)'!M14/L$62</f>
        <v>10470487.738600034</v>
      </c>
      <c r="N14" s="23">
        <f>'Agg (Peru Included)'!N14/M$62</f>
        <v>10524775.924346736</v>
      </c>
      <c r="O14" s="6" t="s">
        <v>22</v>
      </c>
      <c r="P14" s="20">
        <f t="shared" si="0"/>
        <v>133861327.57527748</v>
      </c>
      <c r="Q14" s="7">
        <f t="shared" si="1"/>
        <v>3.6702904163952166E-3</v>
      </c>
      <c r="R14" s="2"/>
      <c r="S14" s="6" t="s">
        <v>22</v>
      </c>
      <c r="T14" s="20">
        <f t="shared" ref="T14:T19" ca="1" si="3">IF(SUM(OFFSET(C14,0,0,1,$C$56))=0,NA(),SUM(OFFSET(C14,0,0,1,$C$56)))</f>
        <v>79934198.490274742</v>
      </c>
      <c r="U14" s="7">
        <f t="shared" ca="1" si="2"/>
        <v>1.4133054423297597E-2</v>
      </c>
    </row>
    <row r="15" spans="1:35" x14ac:dyDescent="0.55000000000000004">
      <c r="A15" s="14">
        <v>9</v>
      </c>
      <c r="B15" s="6" t="s">
        <v>23</v>
      </c>
      <c r="C15" s="23">
        <f>'Agg (Peru Included)'!C15/B$62</f>
        <v>9284589.2131166421</v>
      </c>
      <c r="D15" s="23">
        <f>'Agg (Peru Included)'!D15/C$62</f>
        <v>10009216.483144196</v>
      </c>
      <c r="E15" s="23">
        <f>'Agg (Peru Included)'!E15/D$62</f>
        <v>10436283.653071398</v>
      </c>
      <c r="F15" s="23">
        <f>'Agg (Peru Included)'!F15/E$62</f>
        <v>9284724.4118741117</v>
      </c>
      <c r="G15" s="23">
        <f>'Agg (Peru Included)'!G15/F$62</f>
        <v>10011138.601719223</v>
      </c>
      <c r="H15" s="23">
        <f>'Agg (Peru Included)'!H15/G$62</f>
        <v>11791649.130200544</v>
      </c>
      <c r="I15" s="23">
        <f>'Agg (Peru Included)'!I15/H$62</f>
        <v>10468151.341899138</v>
      </c>
      <c r="J15" s="23">
        <f>'Agg (Peru Included)'!J15/I$62</f>
        <v>10767190.753515432</v>
      </c>
      <c r="K15" s="23">
        <f>'Agg (Peru Included)'!K15/J$62</f>
        <v>10729536.770506924</v>
      </c>
      <c r="L15" s="23">
        <f>'Agg (Peru Included)'!L15/K$62</f>
        <v>10513064.843939845</v>
      </c>
      <c r="M15" s="23">
        <f>'Agg (Peru Included)'!M15/L$62</f>
        <v>10760429.628203329</v>
      </c>
      <c r="N15" s="23">
        <f>'Agg (Peru Included)'!N15/M$62</f>
        <v>9030134.4847685881</v>
      </c>
      <c r="O15" s="6" t="s">
        <v>23</v>
      </c>
      <c r="P15" s="20">
        <f t="shared" si="0"/>
        <v>123086109.31595936</v>
      </c>
      <c r="Q15" s="7">
        <f t="shared" si="1"/>
        <v>-8.0495378721375799E-2</v>
      </c>
      <c r="R15" s="2"/>
      <c r="S15" s="6" t="s">
        <v>23</v>
      </c>
      <c r="T15" s="20">
        <f t="shared" ca="1" si="3"/>
        <v>71285752.835025251</v>
      </c>
      <c r="U15" s="7">
        <f t="shared" ca="1" si="2"/>
        <v>-0.10819456276028983</v>
      </c>
    </row>
    <row r="16" spans="1:35" x14ac:dyDescent="0.55000000000000004">
      <c r="A16" s="14">
        <v>10</v>
      </c>
      <c r="B16" s="6" t="s">
        <v>24</v>
      </c>
      <c r="C16" s="23">
        <f>'Agg (Peru Included)'!C16/B$62</f>
        <v>9231980.4411241002</v>
      </c>
      <c r="D16" s="23">
        <f>'Agg (Peru Included)'!D16/C$62</f>
        <v>10576041.557372687</v>
      </c>
      <c r="E16" s="23">
        <f>'Agg (Peru Included)'!E16/D$62</f>
        <v>11674082.631258063</v>
      </c>
      <c r="F16" s="23">
        <f>'Agg (Peru Included)'!F16/E$62</f>
        <v>11865035.812514577</v>
      </c>
      <c r="G16" s="23">
        <f>'Agg (Peru Included)'!G16/F$62</f>
        <v>11768315.233061567</v>
      </c>
      <c r="H16" s="23">
        <f>'Agg (Peru Included)'!H16/G$62</f>
        <v>13170236.781309944</v>
      </c>
      <c r="I16" s="23">
        <f>'Agg (Peru Included)'!I16/H$62</f>
        <v>12194971.260669509</v>
      </c>
      <c r="J16" s="23">
        <f>'Agg (Peru Included)'!J16/I$62</f>
        <v>12267034.415396089</v>
      </c>
      <c r="K16" s="23">
        <f>'Agg (Peru Included)'!K16/J$62</f>
        <v>11240380.703418141</v>
      </c>
      <c r="L16" s="23">
        <f>'Agg (Peru Included)'!L16/K$62</f>
        <v>11803918.420064678</v>
      </c>
      <c r="M16" s="23">
        <f>'Agg (Peru Included)'!M16/L$62</f>
        <v>11428707.642575298</v>
      </c>
      <c r="N16" s="23">
        <f>'Agg (Peru Included)'!N16/M$62</f>
        <v>11372709.485698933</v>
      </c>
      <c r="O16" s="6" t="s">
        <v>24</v>
      </c>
      <c r="P16" s="20">
        <f t="shared" si="0"/>
        <v>138593414.38446358</v>
      </c>
      <c r="Q16" s="7">
        <f t="shared" si="1"/>
        <v>0.12598745020607738</v>
      </c>
      <c r="R16" s="2"/>
      <c r="S16" s="6" t="s">
        <v>24</v>
      </c>
      <c r="T16" s="20">
        <f t="shared" ca="1" si="3"/>
        <v>80480663.717310458</v>
      </c>
      <c r="U16" s="7">
        <f t="shared" ca="1" si="2"/>
        <v>0.12898665605124138</v>
      </c>
    </row>
    <row r="17" spans="1:29" x14ac:dyDescent="0.55000000000000004">
      <c r="A17" s="14">
        <v>11</v>
      </c>
      <c r="B17" s="6" t="s">
        <v>25</v>
      </c>
      <c r="C17" s="23">
        <f>'Agg (Peru Included)'!C17/B$62</f>
        <v>10738179.650932442</v>
      </c>
      <c r="D17" s="23">
        <f>'Agg (Peru Included)'!D17/C$62</f>
        <v>9660552.1866142321</v>
      </c>
      <c r="E17" s="23">
        <f>'Agg (Peru Included)'!E17/D$62</f>
        <v>11407316.515094228</v>
      </c>
      <c r="F17" s="23">
        <f>'Agg (Peru Included)'!F17/E$62</f>
        <v>10330331.329329846</v>
      </c>
      <c r="G17" s="23">
        <f>'Agg (Peru Included)'!G17/F$62</f>
        <v>12152402.108761074</v>
      </c>
      <c r="H17" s="23">
        <f>'Agg (Peru Included)'!H17/G$62</f>
        <v>13077776.79016611</v>
      </c>
      <c r="I17" s="23">
        <f>'Agg (Peru Included)'!I17/H$62</f>
        <v>12045430.408728549</v>
      </c>
      <c r="J17" s="23">
        <f>'Agg (Peru Included)'!J17/I$62</f>
        <v>12729545.063789969</v>
      </c>
      <c r="K17" s="23">
        <f>'Agg (Peru Included)'!K17/J$62</f>
        <v>12173912.885420568</v>
      </c>
      <c r="L17" s="23">
        <f>'Agg (Peru Included)'!L17/K$62</f>
        <v>11685756.002730582</v>
      </c>
      <c r="M17" s="23">
        <f>'Agg (Peru Included)'!M17/L$62</f>
        <v>11427355.918077774</v>
      </c>
      <c r="N17" s="23">
        <f>'Agg (Peru Included)'!N17/M$62</f>
        <v>11947549.9407843</v>
      </c>
      <c r="O17" s="6" t="s">
        <v>25</v>
      </c>
      <c r="P17" s="5">
        <f t="shared" si="0"/>
        <v>139376108.80042967</v>
      </c>
      <c r="Q17" s="7">
        <f t="shared" si="1"/>
        <v>5.64741419671555E-3</v>
      </c>
      <c r="R17" s="2"/>
      <c r="S17" s="6" t="s">
        <v>25</v>
      </c>
      <c r="T17" s="20">
        <f t="shared" ca="1" si="3"/>
        <v>79411988.989626482</v>
      </c>
      <c r="U17" s="7">
        <f t="shared" ca="1" si="2"/>
        <v>-1.327865201805134E-2</v>
      </c>
    </row>
    <row r="18" spans="1:29" x14ac:dyDescent="0.55000000000000004">
      <c r="A18" s="14">
        <v>12</v>
      </c>
      <c r="B18" s="6" t="s">
        <v>26</v>
      </c>
      <c r="C18" s="23">
        <f>'Agg (Peru Included)'!C18/B$62</f>
        <v>10619764.67466308</v>
      </c>
      <c r="D18" s="23">
        <f>'Agg (Peru Included)'!D18/C$62</f>
        <v>9968464.3286310863</v>
      </c>
      <c r="E18" s="23">
        <f>'Agg (Peru Included)'!E18/D$62</f>
        <v>10827102.526014708</v>
      </c>
      <c r="F18" s="23">
        <f>'Agg (Peru Included)'!F18/E$62</f>
        <v>10717513.666105781</v>
      </c>
      <c r="G18" s="23">
        <f>'Agg (Peru Included)'!G18/F$62</f>
        <v>10334147.63749839</v>
      </c>
      <c r="H18" s="23">
        <f>'Agg (Peru Included)'!H18/G$62</f>
        <v>11708877.264399027</v>
      </c>
      <c r="I18" s="23">
        <f>'Agg (Peru Included)'!I18/H$62</f>
        <v>12258304.990131078</v>
      </c>
      <c r="J18" s="23" t="e">
        <f>'Agg (Peru Included)'!J18/I$62</f>
        <v>#N/A</v>
      </c>
      <c r="K18" s="23" t="e">
        <f>'Agg (Peru Included)'!K18/J$62</f>
        <v>#N/A</v>
      </c>
      <c r="L18" s="23" t="e">
        <f>'Agg (Peru Included)'!L18/K$62</f>
        <v>#N/A</v>
      </c>
      <c r="M18" s="23" t="e">
        <f>'Agg (Peru Included)'!M18/L$62</f>
        <v>#N/A</v>
      </c>
      <c r="N18" s="23" t="e">
        <f>'Agg (Peru Included)'!N18/M$62</f>
        <v>#N/A</v>
      </c>
      <c r="O18" s="6" t="s">
        <v>26</v>
      </c>
      <c r="P18" s="5" t="str">
        <f t="shared" ref="P18" si="4">IF(COUNT(C18:N18)=12,SUM(C18:N18),"")</f>
        <v/>
      </c>
      <c r="Q18" s="7" t="str">
        <f t="shared" si="1"/>
        <v/>
      </c>
      <c r="R18" s="2"/>
      <c r="S18" s="6" t="s">
        <v>26</v>
      </c>
      <c r="T18" s="5">
        <f t="shared" ca="1" si="3"/>
        <v>76434175.087443143</v>
      </c>
      <c r="U18" s="7">
        <f t="shared" ca="1" si="2"/>
        <v>-3.7498291379810755E-2</v>
      </c>
      <c r="Y18" s="51"/>
      <c r="Z18" s="12"/>
      <c r="AA18" s="12"/>
    </row>
    <row r="19" spans="1:29" x14ac:dyDescent="0.55000000000000004">
      <c r="A19" s="14">
        <v>13</v>
      </c>
      <c r="B19" s="6" t="s">
        <v>27</v>
      </c>
      <c r="C19" s="23" t="e">
        <f>'Agg (Peru Included)'!C19/B$62</f>
        <v>#N/A</v>
      </c>
      <c r="D19" s="23" t="e">
        <f>'Agg (Peru Included)'!D19/C$62</f>
        <v>#N/A</v>
      </c>
      <c r="E19" s="23" t="e">
        <f>'Agg (Peru Included)'!E19/D$62</f>
        <v>#N/A</v>
      </c>
      <c r="F19" s="23" t="e">
        <f>'Agg (Peru Included)'!F19/E$62</f>
        <v>#N/A</v>
      </c>
      <c r="G19" s="23" t="e">
        <f>'Agg (Peru Included)'!G19/F$62</f>
        <v>#N/A</v>
      </c>
      <c r="H19" s="23" t="e">
        <f>'Agg (Peru Included)'!H19/G$62</f>
        <v>#N/A</v>
      </c>
      <c r="I19" s="23" t="e">
        <f>'Agg (Peru Included)'!I19/H$62</f>
        <v>#N/A</v>
      </c>
      <c r="J19" s="23" t="e">
        <f>'Agg (Peru Included)'!J19/I$62</f>
        <v>#N/A</v>
      </c>
      <c r="K19" s="23" t="e">
        <f>'Agg (Peru Included)'!K19/J$62</f>
        <v>#N/A</v>
      </c>
      <c r="L19" s="23" t="e">
        <f>'Agg (Peru Included)'!L19/K$62</f>
        <v>#N/A</v>
      </c>
      <c r="M19" s="23" t="e">
        <f>'Agg (Peru Included)'!M19/L$62</f>
        <v>#N/A</v>
      </c>
      <c r="N19" s="23" t="e">
        <f>'Agg (Peru Included)'!N19/M$62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5" t="e">
        <f t="shared" ca="1" si="3"/>
        <v>#N/A</v>
      </c>
      <c r="U19" s="7"/>
      <c r="Y19" s="51"/>
      <c r="Z19" s="12"/>
      <c r="AA19" s="12"/>
    </row>
    <row r="20" spans="1:29" x14ac:dyDescent="0.55000000000000004">
      <c r="B20" s="8" t="s">
        <v>28</v>
      </c>
      <c r="C20" s="22">
        <f>IFERROR(C18/C17-1,"")</f>
        <v>-1.1027472078014688E-2</v>
      </c>
      <c r="D20" s="22">
        <f t="shared" ref="D20:N20" si="5">IFERROR(D18/D17-1,"")</f>
        <v>3.1873141003627259E-2</v>
      </c>
      <c r="E20" s="22">
        <f t="shared" si="5"/>
        <v>-5.0863319897521686E-2</v>
      </c>
      <c r="F20" s="22">
        <f t="shared" si="5"/>
        <v>3.7480146999413932E-2</v>
      </c>
      <c r="G20" s="22">
        <f t="shared" si="5"/>
        <v>-0.14962099303411325</v>
      </c>
      <c r="H20" s="22">
        <f t="shared" si="5"/>
        <v>-0.10467371845621587</v>
      </c>
      <c r="I20" s="22">
        <f t="shared" si="5"/>
        <v>1.7672642170450947E-2</v>
      </c>
      <c r="J20" s="22" t="str">
        <f t="shared" si="5"/>
        <v/>
      </c>
      <c r="K20" s="22" t="str">
        <f t="shared" si="5"/>
        <v/>
      </c>
      <c r="L20" s="22" t="str">
        <f t="shared" si="5"/>
        <v/>
      </c>
      <c r="M20" s="22" t="str">
        <f t="shared" si="5"/>
        <v/>
      </c>
      <c r="N20" s="22" t="str">
        <f t="shared" si="5"/>
        <v/>
      </c>
      <c r="O20" s="8"/>
      <c r="P20" s="2"/>
      <c r="Q20" s="2"/>
      <c r="R20" s="2"/>
      <c r="S20" s="8"/>
      <c r="T20" s="5"/>
      <c r="U20" s="2"/>
      <c r="X20" s="12"/>
      <c r="Y20" s="51"/>
      <c r="Z20" s="40"/>
      <c r="AA20" s="12"/>
    </row>
    <row r="21" spans="1:29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Y21" s="51"/>
      <c r="Z21" s="12"/>
      <c r="AA21" s="12"/>
    </row>
    <row r="22" spans="1:29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Y22" s="51"/>
      <c r="Z22" s="12"/>
      <c r="AA22" s="12"/>
    </row>
    <row r="23" spans="1:29" x14ac:dyDescent="0.55000000000000004">
      <c r="Y23" s="51"/>
      <c r="Z23" s="12"/>
      <c r="AA23" s="12"/>
    </row>
    <row r="24" spans="1:29" x14ac:dyDescent="0.55000000000000004">
      <c r="AA24" s="12"/>
    </row>
    <row r="27" spans="1:29" x14ac:dyDescent="0.55000000000000004">
      <c r="K27" s="13" t="str">
        <f ca="1">_xlfn.CONCAT(A1," | ",S6)</f>
        <v>Global Coffee Exports | YTD : Oct-Apr</v>
      </c>
      <c r="Q27" s="13" t="str">
        <f>_xlfn.CONCAT(A1," | ","Cumulative")</f>
        <v>Global Coffee Exports | Cumulative</v>
      </c>
      <c r="AB27" s="12"/>
    </row>
    <row r="30" spans="1:29" x14ac:dyDescent="0.55000000000000004">
      <c r="AB30" s="12"/>
      <c r="AC30" s="13"/>
    </row>
    <row r="39" spans="26:29" x14ac:dyDescent="0.55000000000000004">
      <c r="AA39" s="55"/>
      <c r="AB39" s="55"/>
      <c r="AC39" s="55"/>
    </row>
    <row r="40" spans="26:29" x14ac:dyDescent="0.55000000000000004">
      <c r="Z40" s="31"/>
      <c r="AA40" s="12"/>
      <c r="AB40" s="12"/>
      <c r="AC40" s="58"/>
    </row>
    <row r="41" spans="26:29" x14ac:dyDescent="0.55000000000000004">
      <c r="Z41" s="31"/>
      <c r="AA41" s="12"/>
      <c r="AB41" s="12"/>
      <c r="AC41" s="58"/>
    </row>
    <row r="42" spans="26:29" x14ac:dyDescent="0.55000000000000004">
      <c r="Z42" s="31"/>
      <c r="AA42" s="12"/>
      <c r="AB42" s="12"/>
      <c r="AC42" s="58"/>
    </row>
    <row r="44" spans="26:29" x14ac:dyDescent="0.55000000000000004">
      <c r="AB44" s="56"/>
      <c r="AC44" s="57"/>
    </row>
    <row r="52" spans="1:13" x14ac:dyDescent="0.55000000000000004">
      <c r="L52" s="12"/>
    </row>
    <row r="56" spans="1:13" x14ac:dyDescent="0.55000000000000004">
      <c r="B56" s="9" t="s">
        <v>29</v>
      </c>
      <c r="C56" s="9">
        <f>COUNT(C18:N18)</f>
        <v>7</v>
      </c>
      <c r="D56" s="25" t="str">
        <f ca="1">OFFSET(B6,0,$C$56,1,1)</f>
        <v>Apr</v>
      </c>
      <c r="E56" s="11" t="str">
        <f>B18</f>
        <v>25/26</v>
      </c>
      <c r="F56" s="11" t="str">
        <f ca="1">_xlfn.CONCAT(D56,"'",E56)</f>
        <v>Apr'25/26</v>
      </c>
    </row>
    <row r="58" spans="1:13" x14ac:dyDescent="0.55000000000000004">
      <c r="B58" s="74" t="e">
        <f>_xlfn.CONCAT(#REF!," (Monthly)")</f>
        <v>#REF!</v>
      </c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</row>
    <row r="59" spans="1:13" x14ac:dyDescent="0.55000000000000004">
      <c r="B59" s="3" t="s">
        <v>1</v>
      </c>
      <c r="C59" s="3" t="s">
        <v>2</v>
      </c>
      <c r="D59" s="3" t="s">
        <v>3</v>
      </c>
      <c r="E59" s="3" t="s">
        <v>4</v>
      </c>
      <c r="F59" s="3" t="s">
        <v>5</v>
      </c>
      <c r="G59" s="3" t="s">
        <v>6</v>
      </c>
      <c r="H59" s="3" t="s">
        <v>7</v>
      </c>
      <c r="I59" s="3" t="s">
        <v>8</v>
      </c>
      <c r="J59" s="3" t="s">
        <v>9</v>
      </c>
      <c r="K59" s="3" t="s">
        <v>10</v>
      </c>
      <c r="L59" s="3" t="s">
        <v>11</v>
      </c>
      <c r="M59" s="3" t="s">
        <v>12</v>
      </c>
    </row>
    <row r="60" spans="1:13" x14ac:dyDescent="0.55000000000000004">
      <c r="A60" s="11" t="s">
        <v>95</v>
      </c>
      <c r="B60" s="40">
        <v>0.76027427644191314</v>
      </c>
      <c r="C60" s="40">
        <v>0.75388156600839751</v>
      </c>
      <c r="D60" s="40">
        <v>0.79417850703229886</v>
      </c>
      <c r="E60" s="40">
        <v>0.76566518338324641</v>
      </c>
      <c r="F60" s="40">
        <v>0.7509489261174449</v>
      </c>
      <c r="G60" s="40">
        <v>0.7312420465988152</v>
      </c>
      <c r="H60" s="40">
        <v>0.70087237799659174</v>
      </c>
      <c r="I60" s="40">
        <v>0.6926028609448398</v>
      </c>
      <c r="J60" s="40">
        <v>0.71137729383042492</v>
      </c>
      <c r="K60" s="40">
        <v>0.71381188164634068</v>
      </c>
      <c r="L60" s="40">
        <v>0.75289842333077184</v>
      </c>
      <c r="M60" s="40">
        <v>0.75875421890846406</v>
      </c>
    </row>
    <row r="62" spans="1:13" x14ac:dyDescent="0.55000000000000004">
      <c r="A62" s="11" t="s">
        <v>104</v>
      </c>
      <c r="B62" s="37">
        <v>0.87270099429760017</v>
      </c>
      <c r="C62" s="37">
        <v>0.89</v>
      </c>
      <c r="D62" s="37">
        <v>0.88613176791721282</v>
      </c>
      <c r="E62" s="37">
        <v>0.89492901980922313</v>
      </c>
      <c r="F62" s="37">
        <v>0.81223847653150405</v>
      </c>
      <c r="G62" s="37">
        <v>0.81726873698035041</v>
      </c>
      <c r="H62" s="37">
        <v>0.78472806866401346</v>
      </c>
      <c r="I62" s="37">
        <v>0.76797644633363871</v>
      </c>
      <c r="J62" s="37">
        <v>0.76900731526125488</v>
      </c>
      <c r="K62" s="37">
        <v>0.79269055258773957</v>
      </c>
      <c r="L62" s="37">
        <v>0.79943939248741447</v>
      </c>
      <c r="M62" s="37">
        <v>0.80003259324728082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10619764.67466308</v>
      </c>
      <c r="C66" s="12">
        <f t="shared" ref="C66:M66" si="6">D18</f>
        <v>9968464.3286310863</v>
      </c>
      <c r="D66" s="12">
        <f t="shared" si="6"/>
        <v>10827102.526014708</v>
      </c>
      <c r="E66" s="12">
        <f t="shared" si="6"/>
        <v>10717513.666105781</v>
      </c>
      <c r="F66" s="12">
        <f t="shared" si="6"/>
        <v>10334147.63749839</v>
      </c>
      <c r="G66" s="12">
        <f t="shared" si="6"/>
        <v>11708877.264399027</v>
      </c>
      <c r="H66" s="12">
        <f t="shared" si="6"/>
        <v>12258304.990131078</v>
      </c>
      <c r="I66" s="12" t="e">
        <f t="shared" si="6"/>
        <v>#N/A</v>
      </c>
      <c r="J66" s="12" t="e">
        <f t="shared" si="6"/>
        <v>#N/A</v>
      </c>
      <c r="K66" s="12" t="e">
        <f t="shared" si="6"/>
        <v>#N/A</v>
      </c>
      <c r="L66" s="12" t="e">
        <f t="shared" si="6"/>
        <v>#N/A</v>
      </c>
      <c r="M66" s="12" t="e">
        <f t="shared" si="6"/>
        <v>#N/A</v>
      </c>
    </row>
    <row r="67" spans="1:25" x14ac:dyDescent="0.55000000000000004">
      <c r="A67" s="11" t="s">
        <v>30</v>
      </c>
      <c r="B67" s="12">
        <f>MIN(C10:C17)</f>
        <v>8630970.4682461824</v>
      </c>
      <c r="C67" s="12">
        <f t="shared" ref="C67:M67" si="7">MIN(D10:D17)</f>
        <v>9055937.5827418789</v>
      </c>
      <c r="D67" s="12">
        <f t="shared" si="7"/>
        <v>10146942.357473075</v>
      </c>
      <c r="E67" s="12">
        <f t="shared" si="7"/>
        <v>9284724.4118741117</v>
      </c>
      <c r="F67" s="12">
        <f t="shared" si="7"/>
        <v>10011138.601719223</v>
      </c>
      <c r="G67" s="12">
        <f t="shared" si="7"/>
        <v>11149435.036687834</v>
      </c>
      <c r="H67" s="12">
        <f t="shared" si="7"/>
        <v>10299317.709379356</v>
      </c>
      <c r="I67" s="12">
        <f t="shared" si="7"/>
        <v>9788242.7589356005</v>
      </c>
      <c r="J67" s="12">
        <f t="shared" si="7"/>
        <v>10663595.539210293</v>
      </c>
      <c r="K67" s="12">
        <f t="shared" si="7"/>
        <v>9885368.5785908587</v>
      </c>
      <c r="L67" s="12">
        <f t="shared" si="7"/>
        <v>10470487.738600034</v>
      </c>
      <c r="M67" s="12">
        <f t="shared" si="7"/>
        <v>9030134.4847685881</v>
      </c>
      <c r="N67" s="12"/>
    </row>
    <row r="68" spans="1:25" x14ac:dyDescent="0.55000000000000004">
      <c r="A68" s="11" t="s">
        <v>31</v>
      </c>
      <c r="B68" s="12">
        <f>MAX(C10:C17)</f>
        <v>10738179.650932442</v>
      </c>
      <c r="C68" s="12">
        <f t="shared" ref="C68:M68" si="8">MAX(D10:D17)</f>
        <v>10743708.225571161</v>
      </c>
      <c r="D68" s="12">
        <f t="shared" si="8"/>
        <v>11958329.037914967</v>
      </c>
      <c r="E68" s="12">
        <f t="shared" si="8"/>
        <v>12230473.169062009</v>
      </c>
      <c r="F68" s="12">
        <f t="shared" si="8"/>
        <v>12152402.108761074</v>
      </c>
      <c r="G68" s="12">
        <f t="shared" si="8"/>
        <v>13501957.104541706</v>
      </c>
      <c r="H68" s="12">
        <f t="shared" si="8"/>
        <v>12194971.260669509</v>
      </c>
      <c r="I68" s="12">
        <f t="shared" si="8"/>
        <v>12729545.063789969</v>
      </c>
      <c r="J68" s="12">
        <f t="shared" si="8"/>
        <v>12173912.885420568</v>
      </c>
      <c r="K68" s="12">
        <f t="shared" si="8"/>
        <v>11803918.420064678</v>
      </c>
      <c r="L68" s="12">
        <f t="shared" si="8"/>
        <v>11428707.642575298</v>
      </c>
      <c r="M68" s="12">
        <f t="shared" si="8"/>
        <v>11947549.9407843</v>
      </c>
      <c r="N68" s="12"/>
    </row>
    <row r="69" spans="1:25" x14ac:dyDescent="0.55000000000000004">
      <c r="A69" s="11" t="s">
        <v>32</v>
      </c>
      <c r="B69" s="12">
        <f>AVERAGE(C13:C17)</f>
        <v>9873373.9336090982</v>
      </c>
      <c r="C69" s="12">
        <f t="shared" ref="C69:M69" si="9">AVERAGE(D13:D17)</f>
        <v>10117740.475424726</v>
      </c>
      <c r="D69" s="12">
        <f t="shared" si="9"/>
        <v>11393617.327680074</v>
      </c>
      <c r="E69" s="12">
        <f t="shared" si="9"/>
        <v>10854890.993426476</v>
      </c>
      <c r="F69" s="12">
        <f t="shared" si="9"/>
        <v>11397096.977520976</v>
      </c>
      <c r="G69" s="12">
        <f t="shared" si="9"/>
        <v>12845979.001034483</v>
      </c>
      <c r="H69" s="12">
        <f t="shared" si="9"/>
        <v>11503867.681638092</v>
      </c>
      <c r="I69" s="12">
        <f t="shared" si="9"/>
        <v>11488888.407937927</v>
      </c>
      <c r="J69" s="12">
        <f t="shared" si="9"/>
        <v>11471645.047689218</v>
      </c>
      <c r="K69" s="12">
        <f t="shared" si="9"/>
        <v>11061378.91360933</v>
      </c>
      <c r="L69" s="12">
        <f t="shared" si="9"/>
        <v>10916855.864094447</v>
      </c>
      <c r="M69" s="12">
        <f t="shared" si="9"/>
        <v>10732420.248260286</v>
      </c>
      <c r="N69" s="12"/>
    </row>
    <row r="74" spans="1:25" x14ac:dyDescent="0.55000000000000004">
      <c r="B74" s="11">
        <v>1</v>
      </c>
      <c r="C74" s="11">
        <v>1</v>
      </c>
      <c r="D74" s="12" t="e">
        <f>INDEX($C$7:$N$19,MATCH(B74,$A$7:$A$19),MATCH(C74,$C$4:$N$4))</f>
        <v>#N/A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 t="e">
        <f t="shared" ref="D75:D138" si="10">INDEX($C$7:$N$19,MATCH(B75,$A$7:$A$19),MATCH(C75,$C$4:$N$4))</f>
        <v>#N/A</v>
      </c>
      <c r="E75" s="11" t="str">
        <f t="shared" ref="E75:E138" si="11">_xlfn.XLOOKUP(B75,$A$7:$A$19,$B$7:$B$19)</f>
        <v>14/15</v>
      </c>
      <c r="F75" s="11" t="str">
        <f t="shared" ref="F75:F138" si="12">_xlfn.XLOOKUP(C75,$C$4:$N$4,$C$6:$N$6)</f>
        <v>Nov</v>
      </c>
      <c r="G75" s="11" t="str">
        <f t="shared" ref="G75:G138" si="13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 t="e">
        <f t="shared" si="10"/>
        <v>#N/A</v>
      </c>
      <c r="E76" s="11" t="str">
        <f t="shared" si="11"/>
        <v>14/15</v>
      </c>
      <c r="F76" s="11" t="str">
        <f t="shared" si="12"/>
        <v>Dec</v>
      </c>
      <c r="G76" s="11" t="str">
        <f t="shared" si="13"/>
        <v>Dec'14/15</v>
      </c>
      <c r="M76" s="6" t="s">
        <v>15</v>
      </c>
      <c r="N76" s="5" t="e">
        <f>C7</f>
        <v>#N/A</v>
      </c>
      <c r="O76" s="5" t="e">
        <f t="shared" ref="O76:Y88" si="14">N76+D7</f>
        <v>#N/A</v>
      </c>
      <c r="P76" s="5" t="e">
        <f t="shared" si="14"/>
        <v>#N/A</v>
      </c>
      <c r="Q76" s="5" t="e">
        <f t="shared" si="14"/>
        <v>#N/A</v>
      </c>
      <c r="R76" s="5" t="e">
        <f t="shared" si="14"/>
        <v>#N/A</v>
      </c>
      <c r="S76" s="5" t="e">
        <f t="shared" si="14"/>
        <v>#N/A</v>
      </c>
      <c r="T76" s="5" t="e">
        <f t="shared" si="14"/>
        <v>#N/A</v>
      </c>
      <c r="U76" s="5" t="e">
        <f t="shared" si="14"/>
        <v>#N/A</v>
      </c>
      <c r="V76" s="5" t="e">
        <f t="shared" si="14"/>
        <v>#N/A</v>
      </c>
      <c r="W76" s="5" t="e">
        <f t="shared" si="14"/>
        <v>#N/A</v>
      </c>
      <c r="X76" s="5" t="e">
        <f t="shared" si="14"/>
        <v>#N/A</v>
      </c>
      <c r="Y76" s="5" t="e">
        <f t="shared" si="14"/>
        <v>#N/A</v>
      </c>
    </row>
    <row r="77" spans="1:25" x14ac:dyDescent="0.55000000000000004">
      <c r="B77" s="11">
        <v>1</v>
      </c>
      <c r="C77" s="11">
        <v>4</v>
      </c>
      <c r="D77" s="12" t="e">
        <f t="shared" si="10"/>
        <v>#N/A</v>
      </c>
      <c r="E77" s="11" t="str">
        <f t="shared" si="11"/>
        <v>14/15</v>
      </c>
      <c r="F77" s="11" t="str">
        <f t="shared" si="12"/>
        <v>Jan</v>
      </c>
      <c r="G77" s="11" t="str">
        <f t="shared" si="13"/>
        <v>Jan'14/15</v>
      </c>
      <c r="M77" s="6" t="s">
        <v>16</v>
      </c>
      <c r="N77" s="5" t="e">
        <f t="shared" ref="N77:N88" si="15">C8</f>
        <v>#N/A</v>
      </c>
      <c r="O77" s="5" t="e">
        <f t="shared" si="14"/>
        <v>#N/A</v>
      </c>
      <c r="P77" s="5" t="e">
        <f t="shared" si="14"/>
        <v>#N/A</v>
      </c>
      <c r="Q77" s="5" t="e">
        <f t="shared" si="14"/>
        <v>#N/A</v>
      </c>
      <c r="R77" s="5" t="e">
        <f t="shared" si="14"/>
        <v>#N/A</v>
      </c>
      <c r="S77" s="5" t="e">
        <f t="shared" si="14"/>
        <v>#N/A</v>
      </c>
      <c r="T77" s="5" t="e">
        <f t="shared" si="14"/>
        <v>#N/A</v>
      </c>
      <c r="U77" s="5" t="e">
        <f t="shared" si="14"/>
        <v>#N/A</v>
      </c>
      <c r="V77" s="5" t="e">
        <f t="shared" si="14"/>
        <v>#N/A</v>
      </c>
      <c r="W77" s="5" t="e">
        <f t="shared" si="14"/>
        <v>#N/A</v>
      </c>
      <c r="X77" s="5" t="e">
        <f t="shared" si="14"/>
        <v>#N/A</v>
      </c>
      <c r="Y77" s="5" t="e">
        <f t="shared" si="14"/>
        <v>#N/A</v>
      </c>
    </row>
    <row r="78" spans="1:25" x14ac:dyDescent="0.55000000000000004">
      <c r="B78" s="11">
        <v>1</v>
      </c>
      <c r="C78" s="11">
        <v>5</v>
      </c>
      <c r="D78" s="12" t="e">
        <f t="shared" si="10"/>
        <v>#N/A</v>
      </c>
      <c r="E78" s="11" t="str">
        <f t="shared" si="11"/>
        <v>14/15</v>
      </c>
      <c r="F78" s="11" t="str">
        <f t="shared" si="12"/>
        <v>Feb</v>
      </c>
      <c r="G78" s="11" t="str">
        <f t="shared" si="13"/>
        <v>Feb'14/15</v>
      </c>
      <c r="M78" s="6" t="s">
        <v>17</v>
      </c>
      <c r="N78" s="5" t="e">
        <f t="shared" si="15"/>
        <v>#N/A</v>
      </c>
      <c r="O78" s="5" t="e">
        <f t="shared" si="14"/>
        <v>#N/A</v>
      </c>
      <c r="P78" s="5" t="e">
        <f t="shared" si="14"/>
        <v>#N/A</v>
      </c>
      <c r="Q78" s="5" t="e">
        <f t="shared" si="14"/>
        <v>#N/A</v>
      </c>
      <c r="R78" s="5" t="e">
        <f t="shared" si="14"/>
        <v>#N/A</v>
      </c>
      <c r="S78" s="5" t="e">
        <f t="shared" si="14"/>
        <v>#N/A</v>
      </c>
      <c r="T78" s="5" t="e">
        <f t="shared" si="14"/>
        <v>#N/A</v>
      </c>
      <c r="U78" s="5" t="e">
        <f t="shared" si="14"/>
        <v>#N/A</v>
      </c>
      <c r="V78" s="5" t="e">
        <f t="shared" si="14"/>
        <v>#N/A</v>
      </c>
      <c r="W78" s="5" t="e">
        <f t="shared" si="14"/>
        <v>#N/A</v>
      </c>
      <c r="X78" s="5" t="e">
        <f t="shared" si="14"/>
        <v>#N/A</v>
      </c>
      <c r="Y78" s="5" t="e">
        <f t="shared" si="14"/>
        <v>#N/A</v>
      </c>
    </row>
    <row r="79" spans="1:25" x14ac:dyDescent="0.55000000000000004">
      <c r="B79" s="11">
        <v>1</v>
      </c>
      <c r="C79" s="11">
        <v>6</v>
      </c>
      <c r="D79" s="12" t="e">
        <f t="shared" si="10"/>
        <v>#N/A</v>
      </c>
      <c r="E79" s="11" t="str">
        <f t="shared" si="11"/>
        <v>14/15</v>
      </c>
      <c r="F79" s="11" t="str">
        <f t="shared" si="12"/>
        <v>Mar</v>
      </c>
      <c r="G79" s="11" t="str">
        <f t="shared" si="13"/>
        <v>Mar'14/15</v>
      </c>
      <c r="M79" s="6" t="s">
        <v>18</v>
      </c>
      <c r="N79" s="5">
        <f t="shared" si="15"/>
        <v>8630970.4682461824</v>
      </c>
      <c r="O79" s="5">
        <f t="shared" si="14"/>
        <v>17686908.050988063</v>
      </c>
      <c r="P79" s="5">
        <f t="shared" si="14"/>
        <v>27833850.408461139</v>
      </c>
      <c r="Q79" s="5">
        <f t="shared" si="14"/>
        <v>38520319.900362365</v>
      </c>
      <c r="R79" s="5">
        <f t="shared" si="14"/>
        <v>48553543.679951742</v>
      </c>
      <c r="S79" s="5">
        <f t="shared" si="14"/>
        <v>59702978.716639578</v>
      </c>
      <c r="T79" s="5">
        <f t="shared" si="14"/>
        <v>70002296.426018938</v>
      </c>
      <c r="U79" s="5">
        <f t="shared" si="14"/>
        <v>79790539.184954539</v>
      </c>
      <c r="V79" s="5">
        <f t="shared" si="14"/>
        <v>90544458.252846837</v>
      </c>
      <c r="W79" s="5">
        <f t="shared" si="14"/>
        <v>100429826.83143769</v>
      </c>
      <c r="X79" s="5">
        <f t="shared" si="14"/>
        <v>111547683.3770877</v>
      </c>
      <c r="Y79" s="5">
        <f t="shared" si="14"/>
        <v>121934512.93760729</v>
      </c>
    </row>
    <row r="80" spans="1:25" x14ac:dyDescent="0.55000000000000004">
      <c r="B80" s="11">
        <v>1</v>
      </c>
      <c r="C80" s="11">
        <v>7</v>
      </c>
      <c r="D80" s="12" t="e">
        <f t="shared" si="10"/>
        <v>#N/A</v>
      </c>
      <c r="E80" s="11" t="str">
        <f t="shared" si="11"/>
        <v>14/15</v>
      </c>
      <c r="F80" s="11" t="str">
        <f t="shared" si="12"/>
        <v>Apr</v>
      </c>
      <c r="G80" s="11" t="str">
        <f t="shared" si="13"/>
        <v>Apr'14/15</v>
      </c>
      <c r="M80" s="6" t="s">
        <v>19</v>
      </c>
      <c r="N80" s="5">
        <f t="shared" si="15"/>
        <v>10671215.671042973</v>
      </c>
      <c r="O80" s="5">
        <f t="shared" si="14"/>
        <v>21414923.896614134</v>
      </c>
      <c r="P80" s="5">
        <f t="shared" si="14"/>
        <v>32361229.093511835</v>
      </c>
      <c r="Q80" s="5">
        <f t="shared" si="14"/>
        <v>43764127.929951109</v>
      </c>
      <c r="R80" s="5">
        <f t="shared" si="14"/>
        <v>54634797.960931264</v>
      </c>
      <c r="S80" s="5">
        <f t="shared" si="14"/>
        <v>65990707.305568457</v>
      </c>
      <c r="T80" s="5">
        <f t="shared" si="14"/>
        <v>76999857.91940859</v>
      </c>
      <c r="U80" s="5">
        <f t="shared" si="14"/>
        <v>89301976.970859557</v>
      </c>
      <c r="V80" s="5">
        <f t="shared" si="14"/>
        <v>100726783.6548357</v>
      </c>
      <c r="W80" s="5">
        <f t="shared" si="14"/>
        <v>112339288.37983614</v>
      </c>
      <c r="X80" s="5">
        <f t="shared" si="14"/>
        <v>123475862.07359095</v>
      </c>
      <c r="Y80" s="5">
        <f t="shared" si="14"/>
        <v>134088520.40035076</v>
      </c>
    </row>
    <row r="81" spans="2:25" x14ac:dyDescent="0.55000000000000004">
      <c r="B81" s="11">
        <v>1</v>
      </c>
      <c r="C81" s="11">
        <v>8</v>
      </c>
      <c r="D81" s="12" t="e">
        <f t="shared" si="10"/>
        <v>#N/A</v>
      </c>
      <c r="E81" s="11" t="str">
        <f t="shared" si="11"/>
        <v>14/15</v>
      </c>
      <c r="F81" s="11" t="str">
        <f t="shared" si="12"/>
        <v>May</v>
      </c>
      <c r="G81" s="11" t="str">
        <f t="shared" si="13"/>
        <v>May'14/15</v>
      </c>
      <c r="M81" s="6" t="s">
        <v>20</v>
      </c>
      <c r="N81" s="5">
        <f t="shared" si="15"/>
        <v>9950618.6381846797</v>
      </c>
      <c r="O81" s="5">
        <f t="shared" si="14"/>
        <v>19593803.749501161</v>
      </c>
      <c r="P81" s="5">
        <f t="shared" si="14"/>
        <v>30409536.457045928</v>
      </c>
      <c r="Q81" s="5">
        <f t="shared" si="14"/>
        <v>40614251.292344809</v>
      </c>
      <c r="R81" s="5">
        <f t="shared" si="14"/>
        <v>52144821.673423536</v>
      </c>
      <c r="S81" s="5">
        <f t="shared" si="14"/>
        <v>64291639.837528855</v>
      </c>
      <c r="T81" s="5">
        <f t="shared" si="14"/>
        <v>75553131.828882247</v>
      </c>
      <c r="U81" s="5">
        <f t="shared" si="14"/>
        <v>86273022.582437247</v>
      </c>
      <c r="V81" s="5">
        <f t="shared" si="14"/>
        <v>96936618.121647537</v>
      </c>
      <c r="W81" s="5">
        <f t="shared" si="14"/>
        <v>107389227.43643799</v>
      </c>
      <c r="X81" s="5">
        <f t="shared" si="14"/>
        <v>117944947.15502131</v>
      </c>
      <c r="Y81" s="5">
        <f t="shared" si="14"/>
        <v>129062822.60504366</v>
      </c>
    </row>
    <row r="82" spans="2:25" x14ac:dyDescent="0.55000000000000004">
      <c r="B82" s="11">
        <v>1</v>
      </c>
      <c r="C82" s="11">
        <v>9</v>
      </c>
      <c r="D82" s="12" t="e">
        <f t="shared" si="10"/>
        <v>#N/A</v>
      </c>
      <c r="E82" s="11" t="str">
        <f t="shared" si="11"/>
        <v>14/15</v>
      </c>
      <c r="F82" s="11" t="str">
        <f t="shared" si="12"/>
        <v>Jun</v>
      </c>
      <c r="G82" s="11" t="str">
        <f t="shared" si="13"/>
        <v>Jun'14/15</v>
      </c>
      <c r="M82" s="6" t="s">
        <v>21</v>
      </c>
      <c r="N82" s="5">
        <f t="shared" si="15"/>
        <v>10162602.207926374</v>
      </c>
      <c r="O82" s="5">
        <f t="shared" si="14"/>
        <v>20701426.630814016</v>
      </c>
      <c r="P82" s="5">
        <f t="shared" si="14"/>
        <v>32193501.431875728</v>
      </c>
      <c r="Q82" s="5">
        <f t="shared" si="14"/>
        <v>42757391.676227562</v>
      </c>
      <c r="R82" s="5">
        <f t="shared" si="14"/>
        <v>54374170.817421928</v>
      </c>
      <c r="S82" s="5">
        <f t="shared" si="14"/>
        <v>67062446.016376041</v>
      </c>
      <c r="T82" s="5">
        <f t="shared" si="14"/>
        <v>78820227.919432685</v>
      </c>
      <c r="U82" s="5">
        <f t="shared" si="14"/>
        <v>89343431.992498383</v>
      </c>
      <c r="V82" s="5">
        <f t="shared" si="14"/>
        <v>100979943.93031166</v>
      </c>
      <c r="W82" s="5">
        <f t="shared" si="14"/>
        <v>112087584.48477685</v>
      </c>
      <c r="X82" s="5">
        <f t="shared" si="14"/>
        <v>122584882.87779266</v>
      </c>
      <c r="Y82" s="5">
        <f t="shared" si="14"/>
        <v>133371814.28349552</v>
      </c>
    </row>
    <row r="83" spans="2:25" x14ac:dyDescent="0.55000000000000004">
      <c r="B83" s="11">
        <v>1</v>
      </c>
      <c r="C83" s="11">
        <v>10</v>
      </c>
      <c r="D83" s="12" t="e">
        <f t="shared" si="10"/>
        <v>#N/A</v>
      </c>
      <c r="E83" s="11" t="str">
        <f t="shared" si="11"/>
        <v>14/15</v>
      </c>
      <c r="F83" s="11" t="str">
        <f t="shared" si="12"/>
        <v>Jul</v>
      </c>
      <c r="G83" s="11" t="str">
        <f t="shared" si="13"/>
        <v>Jul'14/15</v>
      </c>
      <c r="M83" s="6" t="s">
        <v>22</v>
      </c>
      <c r="N83" s="5">
        <f t="shared" si="15"/>
        <v>9949518.1549459249</v>
      </c>
      <c r="O83" s="5">
        <f t="shared" si="14"/>
        <v>19753585.88205079</v>
      </c>
      <c r="P83" s="5">
        <f t="shared" si="14"/>
        <v>31711914.919965759</v>
      </c>
      <c r="Q83" s="5">
        <f t="shared" si="14"/>
        <v>43942388.08902777</v>
      </c>
      <c r="R83" s="5">
        <f t="shared" si="14"/>
        <v>55379237.891896419</v>
      </c>
      <c r="S83" s="5">
        <f t="shared" si="14"/>
        <v>68881194.996438131</v>
      </c>
      <c r="T83" s="5">
        <f t="shared" si="14"/>
        <v>79934198.490274742</v>
      </c>
      <c r="U83" s="5">
        <f t="shared" si="14"/>
        <v>91091666.224197194</v>
      </c>
      <c r="V83" s="5">
        <f t="shared" si="14"/>
        <v>102669549.16548437</v>
      </c>
      <c r="W83" s="5">
        <f t="shared" si="14"/>
        <v>112866063.91233072</v>
      </c>
      <c r="X83" s="5">
        <f t="shared" si="14"/>
        <v>123336551.65093075</v>
      </c>
      <c r="Y83" s="5">
        <f t="shared" si="14"/>
        <v>133861327.57527748</v>
      </c>
    </row>
    <row r="84" spans="2:25" x14ac:dyDescent="0.55000000000000004">
      <c r="B84" s="11">
        <v>1</v>
      </c>
      <c r="C84" s="11">
        <v>11</v>
      </c>
      <c r="D84" s="12" t="e">
        <f t="shared" si="10"/>
        <v>#N/A</v>
      </c>
      <c r="E84" s="11" t="str">
        <f t="shared" si="11"/>
        <v>14/15</v>
      </c>
      <c r="F84" s="11" t="str">
        <f t="shared" si="12"/>
        <v>Aug</v>
      </c>
      <c r="G84" s="11" t="str">
        <f t="shared" si="13"/>
        <v>Aug'14/15</v>
      </c>
      <c r="H84" s="11" t="s">
        <v>34</v>
      </c>
      <c r="I84" s="11" t="s">
        <v>44</v>
      </c>
      <c r="M84" s="6" t="s">
        <v>23</v>
      </c>
      <c r="N84" s="5">
        <f t="shared" si="15"/>
        <v>9284589.2131166421</v>
      </c>
      <c r="O84" s="5">
        <f t="shared" si="14"/>
        <v>19293805.69626084</v>
      </c>
      <c r="P84" s="5">
        <f t="shared" si="14"/>
        <v>29730089.349332236</v>
      </c>
      <c r="Q84" s="5">
        <f t="shared" si="14"/>
        <v>39014813.761206344</v>
      </c>
      <c r="R84" s="5">
        <f t="shared" si="14"/>
        <v>49025952.362925567</v>
      </c>
      <c r="S84" s="5">
        <f t="shared" si="14"/>
        <v>60817601.493126109</v>
      </c>
      <c r="T84" s="5">
        <f t="shared" si="14"/>
        <v>71285752.835025251</v>
      </c>
      <c r="U84" s="5">
        <f t="shared" si="14"/>
        <v>82052943.588540688</v>
      </c>
      <c r="V84" s="5">
        <f t="shared" si="14"/>
        <v>92782480.359047607</v>
      </c>
      <c r="W84" s="5">
        <f t="shared" si="14"/>
        <v>103295545.20298745</v>
      </c>
      <c r="X84" s="5">
        <f t="shared" si="14"/>
        <v>114055974.83119078</v>
      </c>
      <c r="Y84" s="5">
        <f t="shared" si="14"/>
        <v>123086109.31595936</v>
      </c>
    </row>
    <row r="85" spans="2:25" x14ac:dyDescent="0.55000000000000004">
      <c r="B85" s="11">
        <v>1</v>
      </c>
      <c r="C85" s="11">
        <v>12</v>
      </c>
      <c r="D85" s="12" t="e">
        <f t="shared" si="10"/>
        <v>#N/A</v>
      </c>
      <c r="E85" s="11" t="str">
        <f t="shared" si="11"/>
        <v>14/15</v>
      </c>
      <c r="F85" s="11" t="str">
        <f t="shared" si="12"/>
        <v>Sep</v>
      </c>
      <c r="G85" s="11" t="str">
        <f t="shared" si="13"/>
        <v>Sep'14/15</v>
      </c>
      <c r="H85" s="11" t="str">
        <f>G85</f>
        <v>Sep'14/15</v>
      </c>
      <c r="I85" s="11" t="e">
        <f>SUM(D74:D85)/1000000</f>
        <v>#N/A</v>
      </c>
      <c r="M85" s="6" t="s">
        <v>24</v>
      </c>
      <c r="N85" s="5">
        <f t="shared" si="15"/>
        <v>9231980.4411241002</v>
      </c>
      <c r="O85" s="5">
        <f t="shared" si="14"/>
        <v>19808021.998496786</v>
      </c>
      <c r="P85" s="5">
        <f t="shared" si="14"/>
        <v>31482104.629754849</v>
      </c>
      <c r="Q85" s="5">
        <f t="shared" si="14"/>
        <v>43347140.44226943</v>
      </c>
      <c r="R85" s="5">
        <f t="shared" si="14"/>
        <v>55115455.675330997</v>
      </c>
      <c r="S85" s="5">
        <f t="shared" si="14"/>
        <v>68285692.456640944</v>
      </c>
      <c r="T85" s="5">
        <f t="shared" si="14"/>
        <v>80480663.717310458</v>
      </c>
      <c r="U85" s="5">
        <f t="shared" si="14"/>
        <v>92747698.132706553</v>
      </c>
      <c r="V85" s="5">
        <f t="shared" si="14"/>
        <v>103988078.83612469</v>
      </c>
      <c r="W85" s="5">
        <f t="shared" si="14"/>
        <v>115791997.25618936</v>
      </c>
      <c r="X85" s="5">
        <f t="shared" si="14"/>
        <v>127220704.89876465</v>
      </c>
      <c r="Y85" s="5">
        <f t="shared" si="14"/>
        <v>138593414.38446358</v>
      </c>
    </row>
    <row r="86" spans="2:25" x14ac:dyDescent="0.55000000000000004">
      <c r="B86" s="11">
        <f>B74+1</f>
        <v>2</v>
      </c>
      <c r="C86" s="11">
        <f>C74</f>
        <v>1</v>
      </c>
      <c r="D86" s="12" t="e">
        <f t="shared" si="10"/>
        <v>#N/A</v>
      </c>
      <c r="E86" s="11" t="str">
        <f t="shared" si="11"/>
        <v>15/16</v>
      </c>
      <c r="F86" s="11" t="str">
        <f t="shared" si="12"/>
        <v>Oct</v>
      </c>
      <c r="G86" s="11" t="str">
        <f t="shared" si="13"/>
        <v>Oct'15/16</v>
      </c>
      <c r="H86" s="11" t="str">
        <f t="shared" ref="H86:H149" si="16">G86</f>
        <v>Oct'15/16</v>
      </c>
      <c r="I86" s="11" t="e">
        <f t="shared" ref="I86:I149" si="17">SUM(D75:D86)/1000000</f>
        <v>#N/A</v>
      </c>
      <c r="M86" s="6" t="s">
        <v>25</v>
      </c>
      <c r="N86" s="5">
        <f t="shared" si="15"/>
        <v>10738179.650932442</v>
      </c>
      <c r="O86" s="5">
        <f t="shared" si="14"/>
        <v>20398731.837546676</v>
      </c>
      <c r="P86" s="5">
        <f t="shared" si="14"/>
        <v>31806048.352640904</v>
      </c>
      <c r="Q86" s="5">
        <f t="shared" si="14"/>
        <v>42136379.681970753</v>
      </c>
      <c r="R86" s="5">
        <f t="shared" si="14"/>
        <v>54288781.790731825</v>
      </c>
      <c r="S86" s="5">
        <f t="shared" si="14"/>
        <v>67366558.580897927</v>
      </c>
      <c r="T86" s="5">
        <f t="shared" si="14"/>
        <v>79411988.989626482</v>
      </c>
      <c r="U86" s="5">
        <f t="shared" si="14"/>
        <v>92141534.053416446</v>
      </c>
      <c r="V86" s="5">
        <f t="shared" si="14"/>
        <v>104315446.93883702</v>
      </c>
      <c r="W86" s="5">
        <f t="shared" si="14"/>
        <v>116001202.9415676</v>
      </c>
      <c r="X86" s="5">
        <f t="shared" si="14"/>
        <v>127428558.85964537</v>
      </c>
      <c r="Y86" s="5">
        <f t="shared" si="14"/>
        <v>139376108.80042967</v>
      </c>
    </row>
    <row r="87" spans="2:25" x14ac:dyDescent="0.55000000000000004">
      <c r="B87" s="11">
        <f t="shared" ref="B87:B150" si="18">B75+1</f>
        <v>2</v>
      </c>
      <c r="C87" s="11">
        <f t="shared" ref="C87:C150" si="19">C75</f>
        <v>2</v>
      </c>
      <c r="D87" s="12" t="e">
        <f t="shared" si="10"/>
        <v>#N/A</v>
      </c>
      <c r="E87" s="11" t="str">
        <f t="shared" si="11"/>
        <v>15/16</v>
      </c>
      <c r="F87" s="11" t="str">
        <f t="shared" si="12"/>
        <v>Nov</v>
      </c>
      <c r="G87" s="11" t="str">
        <f t="shared" si="13"/>
        <v>Nov'15/16</v>
      </c>
      <c r="H87" s="11" t="str">
        <f t="shared" si="16"/>
        <v>Nov'15/16</v>
      </c>
      <c r="I87" s="11" t="e">
        <f t="shared" si="17"/>
        <v>#N/A</v>
      </c>
      <c r="M87" s="6" t="s">
        <v>26</v>
      </c>
      <c r="N87" s="5">
        <f t="shared" si="15"/>
        <v>10619764.67466308</v>
      </c>
      <c r="O87" s="5">
        <f t="shared" si="14"/>
        <v>20588229.003294166</v>
      </c>
      <c r="P87" s="5">
        <f t="shared" si="14"/>
        <v>31415331.529308874</v>
      </c>
      <c r="Q87" s="5">
        <f t="shared" si="14"/>
        <v>42132845.195414655</v>
      </c>
      <c r="R87" s="5">
        <f t="shared" si="14"/>
        <v>52466992.832913041</v>
      </c>
      <c r="S87" s="5">
        <f t="shared" si="14"/>
        <v>64175870.09731207</v>
      </c>
      <c r="T87" s="5">
        <f t="shared" si="14"/>
        <v>76434175.087443143</v>
      </c>
      <c r="U87" s="5" t="e">
        <f t="shared" si="14"/>
        <v>#N/A</v>
      </c>
      <c r="V87" s="5" t="e">
        <f t="shared" si="14"/>
        <v>#N/A</v>
      </c>
      <c r="W87" s="5" t="e">
        <f t="shared" si="14"/>
        <v>#N/A</v>
      </c>
      <c r="X87" s="5" t="e">
        <f t="shared" si="14"/>
        <v>#N/A</v>
      </c>
      <c r="Y87" s="5" t="e">
        <f t="shared" si="14"/>
        <v>#N/A</v>
      </c>
    </row>
    <row r="88" spans="2:25" x14ac:dyDescent="0.55000000000000004">
      <c r="B88" s="11">
        <f t="shared" si="18"/>
        <v>2</v>
      </c>
      <c r="C88" s="11">
        <f t="shared" si="19"/>
        <v>3</v>
      </c>
      <c r="D88" s="12" t="e">
        <f t="shared" si="10"/>
        <v>#N/A</v>
      </c>
      <c r="E88" s="11" t="str">
        <f t="shared" si="11"/>
        <v>15/16</v>
      </c>
      <c r="F88" s="11" t="str">
        <f t="shared" si="12"/>
        <v>Dec</v>
      </c>
      <c r="G88" s="11" t="str">
        <f t="shared" si="13"/>
        <v>Dec'15/16</v>
      </c>
      <c r="H88" s="11" t="str">
        <f t="shared" si="16"/>
        <v>Dec'15/16</v>
      </c>
      <c r="I88" s="11" t="e">
        <f t="shared" si="17"/>
        <v>#N/A</v>
      </c>
      <c r="M88" s="6" t="s">
        <v>27</v>
      </c>
      <c r="N88" s="5" t="e">
        <f t="shared" si="15"/>
        <v>#N/A</v>
      </c>
      <c r="O88" s="5" t="e">
        <f t="shared" si="14"/>
        <v>#N/A</v>
      </c>
      <c r="P88" s="5" t="e">
        <f t="shared" si="14"/>
        <v>#N/A</v>
      </c>
      <c r="Q88" s="5" t="e">
        <f t="shared" si="14"/>
        <v>#N/A</v>
      </c>
      <c r="R88" s="5" t="e">
        <f t="shared" si="14"/>
        <v>#N/A</v>
      </c>
      <c r="S88" s="5" t="e">
        <f t="shared" si="14"/>
        <v>#N/A</v>
      </c>
      <c r="T88" s="5" t="e">
        <f t="shared" si="14"/>
        <v>#N/A</v>
      </c>
      <c r="U88" s="5" t="e">
        <f t="shared" si="14"/>
        <v>#N/A</v>
      </c>
      <c r="V88" s="5" t="e">
        <f t="shared" si="14"/>
        <v>#N/A</v>
      </c>
      <c r="W88" s="5" t="e">
        <f t="shared" si="14"/>
        <v>#N/A</v>
      </c>
      <c r="X88" s="5" t="e">
        <f t="shared" si="14"/>
        <v>#N/A</v>
      </c>
      <c r="Y88" s="5" t="e">
        <f t="shared" si="14"/>
        <v>#N/A</v>
      </c>
    </row>
    <row r="89" spans="2:25" x14ac:dyDescent="0.55000000000000004">
      <c r="B89" s="11">
        <f t="shared" si="18"/>
        <v>2</v>
      </c>
      <c r="C89" s="11">
        <f t="shared" si="19"/>
        <v>4</v>
      </c>
      <c r="D89" s="12" t="e">
        <f t="shared" si="10"/>
        <v>#N/A</v>
      </c>
      <c r="E89" s="11" t="str">
        <f t="shared" si="11"/>
        <v>15/16</v>
      </c>
      <c r="F89" s="11" t="str">
        <f t="shared" si="12"/>
        <v>Jan</v>
      </c>
      <c r="G89" s="11" t="str">
        <f t="shared" si="13"/>
        <v>Jan'15/16</v>
      </c>
      <c r="H89" s="11" t="str">
        <f t="shared" si="16"/>
        <v>Jan'15/16</v>
      </c>
      <c r="I89" s="11" t="e">
        <f t="shared" si="17"/>
        <v>#N/A</v>
      </c>
    </row>
    <row r="90" spans="2:25" x14ac:dyDescent="0.55000000000000004">
      <c r="B90" s="11">
        <f t="shared" si="18"/>
        <v>2</v>
      </c>
      <c r="C90" s="11">
        <f t="shared" si="19"/>
        <v>5</v>
      </c>
      <c r="D90" s="12" t="e">
        <f t="shared" si="10"/>
        <v>#N/A</v>
      </c>
      <c r="E90" s="11" t="str">
        <f t="shared" si="11"/>
        <v>15/16</v>
      </c>
      <c r="F90" s="11" t="str">
        <f t="shared" si="12"/>
        <v>Feb</v>
      </c>
      <c r="G90" s="11" t="str">
        <f t="shared" si="13"/>
        <v>Feb'15/16</v>
      </c>
      <c r="H90" s="11" t="str">
        <f t="shared" si="16"/>
        <v>Feb'15/16</v>
      </c>
      <c r="I90" s="11" t="e">
        <f t="shared" si="17"/>
        <v>#N/A</v>
      </c>
    </row>
    <row r="91" spans="2:25" x14ac:dyDescent="0.55000000000000004">
      <c r="B91" s="11">
        <f t="shared" si="18"/>
        <v>2</v>
      </c>
      <c r="C91" s="11">
        <f t="shared" si="19"/>
        <v>6</v>
      </c>
      <c r="D91" s="12" t="e">
        <f t="shared" si="10"/>
        <v>#N/A</v>
      </c>
      <c r="E91" s="11" t="str">
        <f t="shared" si="11"/>
        <v>15/16</v>
      </c>
      <c r="F91" s="11" t="str">
        <f t="shared" si="12"/>
        <v>Mar</v>
      </c>
      <c r="G91" s="11" t="str">
        <f t="shared" si="13"/>
        <v>Mar'15/16</v>
      </c>
      <c r="H91" s="11" t="str">
        <f t="shared" si="16"/>
        <v>Mar'15/16</v>
      </c>
      <c r="I91" s="11" t="e">
        <f t="shared" si="17"/>
        <v>#N/A</v>
      </c>
    </row>
    <row r="92" spans="2:25" x14ac:dyDescent="0.55000000000000004">
      <c r="B92" s="11">
        <f t="shared" si="18"/>
        <v>2</v>
      </c>
      <c r="C92" s="11">
        <f t="shared" si="19"/>
        <v>7</v>
      </c>
      <c r="D92" s="12" t="e">
        <f t="shared" si="10"/>
        <v>#N/A</v>
      </c>
      <c r="E92" s="11" t="str">
        <f t="shared" si="11"/>
        <v>15/16</v>
      </c>
      <c r="F92" s="11" t="str">
        <f t="shared" si="12"/>
        <v>Apr</v>
      </c>
      <c r="G92" s="11" t="str">
        <f t="shared" si="13"/>
        <v>Apr'15/16</v>
      </c>
      <c r="H92" s="11" t="str">
        <f t="shared" si="16"/>
        <v>Apr'15/16</v>
      </c>
      <c r="I92" s="11" t="e">
        <f t="shared" si="17"/>
        <v>#N/A</v>
      </c>
    </row>
    <row r="93" spans="2:25" x14ac:dyDescent="0.55000000000000004">
      <c r="B93" s="11">
        <f t="shared" si="18"/>
        <v>2</v>
      </c>
      <c r="C93" s="11">
        <f t="shared" si="19"/>
        <v>8</v>
      </c>
      <c r="D93" s="12" t="e">
        <f t="shared" si="10"/>
        <v>#N/A</v>
      </c>
      <c r="E93" s="11" t="str">
        <f t="shared" si="11"/>
        <v>15/16</v>
      </c>
      <c r="F93" s="11" t="str">
        <f t="shared" si="12"/>
        <v>May</v>
      </c>
      <c r="G93" s="11" t="str">
        <f t="shared" si="13"/>
        <v>May'15/16</v>
      </c>
      <c r="H93" s="11" t="str">
        <f t="shared" si="16"/>
        <v>May'15/16</v>
      </c>
      <c r="I93" s="11" t="e">
        <f t="shared" si="17"/>
        <v>#N/A</v>
      </c>
    </row>
    <row r="94" spans="2:25" x14ac:dyDescent="0.55000000000000004">
      <c r="B94" s="11">
        <f t="shared" si="18"/>
        <v>2</v>
      </c>
      <c r="C94" s="11">
        <f t="shared" si="19"/>
        <v>9</v>
      </c>
      <c r="D94" s="12" t="e">
        <f t="shared" si="10"/>
        <v>#N/A</v>
      </c>
      <c r="E94" s="11" t="str">
        <f t="shared" si="11"/>
        <v>15/16</v>
      </c>
      <c r="F94" s="11" t="str">
        <f t="shared" si="12"/>
        <v>Jun</v>
      </c>
      <c r="G94" s="11" t="str">
        <f t="shared" si="13"/>
        <v>Jun'15/16</v>
      </c>
      <c r="H94" s="11" t="str">
        <f t="shared" si="16"/>
        <v>Jun'15/16</v>
      </c>
      <c r="I94" s="11" t="e">
        <f t="shared" si="17"/>
        <v>#N/A</v>
      </c>
    </row>
    <row r="95" spans="2:25" x14ac:dyDescent="0.55000000000000004">
      <c r="B95" s="11">
        <f t="shared" si="18"/>
        <v>2</v>
      </c>
      <c r="C95" s="11">
        <f t="shared" si="19"/>
        <v>10</v>
      </c>
      <c r="D95" s="12" t="e">
        <f t="shared" si="10"/>
        <v>#N/A</v>
      </c>
      <c r="E95" s="11" t="str">
        <f t="shared" si="11"/>
        <v>15/16</v>
      </c>
      <c r="F95" s="11" t="str">
        <f t="shared" si="12"/>
        <v>Jul</v>
      </c>
      <c r="G95" s="11" t="str">
        <f t="shared" si="13"/>
        <v>Jul'15/16</v>
      </c>
      <c r="H95" s="11" t="str">
        <f t="shared" si="16"/>
        <v>Jul'15/16</v>
      </c>
      <c r="I95" s="11" t="e">
        <f t="shared" si="17"/>
        <v>#N/A</v>
      </c>
    </row>
    <row r="96" spans="2:25" x14ac:dyDescent="0.55000000000000004">
      <c r="B96" s="11">
        <f t="shared" si="18"/>
        <v>2</v>
      </c>
      <c r="C96" s="11">
        <f t="shared" si="19"/>
        <v>11</v>
      </c>
      <c r="D96" s="12" t="e">
        <f t="shared" si="10"/>
        <v>#N/A</v>
      </c>
      <c r="E96" s="11" t="str">
        <f t="shared" si="11"/>
        <v>15/16</v>
      </c>
      <c r="F96" s="11" t="str">
        <f t="shared" si="12"/>
        <v>Aug</v>
      </c>
      <c r="G96" s="11" t="str">
        <f t="shared" si="13"/>
        <v>Aug'15/16</v>
      </c>
      <c r="H96" s="11" t="str">
        <f t="shared" si="16"/>
        <v>Aug'15/16</v>
      </c>
      <c r="I96" s="11" t="e">
        <f t="shared" si="17"/>
        <v>#N/A</v>
      </c>
    </row>
    <row r="97" spans="2:9" x14ac:dyDescent="0.55000000000000004">
      <c r="B97" s="11">
        <f t="shared" si="18"/>
        <v>2</v>
      </c>
      <c r="C97" s="11">
        <f t="shared" si="19"/>
        <v>12</v>
      </c>
      <c r="D97" s="12" t="e">
        <f t="shared" si="10"/>
        <v>#N/A</v>
      </c>
      <c r="E97" s="11" t="str">
        <f t="shared" si="11"/>
        <v>15/16</v>
      </c>
      <c r="F97" s="11" t="str">
        <f t="shared" si="12"/>
        <v>Sep</v>
      </c>
      <c r="G97" s="11" t="str">
        <f t="shared" si="13"/>
        <v>Sep'15/16</v>
      </c>
      <c r="H97" s="11" t="str">
        <f t="shared" si="16"/>
        <v>Sep'15/16</v>
      </c>
      <c r="I97" s="11" t="e">
        <f t="shared" si="17"/>
        <v>#N/A</v>
      </c>
    </row>
    <row r="98" spans="2:9" x14ac:dyDescent="0.55000000000000004">
      <c r="B98" s="11">
        <f t="shared" si="18"/>
        <v>3</v>
      </c>
      <c r="C98" s="11">
        <f t="shared" si="19"/>
        <v>1</v>
      </c>
      <c r="D98" s="12" t="e">
        <f t="shared" si="10"/>
        <v>#N/A</v>
      </c>
      <c r="E98" s="11" t="str">
        <f t="shared" si="11"/>
        <v>16/17</v>
      </c>
      <c r="F98" s="11" t="str">
        <f t="shared" si="12"/>
        <v>Oct</v>
      </c>
      <c r="G98" s="11" t="str">
        <f t="shared" si="13"/>
        <v>Oct'16/17</v>
      </c>
      <c r="H98" s="11" t="str">
        <f t="shared" si="16"/>
        <v>Oct'16/17</v>
      </c>
      <c r="I98" s="11" t="e">
        <f t="shared" si="17"/>
        <v>#N/A</v>
      </c>
    </row>
    <row r="99" spans="2:9" x14ac:dyDescent="0.55000000000000004">
      <c r="B99" s="11">
        <f t="shared" si="18"/>
        <v>3</v>
      </c>
      <c r="C99" s="11">
        <f t="shared" si="19"/>
        <v>2</v>
      </c>
      <c r="D99" s="12" t="e">
        <f t="shared" si="10"/>
        <v>#N/A</v>
      </c>
      <c r="E99" s="11" t="str">
        <f t="shared" si="11"/>
        <v>16/17</v>
      </c>
      <c r="F99" s="11" t="str">
        <f t="shared" si="12"/>
        <v>Nov</v>
      </c>
      <c r="G99" s="11" t="str">
        <f t="shared" si="13"/>
        <v>Nov'16/17</v>
      </c>
      <c r="H99" s="11" t="str">
        <f t="shared" si="16"/>
        <v>Nov'16/17</v>
      </c>
      <c r="I99" s="11" t="e">
        <f t="shared" si="17"/>
        <v>#N/A</v>
      </c>
    </row>
    <row r="100" spans="2:9" x14ac:dyDescent="0.55000000000000004">
      <c r="B100" s="11">
        <f t="shared" si="18"/>
        <v>3</v>
      </c>
      <c r="C100" s="11">
        <f t="shared" si="19"/>
        <v>3</v>
      </c>
      <c r="D100" s="12" t="e">
        <f t="shared" si="10"/>
        <v>#N/A</v>
      </c>
      <c r="E100" s="11" t="str">
        <f t="shared" si="11"/>
        <v>16/17</v>
      </c>
      <c r="F100" s="11" t="str">
        <f t="shared" si="12"/>
        <v>Dec</v>
      </c>
      <c r="G100" s="11" t="str">
        <f t="shared" si="13"/>
        <v>Dec'16/17</v>
      </c>
      <c r="H100" s="11" t="str">
        <f t="shared" si="16"/>
        <v>Dec'16/17</v>
      </c>
      <c r="I100" s="11" t="e">
        <f t="shared" si="17"/>
        <v>#N/A</v>
      </c>
    </row>
    <row r="101" spans="2:9" x14ac:dyDescent="0.55000000000000004">
      <c r="B101" s="11">
        <f t="shared" si="18"/>
        <v>3</v>
      </c>
      <c r="C101" s="11">
        <f t="shared" si="19"/>
        <v>4</v>
      </c>
      <c r="D101" s="12" t="e">
        <f t="shared" si="10"/>
        <v>#N/A</v>
      </c>
      <c r="E101" s="11" t="str">
        <f t="shared" si="11"/>
        <v>16/17</v>
      </c>
      <c r="F101" s="11" t="str">
        <f t="shared" si="12"/>
        <v>Jan</v>
      </c>
      <c r="G101" s="11" t="str">
        <f t="shared" si="13"/>
        <v>Jan'16/17</v>
      </c>
      <c r="H101" s="11" t="str">
        <f t="shared" si="16"/>
        <v>Jan'16/17</v>
      </c>
      <c r="I101" s="11" t="e">
        <f t="shared" si="17"/>
        <v>#N/A</v>
      </c>
    </row>
    <row r="102" spans="2:9" x14ac:dyDescent="0.55000000000000004">
      <c r="B102" s="11">
        <f t="shared" si="18"/>
        <v>3</v>
      </c>
      <c r="C102" s="11">
        <f t="shared" si="19"/>
        <v>5</v>
      </c>
      <c r="D102" s="12" t="e">
        <f t="shared" si="10"/>
        <v>#N/A</v>
      </c>
      <c r="E102" s="11" t="str">
        <f t="shared" si="11"/>
        <v>16/17</v>
      </c>
      <c r="F102" s="11" t="str">
        <f t="shared" si="12"/>
        <v>Feb</v>
      </c>
      <c r="G102" s="11" t="str">
        <f t="shared" si="13"/>
        <v>Feb'16/17</v>
      </c>
      <c r="H102" s="11" t="str">
        <f t="shared" si="16"/>
        <v>Feb'16/17</v>
      </c>
      <c r="I102" s="11" t="e">
        <f t="shared" si="17"/>
        <v>#N/A</v>
      </c>
    </row>
    <row r="103" spans="2:9" x14ac:dyDescent="0.55000000000000004">
      <c r="B103" s="11">
        <f t="shared" si="18"/>
        <v>3</v>
      </c>
      <c r="C103" s="11">
        <f t="shared" si="19"/>
        <v>6</v>
      </c>
      <c r="D103" s="12" t="e">
        <f t="shared" si="10"/>
        <v>#N/A</v>
      </c>
      <c r="E103" s="11" t="str">
        <f t="shared" si="11"/>
        <v>16/17</v>
      </c>
      <c r="F103" s="11" t="str">
        <f t="shared" si="12"/>
        <v>Mar</v>
      </c>
      <c r="G103" s="11" t="str">
        <f t="shared" si="13"/>
        <v>Mar'16/17</v>
      </c>
      <c r="H103" s="11" t="str">
        <f t="shared" si="16"/>
        <v>Mar'16/17</v>
      </c>
      <c r="I103" s="11" t="e">
        <f t="shared" si="17"/>
        <v>#N/A</v>
      </c>
    </row>
    <row r="104" spans="2:9" x14ac:dyDescent="0.55000000000000004">
      <c r="B104" s="11">
        <f t="shared" si="18"/>
        <v>3</v>
      </c>
      <c r="C104" s="11">
        <f t="shared" si="19"/>
        <v>7</v>
      </c>
      <c r="D104" s="12" t="e">
        <f t="shared" si="10"/>
        <v>#N/A</v>
      </c>
      <c r="E104" s="11" t="str">
        <f t="shared" si="11"/>
        <v>16/17</v>
      </c>
      <c r="F104" s="11" t="str">
        <f t="shared" si="12"/>
        <v>Apr</v>
      </c>
      <c r="G104" s="11" t="str">
        <f t="shared" si="13"/>
        <v>Apr'16/17</v>
      </c>
      <c r="H104" s="11" t="str">
        <f t="shared" si="16"/>
        <v>Apr'16/17</v>
      </c>
      <c r="I104" s="11" t="e">
        <f t="shared" si="17"/>
        <v>#N/A</v>
      </c>
    </row>
    <row r="105" spans="2:9" x14ac:dyDescent="0.55000000000000004">
      <c r="B105" s="11">
        <f t="shared" si="18"/>
        <v>3</v>
      </c>
      <c r="C105" s="11">
        <f t="shared" si="19"/>
        <v>8</v>
      </c>
      <c r="D105" s="12" t="e">
        <f t="shared" si="10"/>
        <v>#N/A</v>
      </c>
      <c r="E105" s="11" t="str">
        <f t="shared" si="11"/>
        <v>16/17</v>
      </c>
      <c r="F105" s="11" t="str">
        <f t="shared" si="12"/>
        <v>May</v>
      </c>
      <c r="G105" s="11" t="str">
        <f t="shared" si="13"/>
        <v>May'16/17</v>
      </c>
      <c r="H105" s="11" t="str">
        <f t="shared" si="16"/>
        <v>May'16/17</v>
      </c>
      <c r="I105" s="11" t="e">
        <f t="shared" si="17"/>
        <v>#N/A</v>
      </c>
    </row>
    <row r="106" spans="2:9" x14ac:dyDescent="0.55000000000000004">
      <c r="B106" s="11">
        <f t="shared" si="18"/>
        <v>3</v>
      </c>
      <c r="C106" s="11">
        <f t="shared" si="19"/>
        <v>9</v>
      </c>
      <c r="D106" s="12" t="e">
        <f t="shared" si="10"/>
        <v>#N/A</v>
      </c>
      <c r="E106" s="11" t="str">
        <f t="shared" si="11"/>
        <v>16/17</v>
      </c>
      <c r="F106" s="11" t="str">
        <f t="shared" si="12"/>
        <v>Jun</v>
      </c>
      <c r="G106" s="11" t="str">
        <f t="shared" si="13"/>
        <v>Jun'16/17</v>
      </c>
      <c r="H106" s="11" t="str">
        <f t="shared" si="16"/>
        <v>Jun'16/17</v>
      </c>
      <c r="I106" s="11" t="e">
        <f t="shared" si="17"/>
        <v>#N/A</v>
      </c>
    </row>
    <row r="107" spans="2:9" x14ac:dyDescent="0.55000000000000004">
      <c r="B107" s="11">
        <f t="shared" si="18"/>
        <v>3</v>
      </c>
      <c r="C107" s="11">
        <f t="shared" si="19"/>
        <v>10</v>
      </c>
      <c r="D107" s="12" t="e">
        <f t="shared" si="10"/>
        <v>#N/A</v>
      </c>
      <c r="E107" s="11" t="str">
        <f t="shared" si="11"/>
        <v>16/17</v>
      </c>
      <c r="F107" s="11" t="str">
        <f t="shared" si="12"/>
        <v>Jul</v>
      </c>
      <c r="G107" s="11" t="str">
        <f t="shared" si="13"/>
        <v>Jul'16/17</v>
      </c>
      <c r="H107" s="11" t="str">
        <f t="shared" si="16"/>
        <v>Jul'16/17</v>
      </c>
      <c r="I107" s="11" t="e">
        <f t="shared" si="17"/>
        <v>#N/A</v>
      </c>
    </row>
    <row r="108" spans="2:9" x14ac:dyDescent="0.55000000000000004">
      <c r="B108" s="11">
        <f t="shared" si="18"/>
        <v>3</v>
      </c>
      <c r="C108" s="11">
        <f t="shared" si="19"/>
        <v>11</v>
      </c>
      <c r="D108" s="12" t="e">
        <f t="shared" si="10"/>
        <v>#N/A</v>
      </c>
      <c r="E108" s="11" t="str">
        <f t="shared" si="11"/>
        <v>16/17</v>
      </c>
      <c r="F108" s="11" t="str">
        <f t="shared" si="12"/>
        <v>Aug</v>
      </c>
      <c r="G108" s="11" t="str">
        <f t="shared" si="13"/>
        <v>Aug'16/17</v>
      </c>
      <c r="H108" s="11" t="str">
        <f t="shared" si="16"/>
        <v>Aug'16/17</v>
      </c>
      <c r="I108" s="11" t="e">
        <f t="shared" si="17"/>
        <v>#N/A</v>
      </c>
    </row>
    <row r="109" spans="2:9" x14ac:dyDescent="0.55000000000000004">
      <c r="B109" s="11">
        <f t="shared" si="18"/>
        <v>3</v>
      </c>
      <c r="C109" s="11">
        <f t="shared" si="19"/>
        <v>12</v>
      </c>
      <c r="D109" s="12" t="e">
        <f t="shared" si="10"/>
        <v>#N/A</v>
      </c>
      <c r="E109" s="11" t="str">
        <f t="shared" si="11"/>
        <v>16/17</v>
      </c>
      <c r="F109" s="11" t="str">
        <f t="shared" si="12"/>
        <v>Sep</v>
      </c>
      <c r="G109" s="11" t="str">
        <f t="shared" si="13"/>
        <v>Sep'16/17</v>
      </c>
      <c r="H109" s="11" t="str">
        <f t="shared" si="16"/>
        <v>Sep'16/17</v>
      </c>
      <c r="I109" s="11" t="e">
        <f t="shared" si="17"/>
        <v>#N/A</v>
      </c>
    </row>
    <row r="110" spans="2:9" x14ac:dyDescent="0.55000000000000004">
      <c r="B110" s="11">
        <f t="shared" si="18"/>
        <v>4</v>
      </c>
      <c r="C110" s="11">
        <f t="shared" si="19"/>
        <v>1</v>
      </c>
      <c r="D110" s="12">
        <f t="shared" si="10"/>
        <v>8630970.4682461824</v>
      </c>
      <c r="E110" s="11" t="str">
        <f t="shared" si="11"/>
        <v>17/18</v>
      </c>
      <c r="F110" s="11" t="str">
        <f t="shared" si="12"/>
        <v>Oct</v>
      </c>
      <c r="G110" s="11" t="str">
        <f t="shared" si="13"/>
        <v>Oct'17/18</v>
      </c>
      <c r="H110" s="11" t="str">
        <f t="shared" si="16"/>
        <v>Oct'17/18</v>
      </c>
      <c r="I110" s="11" t="e">
        <f t="shared" si="17"/>
        <v>#N/A</v>
      </c>
    </row>
    <row r="111" spans="2:9" x14ac:dyDescent="0.55000000000000004">
      <c r="B111" s="11">
        <f t="shared" si="18"/>
        <v>4</v>
      </c>
      <c r="C111" s="11">
        <f t="shared" si="19"/>
        <v>2</v>
      </c>
      <c r="D111" s="12">
        <f t="shared" si="10"/>
        <v>9055937.5827418789</v>
      </c>
      <c r="E111" s="11" t="str">
        <f t="shared" si="11"/>
        <v>17/18</v>
      </c>
      <c r="F111" s="11" t="str">
        <f t="shared" si="12"/>
        <v>Nov</v>
      </c>
      <c r="G111" s="11" t="str">
        <f t="shared" si="13"/>
        <v>Nov'17/18</v>
      </c>
      <c r="H111" s="11" t="str">
        <f t="shared" si="16"/>
        <v>Nov'17/18</v>
      </c>
      <c r="I111" s="11" t="e">
        <f t="shared" si="17"/>
        <v>#N/A</v>
      </c>
    </row>
    <row r="112" spans="2:9" x14ac:dyDescent="0.55000000000000004">
      <c r="B112" s="11">
        <f t="shared" si="18"/>
        <v>4</v>
      </c>
      <c r="C112" s="11">
        <f t="shared" si="19"/>
        <v>3</v>
      </c>
      <c r="D112" s="12">
        <f t="shared" si="10"/>
        <v>10146942.357473075</v>
      </c>
      <c r="E112" s="11" t="str">
        <f t="shared" si="11"/>
        <v>17/18</v>
      </c>
      <c r="F112" s="11" t="str">
        <f t="shared" si="12"/>
        <v>Dec</v>
      </c>
      <c r="G112" s="11" t="str">
        <f t="shared" si="13"/>
        <v>Dec'17/18</v>
      </c>
      <c r="H112" s="11" t="str">
        <f t="shared" si="16"/>
        <v>Dec'17/18</v>
      </c>
      <c r="I112" s="11" t="e">
        <f t="shared" si="17"/>
        <v>#N/A</v>
      </c>
    </row>
    <row r="113" spans="2:9" x14ac:dyDescent="0.55000000000000004">
      <c r="B113" s="11">
        <f t="shared" si="18"/>
        <v>4</v>
      </c>
      <c r="C113" s="11">
        <f t="shared" si="19"/>
        <v>4</v>
      </c>
      <c r="D113" s="12">
        <f t="shared" si="10"/>
        <v>10686469.491901226</v>
      </c>
      <c r="E113" s="11" t="str">
        <f t="shared" si="11"/>
        <v>17/18</v>
      </c>
      <c r="F113" s="11" t="str">
        <f t="shared" si="12"/>
        <v>Jan</v>
      </c>
      <c r="G113" s="11" t="str">
        <f t="shared" si="13"/>
        <v>Jan'17/18</v>
      </c>
      <c r="H113" s="11" t="str">
        <f t="shared" si="16"/>
        <v>Jan'17/18</v>
      </c>
      <c r="I113" s="11" t="e">
        <f t="shared" si="17"/>
        <v>#N/A</v>
      </c>
    </row>
    <row r="114" spans="2:9" x14ac:dyDescent="0.55000000000000004">
      <c r="B114" s="11">
        <f t="shared" si="18"/>
        <v>4</v>
      </c>
      <c r="C114" s="11">
        <f t="shared" si="19"/>
        <v>5</v>
      </c>
      <c r="D114" s="12">
        <f t="shared" si="10"/>
        <v>10033223.779589375</v>
      </c>
      <c r="E114" s="11" t="str">
        <f t="shared" si="11"/>
        <v>17/18</v>
      </c>
      <c r="F114" s="11" t="str">
        <f t="shared" si="12"/>
        <v>Feb</v>
      </c>
      <c r="G114" s="11" t="str">
        <f t="shared" si="13"/>
        <v>Feb'17/18</v>
      </c>
      <c r="H114" s="11" t="str">
        <f t="shared" si="16"/>
        <v>Feb'17/18</v>
      </c>
      <c r="I114" s="11" t="e">
        <f t="shared" si="17"/>
        <v>#N/A</v>
      </c>
    </row>
    <row r="115" spans="2:9" x14ac:dyDescent="0.55000000000000004">
      <c r="B115" s="11">
        <f t="shared" si="18"/>
        <v>4</v>
      </c>
      <c r="C115" s="11">
        <f t="shared" si="19"/>
        <v>6</v>
      </c>
      <c r="D115" s="12">
        <f t="shared" si="10"/>
        <v>11149435.036687834</v>
      </c>
      <c r="E115" s="11" t="str">
        <f t="shared" si="11"/>
        <v>17/18</v>
      </c>
      <c r="F115" s="11" t="str">
        <f t="shared" si="12"/>
        <v>Mar</v>
      </c>
      <c r="G115" s="11" t="str">
        <f t="shared" si="13"/>
        <v>Mar'17/18</v>
      </c>
      <c r="H115" s="11" t="str">
        <f t="shared" si="16"/>
        <v>Mar'17/18</v>
      </c>
      <c r="I115" s="11" t="e">
        <f t="shared" si="17"/>
        <v>#N/A</v>
      </c>
    </row>
    <row r="116" spans="2:9" x14ac:dyDescent="0.55000000000000004">
      <c r="B116" s="11">
        <f t="shared" si="18"/>
        <v>4</v>
      </c>
      <c r="C116" s="11">
        <f t="shared" si="19"/>
        <v>7</v>
      </c>
      <c r="D116" s="12">
        <f t="shared" si="10"/>
        <v>10299317.709379356</v>
      </c>
      <c r="E116" s="11" t="str">
        <f t="shared" si="11"/>
        <v>17/18</v>
      </c>
      <c r="F116" s="11" t="str">
        <f t="shared" si="12"/>
        <v>Apr</v>
      </c>
      <c r="G116" s="11" t="str">
        <f t="shared" si="13"/>
        <v>Apr'17/18</v>
      </c>
      <c r="H116" s="11" t="str">
        <f t="shared" si="16"/>
        <v>Apr'17/18</v>
      </c>
      <c r="I116" s="11" t="e">
        <f t="shared" si="17"/>
        <v>#N/A</v>
      </c>
    </row>
    <row r="117" spans="2:9" x14ac:dyDescent="0.55000000000000004">
      <c r="B117" s="11">
        <f t="shared" si="18"/>
        <v>4</v>
      </c>
      <c r="C117" s="11">
        <f t="shared" si="19"/>
        <v>8</v>
      </c>
      <c r="D117" s="12">
        <f t="shared" si="10"/>
        <v>9788242.7589356005</v>
      </c>
      <c r="E117" s="11" t="str">
        <f t="shared" si="11"/>
        <v>17/18</v>
      </c>
      <c r="F117" s="11" t="str">
        <f t="shared" si="12"/>
        <v>May</v>
      </c>
      <c r="G117" s="11" t="str">
        <f t="shared" si="13"/>
        <v>May'17/18</v>
      </c>
      <c r="H117" s="11" t="str">
        <f t="shared" si="16"/>
        <v>May'17/18</v>
      </c>
      <c r="I117" s="11" t="e">
        <f t="shared" si="17"/>
        <v>#N/A</v>
      </c>
    </row>
    <row r="118" spans="2:9" x14ac:dyDescent="0.55000000000000004">
      <c r="B118" s="11">
        <f t="shared" si="18"/>
        <v>4</v>
      </c>
      <c r="C118" s="11">
        <f t="shared" si="19"/>
        <v>9</v>
      </c>
      <c r="D118" s="12">
        <f t="shared" si="10"/>
        <v>10753919.067892291</v>
      </c>
      <c r="E118" s="11" t="str">
        <f t="shared" si="11"/>
        <v>17/18</v>
      </c>
      <c r="F118" s="11" t="str">
        <f t="shared" si="12"/>
        <v>Jun</v>
      </c>
      <c r="G118" s="11" t="str">
        <f t="shared" si="13"/>
        <v>Jun'17/18</v>
      </c>
      <c r="H118" s="11" t="str">
        <f t="shared" si="16"/>
        <v>Jun'17/18</v>
      </c>
      <c r="I118" s="11" t="e">
        <f t="shared" si="17"/>
        <v>#N/A</v>
      </c>
    </row>
    <row r="119" spans="2:9" x14ac:dyDescent="0.55000000000000004">
      <c r="B119" s="11">
        <f t="shared" si="18"/>
        <v>4</v>
      </c>
      <c r="C119" s="11">
        <f t="shared" si="19"/>
        <v>10</v>
      </c>
      <c r="D119" s="12">
        <f t="shared" si="10"/>
        <v>9885368.5785908587</v>
      </c>
      <c r="E119" s="11" t="str">
        <f t="shared" si="11"/>
        <v>17/18</v>
      </c>
      <c r="F119" s="11" t="str">
        <f t="shared" si="12"/>
        <v>Jul</v>
      </c>
      <c r="G119" s="11" t="str">
        <f t="shared" si="13"/>
        <v>Jul'17/18</v>
      </c>
      <c r="H119" s="11" t="str">
        <f t="shared" si="16"/>
        <v>Jul'17/18</v>
      </c>
      <c r="I119" s="11" t="e">
        <f t="shared" si="17"/>
        <v>#N/A</v>
      </c>
    </row>
    <row r="120" spans="2:9" x14ac:dyDescent="0.55000000000000004">
      <c r="B120" s="11">
        <f t="shared" si="18"/>
        <v>4</v>
      </c>
      <c r="C120" s="11">
        <f t="shared" si="19"/>
        <v>11</v>
      </c>
      <c r="D120" s="12">
        <f t="shared" si="10"/>
        <v>11117856.545650007</v>
      </c>
      <c r="E120" s="11" t="str">
        <f t="shared" si="11"/>
        <v>17/18</v>
      </c>
      <c r="F120" s="11" t="str">
        <f t="shared" si="12"/>
        <v>Aug</v>
      </c>
      <c r="G120" s="11" t="str">
        <f t="shared" si="13"/>
        <v>Aug'17/18</v>
      </c>
      <c r="H120" s="11" t="str">
        <f t="shared" si="16"/>
        <v>Aug'17/18</v>
      </c>
      <c r="I120" s="11" t="e">
        <f t="shared" si="17"/>
        <v>#N/A</v>
      </c>
    </row>
    <row r="121" spans="2:9" x14ac:dyDescent="0.55000000000000004">
      <c r="B121" s="11">
        <f t="shared" si="18"/>
        <v>4</v>
      </c>
      <c r="C121" s="11">
        <f t="shared" si="19"/>
        <v>12</v>
      </c>
      <c r="D121" s="12">
        <f t="shared" si="10"/>
        <v>10386829.560519589</v>
      </c>
      <c r="E121" s="11" t="str">
        <f t="shared" si="11"/>
        <v>17/18</v>
      </c>
      <c r="F121" s="11" t="str">
        <f t="shared" si="12"/>
        <v>Sep</v>
      </c>
      <c r="G121" s="11" t="str">
        <f t="shared" si="13"/>
        <v>Sep'17/18</v>
      </c>
      <c r="H121" s="11" t="str">
        <f t="shared" si="16"/>
        <v>Sep'17/18</v>
      </c>
      <c r="I121" s="11">
        <f t="shared" si="17"/>
        <v>121.93451293760729</v>
      </c>
    </row>
    <row r="122" spans="2:9" x14ac:dyDescent="0.55000000000000004">
      <c r="B122" s="11">
        <f t="shared" si="18"/>
        <v>5</v>
      </c>
      <c r="C122" s="11">
        <f t="shared" si="19"/>
        <v>1</v>
      </c>
      <c r="D122" s="12">
        <f t="shared" si="10"/>
        <v>10671215.671042973</v>
      </c>
      <c r="E122" s="11" t="str">
        <f t="shared" si="11"/>
        <v>18/19</v>
      </c>
      <c r="F122" s="11" t="str">
        <f t="shared" si="12"/>
        <v>Oct</v>
      </c>
      <c r="G122" s="11" t="str">
        <f t="shared" si="13"/>
        <v>Oct'18/19</v>
      </c>
      <c r="H122" s="11" t="str">
        <f t="shared" si="16"/>
        <v>Oct'18/19</v>
      </c>
      <c r="I122" s="11">
        <f t="shared" si="17"/>
        <v>123.97475814040408</v>
      </c>
    </row>
    <row r="123" spans="2:9" x14ac:dyDescent="0.55000000000000004">
      <c r="B123" s="11">
        <f t="shared" si="18"/>
        <v>5</v>
      </c>
      <c r="C123" s="11">
        <f t="shared" si="19"/>
        <v>2</v>
      </c>
      <c r="D123" s="12">
        <f t="shared" si="10"/>
        <v>10743708.225571161</v>
      </c>
      <c r="E123" s="11" t="str">
        <f t="shared" si="11"/>
        <v>18/19</v>
      </c>
      <c r="F123" s="11" t="str">
        <f t="shared" si="12"/>
        <v>Nov</v>
      </c>
      <c r="G123" s="11" t="str">
        <f t="shared" si="13"/>
        <v>Nov'18/19</v>
      </c>
      <c r="H123" s="11" t="str">
        <f t="shared" si="16"/>
        <v>Nov'18/19</v>
      </c>
      <c r="I123" s="11">
        <f t="shared" si="17"/>
        <v>125.66252878323334</v>
      </c>
    </row>
    <row r="124" spans="2:9" x14ac:dyDescent="0.55000000000000004">
      <c r="B124" s="11">
        <f t="shared" si="18"/>
        <v>5</v>
      </c>
      <c r="C124" s="11">
        <f t="shared" si="19"/>
        <v>3</v>
      </c>
      <c r="D124" s="12">
        <f t="shared" si="10"/>
        <v>10946305.1968977</v>
      </c>
      <c r="E124" s="11" t="str">
        <f t="shared" si="11"/>
        <v>18/19</v>
      </c>
      <c r="F124" s="11" t="str">
        <f t="shared" si="12"/>
        <v>Dec</v>
      </c>
      <c r="G124" s="11" t="str">
        <f t="shared" si="13"/>
        <v>Dec'18/19</v>
      </c>
      <c r="H124" s="11" t="str">
        <f t="shared" si="16"/>
        <v>Dec'18/19</v>
      </c>
      <c r="I124" s="11">
        <f t="shared" si="17"/>
        <v>126.46189162265799</v>
      </c>
    </row>
    <row r="125" spans="2:9" x14ac:dyDescent="0.55000000000000004">
      <c r="B125" s="11">
        <f t="shared" si="18"/>
        <v>5</v>
      </c>
      <c r="C125" s="11">
        <f t="shared" si="19"/>
        <v>4</v>
      </c>
      <c r="D125" s="12">
        <f t="shared" si="10"/>
        <v>11402898.836439276</v>
      </c>
      <c r="E125" s="11" t="str">
        <f t="shared" si="11"/>
        <v>18/19</v>
      </c>
      <c r="F125" s="11" t="str">
        <f t="shared" si="12"/>
        <v>Jan</v>
      </c>
      <c r="G125" s="11" t="str">
        <f t="shared" si="13"/>
        <v>Jan'18/19</v>
      </c>
      <c r="H125" s="11" t="str">
        <f t="shared" si="16"/>
        <v>Jan'18/19</v>
      </c>
      <c r="I125" s="11">
        <f t="shared" si="17"/>
        <v>127.17832096719603</v>
      </c>
    </row>
    <row r="126" spans="2:9" x14ac:dyDescent="0.55000000000000004">
      <c r="B126" s="11">
        <f t="shared" si="18"/>
        <v>5</v>
      </c>
      <c r="C126" s="11">
        <f t="shared" si="19"/>
        <v>5</v>
      </c>
      <c r="D126" s="12">
        <f t="shared" si="10"/>
        <v>10870670.030980157</v>
      </c>
      <c r="E126" s="11" t="str">
        <f t="shared" si="11"/>
        <v>18/19</v>
      </c>
      <c r="F126" s="11" t="str">
        <f t="shared" si="12"/>
        <v>Feb</v>
      </c>
      <c r="G126" s="11" t="str">
        <f t="shared" si="13"/>
        <v>Feb'18/19</v>
      </c>
      <c r="H126" s="11" t="str">
        <f t="shared" si="16"/>
        <v>Feb'18/19</v>
      </c>
      <c r="I126" s="11">
        <f t="shared" si="17"/>
        <v>128.0157672185868</v>
      </c>
    </row>
    <row r="127" spans="2:9" x14ac:dyDescent="0.55000000000000004">
      <c r="B127" s="11">
        <f t="shared" si="18"/>
        <v>5</v>
      </c>
      <c r="C127" s="11">
        <f t="shared" si="19"/>
        <v>6</v>
      </c>
      <c r="D127" s="12">
        <f t="shared" si="10"/>
        <v>11355909.344637197</v>
      </c>
      <c r="E127" s="11" t="str">
        <f t="shared" si="11"/>
        <v>18/19</v>
      </c>
      <c r="F127" s="11" t="str">
        <f t="shared" si="12"/>
        <v>Mar</v>
      </c>
      <c r="G127" s="11" t="str">
        <f t="shared" si="13"/>
        <v>Mar'18/19</v>
      </c>
      <c r="H127" s="11" t="str">
        <f t="shared" si="16"/>
        <v>Mar'18/19</v>
      </c>
      <c r="I127" s="11">
        <f t="shared" si="17"/>
        <v>128.22224152653618</v>
      </c>
    </row>
    <row r="128" spans="2:9" x14ac:dyDescent="0.55000000000000004">
      <c r="B128" s="11">
        <f t="shared" si="18"/>
        <v>5</v>
      </c>
      <c r="C128" s="11">
        <f t="shared" si="19"/>
        <v>7</v>
      </c>
      <c r="D128" s="12">
        <f t="shared" si="10"/>
        <v>11009150.613840126</v>
      </c>
      <c r="E128" s="11" t="str">
        <f t="shared" si="11"/>
        <v>18/19</v>
      </c>
      <c r="F128" s="11" t="str">
        <f t="shared" si="12"/>
        <v>Apr</v>
      </c>
      <c r="G128" s="11" t="str">
        <f t="shared" si="13"/>
        <v>Apr'18/19</v>
      </c>
      <c r="H128" s="11" t="str">
        <f t="shared" si="16"/>
        <v>Apr'18/19</v>
      </c>
      <c r="I128" s="11">
        <f t="shared" si="17"/>
        <v>128.93207443099695</v>
      </c>
    </row>
    <row r="129" spans="2:18" x14ac:dyDescent="0.55000000000000004">
      <c r="B129" s="11">
        <f t="shared" si="18"/>
        <v>5</v>
      </c>
      <c r="C129" s="11">
        <f t="shared" si="19"/>
        <v>8</v>
      </c>
      <c r="D129" s="12">
        <f t="shared" si="10"/>
        <v>12302119.051450966</v>
      </c>
      <c r="E129" s="11" t="str">
        <f t="shared" si="11"/>
        <v>18/19</v>
      </c>
      <c r="F129" s="11" t="str">
        <f t="shared" si="12"/>
        <v>May</v>
      </c>
      <c r="G129" s="11" t="str">
        <f t="shared" si="13"/>
        <v>May'18/19</v>
      </c>
      <c r="H129" s="11" t="str">
        <f t="shared" si="16"/>
        <v>May'18/19</v>
      </c>
      <c r="I129" s="11">
        <f t="shared" si="17"/>
        <v>131.44595072351231</v>
      </c>
    </row>
    <row r="130" spans="2:18" x14ac:dyDescent="0.55000000000000004">
      <c r="B130" s="11">
        <f t="shared" si="18"/>
        <v>5</v>
      </c>
      <c r="C130" s="11">
        <f t="shared" si="19"/>
        <v>9</v>
      </c>
      <c r="D130" s="12">
        <f t="shared" si="10"/>
        <v>11424806.683976144</v>
      </c>
      <c r="E130" s="11" t="str">
        <f t="shared" si="11"/>
        <v>18/19</v>
      </c>
      <c r="F130" s="11" t="str">
        <f t="shared" si="12"/>
        <v>Jun</v>
      </c>
      <c r="G130" s="11" t="str">
        <f t="shared" si="13"/>
        <v>Jun'18/19</v>
      </c>
      <c r="H130" s="11" t="str">
        <f t="shared" si="16"/>
        <v>Jun'18/19</v>
      </c>
      <c r="I130" s="11">
        <f t="shared" si="17"/>
        <v>132.11683833959614</v>
      </c>
    </row>
    <row r="131" spans="2:18" x14ac:dyDescent="0.55000000000000004">
      <c r="B131" s="11">
        <f t="shared" si="18"/>
        <v>5</v>
      </c>
      <c r="C131" s="11">
        <f t="shared" si="19"/>
        <v>10</v>
      </c>
      <c r="D131" s="12">
        <f t="shared" si="10"/>
        <v>11612504.725000435</v>
      </c>
      <c r="E131" s="11" t="str">
        <f t="shared" si="11"/>
        <v>18/19</v>
      </c>
      <c r="F131" s="11" t="str">
        <f t="shared" si="12"/>
        <v>Jul</v>
      </c>
      <c r="G131" s="11" t="str">
        <f t="shared" si="13"/>
        <v>Jul'18/19</v>
      </c>
      <c r="H131" s="11" t="str">
        <f t="shared" si="16"/>
        <v>Jul'18/19</v>
      </c>
      <c r="I131" s="11">
        <f t="shared" si="17"/>
        <v>133.84397448600575</v>
      </c>
      <c r="P131" s="80"/>
      <c r="Q131" s="80"/>
      <c r="R131" s="80"/>
    </row>
    <row r="132" spans="2:18" x14ac:dyDescent="0.55000000000000004">
      <c r="B132" s="11">
        <f t="shared" si="18"/>
        <v>5</v>
      </c>
      <c r="C132" s="11">
        <f t="shared" si="19"/>
        <v>11</v>
      </c>
      <c r="D132" s="12">
        <f t="shared" si="10"/>
        <v>11136573.693754809</v>
      </c>
      <c r="E132" s="11" t="str">
        <f t="shared" si="11"/>
        <v>18/19</v>
      </c>
      <c r="F132" s="11" t="str">
        <f t="shared" si="12"/>
        <v>Aug</v>
      </c>
      <c r="G132" s="11" t="str">
        <f t="shared" si="13"/>
        <v>Aug'18/19</v>
      </c>
      <c r="H132" s="11" t="str">
        <f t="shared" si="16"/>
        <v>Aug'18/19</v>
      </c>
      <c r="I132" s="11">
        <f t="shared" si="17"/>
        <v>133.86269163411052</v>
      </c>
      <c r="O132" s="2"/>
      <c r="P132" s="6"/>
      <c r="Q132" s="50"/>
      <c r="R132" s="49"/>
    </row>
    <row r="133" spans="2:18" x14ac:dyDescent="0.55000000000000004">
      <c r="B133" s="11">
        <f t="shared" si="18"/>
        <v>5</v>
      </c>
      <c r="C133" s="11">
        <f t="shared" si="19"/>
        <v>12</v>
      </c>
      <c r="D133" s="12">
        <f t="shared" si="10"/>
        <v>10612658.326759813</v>
      </c>
      <c r="E133" s="11" t="str">
        <f t="shared" si="11"/>
        <v>18/19</v>
      </c>
      <c r="F133" s="11" t="str">
        <f t="shared" si="12"/>
        <v>Sep</v>
      </c>
      <c r="G133" s="11" t="str">
        <f t="shared" si="13"/>
        <v>Sep'18/19</v>
      </c>
      <c r="H133" s="11" t="str">
        <f t="shared" si="16"/>
        <v>Sep'18/19</v>
      </c>
      <c r="I133" s="11">
        <f t="shared" si="17"/>
        <v>134.08852040035077</v>
      </c>
      <c r="O133" s="3"/>
      <c r="P133" s="46"/>
      <c r="Q133" s="47"/>
      <c r="R133" s="48"/>
    </row>
    <row r="134" spans="2:18" x14ac:dyDescent="0.55000000000000004">
      <c r="B134" s="11">
        <f t="shared" si="18"/>
        <v>6</v>
      </c>
      <c r="C134" s="11">
        <f t="shared" si="19"/>
        <v>1</v>
      </c>
      <c r="D134" s="12">
        <f t="shared" si="10"/>
        <v>9950618.6381846797</v>
      </c>
      <c r="E134" s="11" t="str">
        <f t="shared" si="11"/>
        <v>19/20</v>
      </c>
      <c r="F134" s="11" t="str">
        <f t="shared" si="12"/>
        <v>Oct</v>
      </c>
      <c r="G134" s="11" t="str">
        <f t="shared" si="13"/>
        <v>Oct'19/20</v>
      </c>
      <c r="H134" s="11" t="str">
        <f t="shared" si="16"/>
        <v>Oct'19/20</v>
      </c>
      <c r="I134" s="11">
        <f t="shared" si="17"/>
        <v>133.36792336749247</v>
      </c>
      <c r="O134" s="3"/>
      <c r="P134" s="46"/>
      <c r="Q134" s="47"/>
      <c r="R134" s="48"/>
    </row>
    <row r="135" spans="2:18" x14ac:dyDescent="0.55000000000000004">
      <c r="B135" s="11">
        <f t="shared" si="18"/>
        <v>6</v>
      </c>
      <c r="C135" s="11">
        <f t="shared" si="19"/>
        <v>2</v>
      </c>
      <c r="D135" s="12">
        <f t="shared" si="10"/>
        <v>9643185.1113164816</v>
      </c>
      <c r="E135" s="11" t="str">
        <f t="shared" si="11"/>
        <v>19/20</v>
      </c>
      <c r="F135" s="11" t="str">
        <f t="shared" si="12"/>
        <v>Nov</v>
      </c>
      <c r="G135" s="11" t="str">
        <f t="shared" si="13"/>
        <v>Nov'19/20</v>
      </c>
      <c r="H135" s="11" t="str">
        <f t="shared" si="16"/>
        <v>Nov'19/20</v>
      </c>
      <c r="I135" s="11">
        <f t="shared" si="17"/>
        <v>132.26740025323778</v>
      </c>
      <c r="O135" s="3"/>
      <c r="P135" s="46"/>
      <c r="Q135" s="47"/>
      <c r="R135" s="48"/>
    </row>
    <row r="136" spans="2:18" x14ac:dyDescent="0.55000000000000004">
      <c r="B136" s="11">
        <f t="shared" si="18"/>
        <v>6</v>
      </c>
      <c r="C136" s="11">
        <f t="shared" si="19"/>
        <v>3</v>
      </c>
      <c r="D136" s="12">
        <f t="shared" si="10"/>
        <v>10815732.707544766</v>
      </c>
      <c r="E136" s="11" t="str">
        <f t="shared" si="11"/>
        <v>19/20</v>
      </c>
      <c r="F136" s="11" t="str">
        <f t="shared" si="12"/>
        <v>Dec</v>
      </c>
      <c r="G136" s="11" t="str">
        <f t="shared" si="13"/>
        <v>Dec'19/20</v>
      </c>
      <c r="H136" s="11" t="str">
        <f t="shared" si="16"/>
        <v>Dec'19/20</v>
      </c>
      <c r="I136" s="11">
        <f t="shared" si="17"/>
        <v>132.13682776388487</v>
      </c>
      <c r="O136" s="3"/>
      <c r="P136" s="46"/>
      <c r="Q136" s="47"/>
      <c r="R136" s="48"/>
    </row>
    <row r="137" spans="2:18" x14ac:dyDescent="0.55000000000000004">
      <c r="B137" s="11">
        <f t="shared" si="18"/>
        <v>6</v>
      </c>
      <c r="C137" s="11">
        <f t="shared" si="19"/>
        <v>4</v>
      </c>
      <c r="D137" s="12">
        <f t="shared" si="10"/>
        <v>10204714.835298883</v>
      </c>
      <c r="E137" s="11" t="str">
        <f t="shared" si="11"/>
        <v>19/20</v>
      </c>
      <c r="F137" s="11" t="str">
        <f t="shared" si="12"/>
        <v>Jan</v>
      </c>
      <c r="G137" s="11" t="str">
        <f t="shared" si="13"/>
        <v>Jan'19/20</v>
      </c>
      <c r="H137" s="11" t="str">
        <f t="shared" si="16"/>
        <v>Jan'19/20</v>
      </c>
      <c r="I137" s="11">
        <f t="shared" si="17"/>
        <v>130.93864376274448</v>
      </c>
      <c r="O137" s="3"/>
      <c r="P137" s="23"/>
    </row>
    <row r="138" spans="2:18" x14ac:dyDescent="0.55000000000000004">
      <c r="B138" s="11">
        <f t="shared" si="18"/>
        <v>6</v>
      </c>
      <c r="C138" s="11">
        <f t="shared" si="19"/>
        <v>5</v>
      </c>
      <c r="D138" s="12">
        <f t="shared" si="10"/>
        <v>11530570.381078726</v>
      </c>
      <c r="E138" s="11" t="str">
        <f t="shared" si="11"/>
        <v>19/20</v>
      </c>
      <c r="F138" s="11" t="str">
        <f t="shared" si="12"/>
        <v>Feb</v>
      </c>
      <c r="G138" s="11" t="str">
        <f t="shared" si="13"/>
        <v>Feb'19/20</v>
      </c>
      <c r="H138" s="11" t="str">
        <f t="shared" si="16"/>
        <v>Feb'19/20</v>
      </c>
      <c r="I138" s="11">
        <f t="shared" si="17"/>
        <v>131.59854411284303</v>
      </c>
    </row>
    <row r="139" spans="2:18" x14ac:dyDescent="0.55000000000000004">
      <c r="B139" s="11">
        <f t="shared" si="18"/>
        <v>6</v>
      </c>
      <c r="C139" s="11">
        <f t="shared" si="19"/>
        <v>6</v>
      </c>
      <c r="D139" s="12">
        <f t="shared" ref="D139:D202" si="20">INDEX($C$7:$N$19,MATCH(B139,$A$7:$A$19),MATCH(C139,$C$4:$N$4))</f>
        <v>12146818.164105318</v>
      </c>
      <c r="E139" s="11" t="str">
        <f t="shared" ref="E139:E202" si="21">_xlfn.XLOOKUP(B139,$A$7:$A$19,$B$7:$B$19)</f>
        <v>19/20</v>
      </c>
      <c r="F139" s="11" t="str">
        <f t="shared" ref="F139:F202" si="22">_xlfn.XLOOKUP(C139,$C$4:$N$4,$C$6:$N$6)</f>
        <v>Mar</v>
      </c>
      <c r="G139" s="11" t="str">
        <f t="shared" ref="G139:G202" si="23">_xlfn.CONCAT(F139,"'",E139)</f>
        <v>Mar'19/20</v>
      </c>
      <c r="H139" s="11" t="str">
        <f t="shared" si="16"/>
        <v>Mar'19/20</v>
      </c>
      <c r="I139" s="11">
        <f t="shared" si="17"/>
        <v>132.38945293231114</v>
      </c>
      <c r="R139" s="48"/>
    </row>
    <row r="140" spans="2:18" x14ac:dyDescent="0.55000000000000004">
      <c r="B140" s="11">
        <f t="shared" si="18"/>
        <v>6</v>
      </c>
      <c r="C140" s="11">
        <f t="shared" si="19"/>
        <v>7</v>
      </c>
      <c r="D140" s="12">
        <f t="shared" si="20"/>
        <v>11261491.991353391</v>
      </c>
      <c r="E140" s="11" t="str">
        <f t="shared" si="21"/>
        <v>19/20</v>
      </c>
      <c r="F140" s="11" t="str">
        <f t="shared" si="22"/>
        <v>Apr</v>
      </c>
      <c r="G140" s="11" t="str">
        <f t="shared" si="23"/>
        <v>Apr'19/20</v>
      </c>
      <c r="H140" s="11" t="str">
        <f t="shared" si="16"/>
        <v>Apr'19/20</v>
      </c>
      <c r="I140" s="11">
        <f t="shared" si="17"/>
        <v>132.64179430982441</v>
      </c>
    </row>
    <row r="141" spans="2:18" x14ac:dyDescent="0.55000000000000004">
      <c r="B141" s="11">
        <f t="shared" si="18"/>
        <v>6</v>
      </c>
      <c r="C141" s="11">
        <f t="shared" si="19"/>
        <v>8</v>
      </c>
      <c r="D141" s="12">
        <f t="shared" si="20"/>
        <v>10719890.753555</v>
      </c>
      <c r="E141" s="11" t="str">
        <f t="shared" si="21"/>
        <v>19/20</v>
      </c>
      <c r="F141" s="11" t="str">
        <f t="shared" si="22"/>
        <v>May</v>
      </c>
      <c r="G141" s="11" t="str">
        <f t="shared" si="23"/>
        <v>May'19/20</v>
      </c>
      <c r="H141" s="11" t="str">
        <f t="shared" si="16"/>
        <v>May'19/20</v>
      </c>
      <c r="I141" s="11">
        <f t="shared" si="17"/>
        <v>131.05956601192844</v>
      </c>
    </row>
    <row r="142" spans="2:18" x14ac:dyDescent="0.55000000000000004">
      <c r="B142" s="11">
        <f t="shared" si="18"/>
        <v>6</v>
      </c>
      <c r="C142" s="11">
        <f t="shared" si="19"/>
        <v>9</v>
      </c>
      <c r="D142" s="12">
        <f t="shared" si="20"/>
        <v>10663595.539210293</v>
      </c>
      <c r="E142" s="11" t="str">
        <f t="shared" si="21"/>
        <v>19/20</v>
      </c>
      <c r="F142" s="11" t="str">
        <f t="shared" si="22"/>
        <v>Jun</v>
      </c>
      <c r="G142" s="11" t="str">
        <f t="shared" si="23"/>
        <v>Jun'19/20</v>
      </c>
      <c r="H142" s="11" t="str">
        <f t="shared" si="16"/>
        <v>Jun'19/20</v>
      </c>
      <c r="I142" s="11">
        <f t="shared" si="17"/>
        <v>130.29835486716257</v>
      </c>
    </row>
    <row r="143" spans="2:18" x14ac:dyDescent="0.55000000000000004">
      <c r="B143" s="11">
        <f t="shared" si="18"/>
        <v>6</v>
      </c>
      <c r="C143" s="11">
        <f t="shared" si="19"/>
        <v>10</v>
      </c>
      <c r="D143" s="12">
        <f t="shared" si="20"/>
        <v>10452609.314790456</v>
      </c>
      <c r="E143" s="11" t="str">
        <f t="shared" si="21"/>
        <v>19/20</v>
      </c>
      <c r="F143" s="11" t="str">
        <f t="shared" si="22"/>
        <v>Jul</v>
      </c>
      <c r="G143" s="11" t="str">
        <f t="shared" si="23"/>
        <v>Jul'19/20</v>
      </c>
      <c r="H143" s="11" t="str">
        <f t="shared" si="16"/>
        <v>Jul'19/20</v>
      </c>
      <c r="I143" s="11">
        <f t="shared" si="17"/>
        <v>129.1384594569526</v>
      </c>
    </row>
    <row r="144" spans="2:18" x14ac:dyDescent="0.55000000000000004">
      <c r="B144" s="11">
        <f t="shared" si="18"/>
        <v>6</v>
      </c>
      <c r="C144" s="11">
        <f t="shared" si="19"/>
        <v>11</v>
      </c>
      <c r="D144" s="12">
        <f t="shared" si="20"/>
        <v>10555719.718583314</v>
      </c>
      <c r="E144" s="11" t="str">
        <f t="shared" si="21"/>
        <v>19/20</v>
      </c>
      <c r="F144" s="11" t="str">
        <f t="shared" si="22"/>
        <v>Aug</v>
      </c>
      <c r="G144" s="11" t="str">
        <f t="shared" si="23"/>
        <v>Aug'19/20</v>
      </c>
      <c r="H144" s="11" t="str">
        <f t="shared" si="16"/>
        <v>Aug'19/20</v>
      </c>
      <c r="I144" s="11">
        <f t="shared" si="17"/>
        <v>128.55760548178114</v>
      </c>
    </row>
    <row r="145" spans="2:9" x14ac:dyDescent="0.55000000000000004">
      <c r="B145" s="11">
        <f t="shared" si="18"/>
        <v>6</v>
      </c>
      <c r="C145" s="11">
        <f t="shared" si="19"/>
        <v>12</v>
      </c>
      <c r="D145" s="12">
        <f t="shared" si="20"/>
        <v>11117875.450022358</v>
      </c>
      <c r="E145" s="11" t="str">
        <f t="shared" si="21"/>
        <v>19/20</v>
      </c>
      <c r="F145" s="11" t="str">
        <f t="shared" si="22"/>
        <v>Sep</v>
      </c>
      <c r="G145" s="11" t="str">
        <f t="shared" si="23"/>
        <v>Sep'19/20</v>
      </c>
      <c r="H145" s="11" t="str">
        <f t="shared" si="16"/>
        <v>Sep'19/20</v>
      </c>
      <c r="I145" s="11">
        <f t="shared" si="17"/>
        <v>129.06282260504366</v>
      </c>
    </row>
    <row r="146" spans="2:9" x14ac:dyDescent="0.55000000000000004">
      <c r="B146" s="11">
        <f t="shared" si="18"/>
        <v>7</v>
      </c>
      <c r="C146" s="11">
        <f t="shared" si="19"/>
        <v>1</v>
      </c>
      <c r="D146" s="12">
        <f t="shared" si="20"/>
        <v>10162602.207926374</v>
      </c>
      <c r="E146" s="11" t="str">
        <f t="shared" si="21"/>
        <v>20/21</v>
      </c>
      <c r="F146" s="11" t="str">
        <f t="shared" si="22"/>
        <v>Oct</v>
      </c>
      <c r="G146" s="11" t="str">
        <f t="shared" si="23"/>
        <v>Oct'20/21</v>
      </c>
      <c r="H146" s="11" t="str">
        <f t="shared" si="16"/>
        <v>Oct'20/21</v>
      </c>
      <c r="I146" s="11">
        <f t="shared" si="17"/>
        <v>129.27480617478537</v>
      </c>
    </row>
    <row r="147" spans="2:9" x14ac:dyDescent="0.55000000000000004">
      <c r="B147" s="11">
        <f t="shared" si="18"/>
        <v>7</v>
      </c>
      <c r="C147" s="11">
        <f t="shared" si="19"/>
        <v>2</v>
      </c>
      <c r="D147" s="12">
        <f t="shared" si="20"/>
        <v>10538824.42288764</v>
      </c>
      <c r="E147" s="11" t="str">
        <f t="shared" si="21"/>
        <v>20/21</v>
      </c>
      <c r="F147" s="11" t="str">
        <f t="shared" si="22"/>
        <v>Nov</v>
      </c>
      <c r="G147" s="11" t="str">
        <f t="shared" si="23"/>
        <v>Nov'20/21</v>
      </c>
      <c r="H147" s="11" t="str">
        <f t="shared" si="16"/>
        <v>Nov'20/21</v>
      </c>
      <c r="I147" s="11">
        <f t="shared" si="17"/>
        <v>130.17044548635653</v>
      </c>
    </row>
    <row r="148" spans="2:9" x14ac:dyDescent="0.55000000000000004">
      <c r="B148" s="11">
        <f t="shared" si="18"/>
        <v>7</v>
      </c>
      <c r="C148" s="11">
        <f t="shared" si="19"/>
        <v>3</v>
      </c>
      <c r="D148" s="12">
        <f t="shared" si="20"/>
        <v>11492074.80106171</v>
      </c>
      <c r="E148" s="11" t="str">
        <f t="shared" si="21"/>
        <v>20/21</v>
      </c>
      <c r="F148" s="11" t="str">
        <f t="shared" si="22"/>
        <v>Dec</v>
      </c>
      <c r="G148" s="11" t="str">
        <f t="shared" si="23"/>
        <v>Dec'20/21</v>
      </c>
      <c r="H148" s="11" t="str">
        <f t="shared" si="16"/>
        <v>Dec'20/21</v>
      </c>
      <c r="I148" s="11">
        <f t="shared" si="17"/>
        <v>130.84678757987345</v>
      </c>
    </row>
    <row r="149" spans="2:9" x14ac:dyDescent="0.55000000000000004">
      <c r="B149" s="11">
        <f t="shared" si="18"/>
        <v>7</v>
      </c>
      <c r="C149" s="11">
        <f t="shared" si="19"/>
        <v>4</v>
      </c>
      <c r="D149" s="12">
        <f t="shared" si="20"/>
        <v>10563890.244351832</v>
      </c>
      <c r="E149" s="11" t="str">
        <f t="shared" si="21"/>
        <v>20/21</v>
      </c>
      <c r="F149" s="11" t="str">
        <f t="shared" si="22"/>
        <v>Jan</v>
      </c>
      <c r="G149" s="11" t="str">
        <f t="shared" si="23"/>
        <v>Jan'20/21</v>
      </c>
      <c r="H149" s="11" t="str">
        <f t="shared" si="16"/>
        <v>Jan'20/21</v>
      </c>
      <c r="I149" s="11">
        <f t="shared" si="17"/>
        <v>131.20596298892642</v>
      </c>
    </row>
    <row r="150" spans="2:9" x14ac:dyDescent="0.55000000000000004">
      <c r="B150" s="11">
        <f t="shared" si="18"/>
        <v>7</v>
      </c>
      <c r="C150" s="11">
        <f t="shared" si="19"/>
        <v>5</v>
      </c>
      <c r="D150" s="12">
        <f t="shared" si="20"/>
        <v>11616779.141194366</v>
      </c>
      <c r="E150" s="11" t="str">
        <f t="shared" si="21"/>
        <v>20/21</v>
      </c>
      <c r="F150" s="11" t="str">
        <f t="shared" si="22"/>
        <v>Feb</v>
      </c>
      <c r="G150" s="11" t="str">
        <f t="shared" si="23"/>
        <v>Feb'20/21</v>
      </c>
      <c r="H150" s="11" t="str">
        <f t="shared" ref="H150:H213" si="24">G150</f>
        <v>Feb'20/21</v>
      </c>
      <c r="I150" s="11">
        <f t="shared" ref="I150:I213" si="25">SUM(D139:D150)/1000000</f>
        <v>131.29217174904207</v>
      </c>
    </row>
    <row r="151" spans="2:9" x14ac:dyDescent="0.55000000000000004">
      <c r="B151" s="11">
        <f t="shared" ref="B151:B214" si="26">B139+1</f>
        <v>7</v>
      </c>
      <c r="C151" s="11">
        <f t="shared" ref="C151:C214" si="27">C139</f>
        <v>6</v>
      </c>
      <c r="D151" s="12">
        <f t="shared" si="20"/>
        <v>12688275.198954113</v>
      </c>
      <c r="E151" s="11" t="str">
        <f t="shared" si="21"/>
        <v>20/21</v>
      </c>
      <c r="F151" s="11" t="str">
        <f t="shared" si="22"/>
        <v>Mar</v>
      </c>
      <c r="G151" s="11" t="str">
        <f t="shared" si="23"/>
        <v>Mar'20/21</v>
      </c>
      <c r="H151" s="11" t="str">
        <f t="shared" si="24"/>
        <v>Mar'20/21</v>
      </c>
      <c r="I151" s="11">
        <f t="shared" si="25"/>
        <v>131.83362878389084</v>
      </c>
    </row>
    <row r="152" spans="2:9" x14ac:dyDescent="0.55000000000000004">
      <c r="B152" s="11">
        <f t="shared" si="26"/>
        <v>7</v>
      </c>
      <c r="C152" s="11">
        <f t="shared" si="27"/>
        <v>7</v>
      </c>
      <c r="D152" s="12">
        <f t="shared" si="20"/>
        <v>11757781.903056649</v>
      </c>
      <c r="E152" s="11" t="str">
        <f t="shared" si="21"/>
        <v>20/21</v>
      </c>
      <c r="F152" s="11" t="str">
        <f t="shared" si="22"/>
        <v>Apr</v>
      </c>
      <c r="G152" s="11" t="str">
        <f t="shared" si="23"/>
        <v>Apr'20/21</v>
      </c>
      <c r="H152" s="11" t="str">
        <f t="shared" si="24"/>
        <v>Apr'20/21</v>
      </c>
      <c r="I152" s="11">
        <f t="shared" si="25"/>
        <v>132.3299186955941</v>
      </c>
    </row>
    <row r="153" spans="2:9" x14ac:dyDescent="0.55000000000000004">
      <c r="B153" s="11">
        <f t="shared" si="26"/>
        <v>7</v>
      </c>
      <c r="C153" s="11">
        <f t="shared" si="27"/>
        <v>8</v>
      </c>
      <c r="D153" s="12">
        <f t="shared" si="20"/>
        <v>10523204.073065698</v>
      </c>
      <c r="E153" s="11" t="str">
        <f t="shared" si="21"/>
        <v>20/21</v>
      </c>
      <c r="F153" s="11" t="str">
        <f t="shared" si="22"/>
        <v>May</v>
      </c>
      <c r="G153" s="11" t="str">
        <f t="shared" si="23"/>
        <v>May'20/21</v>
      </c>
      <c r="H153" s="11" t="str">
        <f t="shared" si="24"/>
        <v>May'20/21</v>
      </c>
      <c r="I153" s="11">
        <f t="shared" si="25"/>
        <v>132.1332320151048</v>
      </c>
    </row>
    <row r="154" spans="2:9" x14ac:dyDescent="0.55000000000000004">
      <c r="B154" s="11">
        <f t="shared" si="26"/>
        <v>7</v>
      </c>
      <c r="C154" s="11">
        <f t="shared" si="27"/>
        <v>9</v>
      </c>
      <c r="D154" s="12">
        <f t="shared" si="20"/>
        <v>11636511.937813282</v>
      </c>
      <c r="E154" s="11" t="str">
        <f t="shared" si="21"/>
        <v>20/21</v>
      </c>
      <c r="F154" s="11" t="str">
        <f t="shared" si="22"/>
        <v>Jun</v>
      </c>
      <c r="G154" s="11" t="str">
        <f t="shared" si="23"/>
        <v>Jun'20/21</v>
      </c>
      <c r="H154" s="11" t="str">
        <f t="shared" si="24"/>
        <v>Jun'20/21</v>
      </c>
      <c r="I154" s="11">
        <f t="shared" si="25"/>
        <v>133.10614841370779</v>
      </c>
    </row>
    <row r="155" spans="2:9" x14ac:dyDescent="0.55000000000000004">
      <c r="B155" s="11">
        <f t="shared" si="26"/>
        <v>7</v>
      </c>
      <c r="C155" s="11">
        <f t="shared" si="27"/>
        <v>10</v>
      </c>
      <c r="D155" s="12">
        <f t="shared" si="20"/>
        <v>11107640.554465195</v>
      </c>
      <c r="E155" s="11" t="str">
        <f t="shared" si="21"/>
        <v>20/21</v>
      </c>
      <c r="F155" s="11" t="str">
        <f t="shared" si="22"/>
        <v>Jul</v>
      </c>
      <c r="G155" s="11" t="str">
        <f t="shared" si="23"/>
        <v>Jul'20/21</v>
      </c>
      <c r="H155" s="11" t="str">
        <f t="shared" si="24"/>
        <v>Jul'20/21</v>
      </c>
      <c r="I155" s="11">
        <f t="shared" si="25"/>
        <v>133.76117965338253</v>
      </c>
    </row>
    <row r="156" spans="2:9" x14ac:dyDescent="0.55000000000000004">
      <c r="B156" s="11">
        <f t="shared" si="26"/>
        <v>7</v>
      </c>
      <c r="C156" s="11">
        <f t="shared" si="27"/>
        <v>11</v>
      </c>
      <c r="D156" s="12">
        <f t="shared" si="20"/>
        <v>10497298.393015807</v>
      </c>
      <c r="E156" s="11" t="str">
        <f t="shared" si="21"/>
        <v>20/21</v>
      </c>
      <c r="F156" s="11" t="str">
        <f t="shared" si="22"/>
        <v>Aug</v>
      </c>
      <c r="G156" s="11" t="str">
        <f t="shared" si="23"/>
        <v>Aug'20/21</v>
      </c>
      <c r="H156" s="11" t="str">
        <f t="shared" si="24"/>
        <v>Aug'20/21</v>
      </c>
      <c r="I156" s="11">
        <f t="shared" si="25"/>
        <v>133.70275832781502</v>
      </c>
    </row>
    <row r="157" spans="2:9" x14ac:dyDescent="0.55000000000000004">
      <c r="B157" s="11">
        <f t="shared" si="26"/>
        <v>7</v>
      </c>
      <c r="C157" s="11">
        <f t="shared" si="27"/>
        <v>12</v>
      </c>
      <c r="D157" s="12">
        <f t="shared" si="20"/>
        <v>10786931.405702867</v>
      </c>
      <c r="E157" s="11" t="str">
        <f t="shared" si="21"/>
        <v>20/21</v>
      </c>
      <c r="F157" s="11" t="str">
        <f t="shared" si="22"/>
        <v>Sep</v>
      </c>
      <c r="G157" s="11" t="str">
        <f t="shared" si="23"/>
        <v>Sep'20/21</v>
      </c>
      <c r="H157" s="11" t="str">
        <f t="shared" si="24"/>
        <v>Sep'20/21</v>
      </c>
      <c r="I157" s="11">
        <f t="shared" si="25"/>
        <v>133.37181428349552</v>
      </c>
    </row>
    <row r="158" spans="2:9" x14ac:dyDescent="0.55000000000000004">
      <c r="B158" s="11">
        <f t="shared" si="26"/>
        <v>8</v>
      </c>
      <c r="C158" s="11">
        <f t="shared" si="27"/>
        <v>1</v>
      </c>
      <c r="D158" s="12">
        <f t="shared" si="20"/>
        <v>9949518.1549459249</v>
      </c>
      <c r="E158" s="11" t="str">
        <f t="shared" si="21"/>
        <v>21/22</v>
      </c>
      <c r="F158" s="11" t="str">
        <f t="shared" si="22"/>
        <v>Oct</v>
      </c>
      <c r="G158" s="11" t="str">
        <f t="shared" si="23"/>
        <v>Oct'21/22</v>
      </c>
      <c r="H158" s="11" t="str">
        <f t="shared" si="24"/>
        <v>Oct'21/22</v>
      </c>
      <c r="I158" s="11">
        <f t="shared" si="25"/>
        <v>133.15873023051509</v>
      </c>
    </row>
    <row r="159" spans="2:9" x14ac:dyDescent="0.55000000000000004">
      <c r="B159" s="11">
        <f t="shared" si="26"/>
        <v>8</v>
      </c>
      <c r="C159" s="11">
        <f t="shared" si="27"/>
        <v>2</v>
      </c>
      <c r="D159" s="12">
        <f t="shared" si="20"/>
        <v>9804067.7271048669</v>
      </c>
      <c r="E159" s="11" t="str">
        <f t="shared" si="21"/>
        <v>21/22</v>
      </c>
      <c r="F159" s="11" t="str">
        <f t="shared" si="22"/>
        <v>Nov</v>
      </c>
      <c r="G159" s="11" t="str">
        <f t="shared" si="23"/>
        <v>Nov'21/22</v>
      </c>
      <c r="H159" s="11" t="str">
        <f t="shared" si="24"/>
        <v>Nov'21/22</v>
      </c>
      <c r="I159" s="11">
        <f t="shared" si="25"/>
        <v>132.42397353473234</v>
      </c>
    </row>
    <row r="160" spans="2:9" x14ac:dyDescent="0.55000000000000004">
      <c r="B160" s="11">
        <f t="shared" si="26"/>
        <v>8</v>
      </c>
      <c r="C160" s="11">
        <f t="shared" si="27"/>
        <v>3</v>
      </c>
      <c r="D160" s="12">
        <f t="shared" si="20"/>
        <v>11958329.037914967</v>
      </c>
      <c r="E160" s="11" t="str">
        <f t="shared" si="21"/>
        <v>21/22</v>
      </c>
      <c r="F160" s="11" t="str">
        <f t="shared" si="22"/>
        <v>Dec</v>
      </c>
      <c r="G160" s="11" t="str">
        <f t="shared" si="23"/>
        <v>Dec'21/22</v>
      </c>
      <c r="H160" s="11" t="str">
        <f t="shared" si="24"/>
        <v>Dec'21/22</v>
      </c>
      <c r="I160" s="11">
        <f t="shared" si="25"/>
        <v>132.89022777158556</v>
      </c>
    </row>
    <row r="161" spans="2:9" x14ac:dyDescent="0.55000000000000004">
      <c r="B161" s="11">
        <f t="shared" si="26"/>
        <v>8</v>
      </c>
      <c r="C161" s="11">
        <f t="shared" si="27"/>
        <v>4</v>
      </c>
      <c r="D161" s="12">
        <f t="shared" si="20"/>
        <v>12230473.169062009</v>
      </c>
      <c r="E161" s="11" t="str">
        <f t="shared" si="21"/>
        <v>21/22</v>
      </c>
      <c r="F161" s="11" t="str">
        <f t="shared" si="22"/>
        <v>Jan</v>
      </c>
      <c r="G161" s="11" t="str">
        <f t="shared" si="23"/>
        <v>Jan'21/22</v>
      </c>
      <c r="H161" s="11" t="str">
        <f t="shared" si="24"/>
        <v>Jan'21/22</v>
      </c>
      <c r="I161" s="11">
        <f t="shared" si="25"/>
        <v>134.55681069629574</v>
      </c>
    </row>
    <row r="162" spans="2:9" x14ac:dyDescent="0.55000000000000004">
      <c r="B162" s="11">
        <f t="shared" si="26"/>
        <v>8</v>
      </c>
      <c r="C162" s="11">
        <f t="shared" si="27"/>
        <v>5</v>
      </c>
      <c r="D162" s="12">
        <f t="shared" si="20"/>
        <v>11436849.802868651</v>
      </c>
      <c r="E162" s="11" t="str">
        <f t="shared" si="21"/>
        <v>21/22</v>
      </c>
      <c r="F162" s="11" t="str">
        <f t="shared" si="22"/>
        <v>Feb</v>
      </c>
      <c r="G162" s="11" t="str">
        <f t="shared" si="23"/>
        <v>Feb'21/22</v>
      </c>
      <c r="H162" s="11" t="str">
        <f t="shared" si="24"/>
        <v>Feb'21/22</v>
      </c>
      <c r="I162" s="11">
        <f t="shared" si="25"/>
        <v>134.37688135797003</v>
      </c>
    </row>
    <row r="163" spans="2:9" x14ac:dyDescent="0.55000000000000004">
      <c r="B163" s="11">
        <f t="shared" si="26"/>
        <v>8</v>
      </c>
      <c r="C163" s="11">
        <f t="shared" si="27"/>
        <v>6</v>
      </c>
      <c r="D163" s="12">
        <f t="shared" si="20"/>
        <v>13501957.104541706</v>
      </c>
      <c r="E163" s="11" t="str">
        <f t="shared" si="21"/>
        <v>21/22</v>
      </c>
      <c r="F163" s="11" t="str">
        <f t="shared" si="22"/>
        <v>Mar</v>
      </c>
      <c r="G163" s="11" t="str">
        <f t="shared" si="23"/>
        <v>Mar'21/22</v>
      </c>
      <c r="H163" s="11" t="str">
        <f t="shared" si="24"/>
        <v>Mar'21/22</v>
      </c>
      <c r="I163" s="11">
        <f t="shared" si="25"/>
        <v>135.19056326355764</v>
      </c>
    </row>
    <row r="164" spans="2:9" x14ac:dyDescent="0.55000000000000004">
      <c r="B164" s="11">
        <f t="shared" si="26"/>
        <v>8</v>
      </c>
      <c r="C164" s="11">
        <f t="shared" si="27"/>
        <v>7</v>
      </c>
      <c r="D164" s="12">
        <f t="shared" si="20"/>
        <v>11053003.493836617</v>
      </c>
      <c r="E164" s="11" t="str">
        <f t="shared" si="21"/>
        <v>21/22</v>
      </c>
      <c r="F164" s="11" t="str">
        <f t="shared" si="22"/>
        <v>Apr</v>
      </c>
      <c r="G164" s="11" t="str">
        <f t="shared" si="23"/>
        <v>Apr'21/22</v>
      </c>
      <c r="H164" s="11" t="str">
        <f t="shared" si="24"/>
        <v>Apr'21/22</v>
      </c>
      <c r="I164" s="11">
        <f t="shared" si="25"/>
        <v>134.48578485433757</v>
      </c>
    </row>
    <row r="165" spans="2:9" x14ac:dyDescent="0.55000000000000004">
      <c r="B165" s="11">
        <f t="shared" si="26"/>
        <v>8</v>
      </c>
      <c r="C165" s="11">
        <f t="shared" si="27"/>
        <v>8</v>
      </c>
      <c r="D165" s="12">
        <f t="shared" si="20"/>
        <v>11157467.73392245</v>
      </c>
      <c r="E165" s="11" t="str">
        <f t="shared" si="21"/>
        <v>21/22</v>
      </c>
      <c r="F165" s="11" t="str">
        <f t="shared" si="22"/>
        <v>May</v>
      </c>
      <c r="G165" s="11" t="str">
        <f t="shared" si="23"/>
        <v>May'21/22</v>
      </c>
      <c r="H165" s="11" t="str">
        <f t="shared" si="24"/>
        <v>May'21/22</v>
      </c>
      <c r="I165" s="11">
        <f t="shared" si="25"/>
        <v>135.12004851519433</v>
      </c>
    </row>
    <row r="166" spans="2:9" x14ac:dyDescent="0.55000000000000004">
      <c r="B166" s="11">
        <f t="shared" si="26"/>
        <v>8</v>
      </c>
      <c r="C166" s="11">
        <f t="shared" si="27"/>
        <v>9</v>
      </c>
      <c r="D166" s="12">
        <f t="shared" si="20"/>
        <v>11577882.941287177</v>
      </c>
      <c r="E166" s="11" t="str">
        <f t="shared" si="21"/>
        <v>21/22</v>
      </c>
      <c r="F166" s="11" t="str">
        <f t="shared" si="22"/>
        <v>Jun</v>
      </c>
      <c r="G166" s="11" t="str">
        <f t="shared" si="23"/>
        <v>Jun'21/22</v>
      </c>
      <c r="H166" s="11" t="str">
        <f t="shared" si="24"/>
        <v>Jun'21/22</v>
      </c>
      <c r="I166" s="11">
        <f t="shared" si="25"/>
        <v>135.06141951866823</v>
      </c>
    </row>
    <row r="167" spans="2:9" x14ac:dyDescent="0.55000000000000004">
      <c r="B167" s="11">
        <f t="shared" si="26"/>
        <v>8</v>
      </c>
      <c r="C167" s="11">
        <f t="shared" si="27"/>
        <v>10</v>
      </c>
      <c r="D167" s="12">
        <f t="shared" si="20"/>
        <v>10196514.746846348</v>
      </c>
      <c r="E167" s="11" t="str">
        <f t="shared" si="21"/>
        <v>21/22</v>
      </c>
      <c r="F167" s="11" t="str">
        <f t="shared" si="22"/>
        <v>Jul</v>
      </c>
      <c r="G167" s="11" t="str">
        <f t="shared" si="23"/>
        <v>Jul'21/22</v>
      </c>
      <c r="H167" s="11" t="str">
        <f t="shared" si="24"/>
        <v>Jul'21/22</v>
      </c>
      <c r="I167" s="11">
        <f t="shared" si="25"/>
        <v>134.15029371104939</v>
      </c>
    </row>
    <row r="168" spans="2:9" x14ac:dyDescent="0.55000000000000004">
      <c r="B168" s="11">
        <f t="shared" si="26"/>
        <v>8</v>
      </c>
      <c r="C168" s="11">
        <f t="shared" si="27"/>
        <v>11</v>
      </c>
      <c r="D168" s="12">
        <f t="shared" si="20"/>
        <v>10470487.738600034</v>
      </c>
      <c r="E168" s="11" t="str">
        <f t="shared" si="21"/>
        <v>21/22</v>
      </c>
      <c r="F168" s="11" t="str">
        <f t="shared" si="22"/>
        <v>Aug</v>
      </c>
      <c r="G168" s="11" t="str">
        <f t="shared" si="23"/>
        <v>Aug'21/22</v>
      </c>
      <c r="H168" s="11" t="str">
        <f t="shared" si="24"/>
        <v>Aug'21/22</v>
      </c>
      <c r="I168" s="11">
        <f t="shared" si="25"/>
        <v>134.1234830566336</v>
      </c>
    </row>
    <row r="169" spans="2:9" x14ac:dyDescent="0.55000000000000004">
      <c r="B169" s="11">
        <f t="shared" si="26"/>
        <v>8</v>
      </c>
      <c r="C169" s="11">
        <f t="shared" si="27"/>
        <v>12</v>
      </c>
      <c r="D169" s="12">
        <f t="shared" si="20"/>
        <v>10524775.924346736</v>
      </c>
      <c r="E169" s="11" t="str">
        <f t="shared" si="21"/>
        <v>21/22</v>
      </c>
      <c r="F169" s="11" t="str">
        <f t="shared" si="22"/>
        <v>Sep</v>
      </c>
      <c r="G169" s="11" t="str">
        <f t="shared" si="23"/>
        <v>Sep'21/22</v>
      </c>
      <c r="H169" s="11" t="str">
        <f t="shared" si="24"/>
        <v>Sep'21/22</v>
      </c>
      <c r="I169" s="11">
        <f t="shared" si="25"/>
        <v>133.86132757527747</v>
      </c>
    </row>
    <row r="170" spans="2:9" x14ac:dyDescent="0.55000000000000004">
      <c r="B170" s="11">
        <f t="shared" si="26"/>
        <v>9</v>
      </c>
      <c r="C170" s="11">
        <f t="shared" si="27"/>
        <v>1</v>
      </c>
      <c r="D170" s="12">
        <f t="shared" si="20"/>
        <v>9284589.2131166421</v>
      </c>
      <c r="E170" s="11" t="str">
        <f t="shared" si="21"/>
        <v>22/23</v>
      </c>
      <c r="F170" s="11" t="str">
        <f t="shared" si="22"/>
        <v>Oct</v>
      </c>
      <c r="G170" s="11" t="str">
        <f t="shared" si="23"/>
        <v>Oct'22/23</v>
      </c>
      <c r="H170" s="11" t="str">
        <f t="shared" si="24"/>
        <v>Oct'22/23</v>
      </c>
      <c r="I170" s="11">
        <f t="shared" si="25"/>
        <v>133.19639863344821</v>
      </c>
    </row>
    <row r="171" spans="2:9" x14ac:dyDescent="0.55000000000000004">
      <c r="B171" s="11">
        <f t="shared" si="26"/>
        <v>9</v>
      </c>
      <c r="C171" s="11">
        <f t="shared" si="27"/>
        <v>2</v>
      </c>
      <c r="D171" s="12">
        <f t="shared" si="20"/>
        <v>10009216.483144196</v>
      </c>
      <c r="E171" s="11" t="str">
        <f t="shared" si="21"/>
        <v>22/23</v>
      </c>
      <c r="F171" s="11" t="str">
        <f t="shared" si="22"/>
        <v>Nov</v>
      </c>
      <c r="G171" s="11" t="str">
        <f t="shared" si="23"/>
        <v>Nov'22/23</v>
      </c>
      <c r="H171" s="11" t="str">
        <f t="shared" si="24"/>
        <v>Nov'22/23</v>
      </c>
      <c r="I171" s="11">
        <f t="shared" si="25"/>
        <v>133.40154738948752</v>
      </c>
    </row>
    <row r="172" spans="2:9" x14ac:dyDescent="0.55000000000000004">
      <c r="B172" s="11">
        <f t="shared" si="26"/>
        <v>9</v>
      </c>
      <c r="C172" s="11">
        <f t="shared" si="27"/>
        <v>3</v>
      </c>
      <c r="D172" s="12">
        <f t="shared" si="20"/>
        <v>10436283.653071398</v>
      </c>
      <c r="E172" s="11" t="str">
        <f t="shared" si="21"/>
        <v>22/23</v>
      </c>
      <c r="F172" s="11" t="str">
        <f t="shared" si="22"/>
        <v>Dec</v>
      </c>
      <c r="G172" s="11" t="str">
        <f t="shared" si="23"/>
        <v>Dec'22/23</v>
      </c>
      <c r="H172" s="11" t="str">
        <f t="shared" si="24"/>
        <v>Dec'22/23</v>
      </c>
      <c r="I172" s="11">
        <f t="shared" si="25"/>
        <v>131.87950200464397</v>
      </c>
    </row>
    <row r="173" spans="2:9" x14ac:dyDescent="0.55000000000000004">
      <c r="B173" s="11">
        <f t="shared" si="26"/>
        <v>9</v>
      </c>
      <c r="C173" s="11">
        <f t="shared" si="27"/>
        <v>4</v>
      </c>
      <c r="D173" s="12">
        <f t="shared" si="20"/>
        <v>9284724.4118741117</v>
      </c>
      <c r="E173" s="11" t="str">
        <f t="shared" si="21"/>
        <v>22/23</v>
      </c>
      <c r="F173" s="11" t="str">
        <f t="shared" si="22"/>
        <v>Jan</v>
      </c>
      <c r="G173" s="11" t="str">
        <f t="shared" si="23"/>
        <v>Jan'22/23</v>
      </c>
      <c r="H173" s="11" t="str">
        <f t="shared" si="24"/>
        <v>Jan'22/23</v>
      </c>
      <c r="I173" s="11">
        <f t="shared" si="25"/>
        <v>128.93375324745608</v>
      </c>
    </row>
    <row r="174" spans="2:9" x14ac:dyDescent="0.55000000000000004">
      <c r="B174" s="11">
        <f t="shared" si="26"/>
        <v>9</v>
      </c>
      <c r="C174" s="11">
        <f t="shared" si="27"/>
        <v>5</v>
      </c>
      <c r="D174" s="12">
        <f t="shared" si="20"/>
        <v>10011138.601719223</v>
      </c>
      <c r="E174" s="11" t="str">
        <f t="shared" si="21"/>
        <v>22/23</v>
      </c>
      <c r="F174" s="11" t="str">
        <f t="shared" si="22"/>
        <v>Feb</v>
      </c>
      <c r="G174" s="11" t="str">
        <f t="shared" si="23"/>
        <v>Feb'22/23</v>
      </c>
      <c r="H174" s="11" t="str">
        <f t="shared" si="24"/>
        <v>Feb'22/23</v>
      </c>
      <c r="I174" s="11">
        <f t="shared" si="25"/>
        <v>127.50804204630664</v>
      </c>
    </row>
    <row r="175" spans="2:9" x14ac:dyDescent="0.55000000000000004">
      <c r="B175" s="11">
        <f t="shared" si="26"/>
        <v>9</v>
      </c>
      <c r="C175" s="11">
        <f t="shared" si="27"/>
        <v>6</v>
      </c>
      <c r="D175" s="12">
        <f t="shared" si="20"/>
        <v>11791649.130200544</v>
      </c>
      <c r="E175" s="11" t="str">
        <f t="shared" si="21"/>
        <v>22/23</v>
      </c>
      <c r="F175" s="11" t="str">
        <f t="shared" si="22"/>
        <v>Mar</v>
      </c>
      <c r="G175" s="11" t="str">
        <f t="shared" si="23"/>
        <v>Mar'22/23</v>
      </c>
      <c r="H175" s="11" t="str">
        <f t="shared" si="24"/>
        <v>Mar'22/23</v>
      </c>
      <c r="I175" s="11">
        <f t="shared" si="25"/>
        <v>125.79773407196551</v>
      </c>
    </row>
    <row r="176" spans="2:9" x14ac:dyDescent="0.55000000000000004">
      <c r="B176" s="11">
        <f t="shared" si="26"/>
        <v>9</v>
      </c>
      <c r="C176" s="11">
        <f t="shared" si="27"/>
        <v>7</v>
      </c>
      <c r="D176" s="12">
        <f t="shared" si="20"/>
        <v>10468151.341899138</v>
      </c>
      <c r="E176" s="11" t="str">
        <f t="shared" si="21"/>
        <v>22/23</v>
      </c>
      <c r="F176" s="11" t="str">
        <f t="shared" si="22"/>
        <v>Apr</v>
      </c>
      <c r="G176" s="11" t="str">
        <f t="shared" si="23"/>
        <v>Apr'22/23</v>
      </c>
      <c r="H176" s="11" t="str">
        <f t="shared" si="24"/>
        <v>Apr'22/23</v>
      </c>
      <c r="I176" s="11">
        <f t="shared" si="25"/>
        <v>125.212881920028</v>
      </c>
    </row>
    <row r="177" spans="2:9" x14ac:dyDescent="0.55000000000000004">
      <c r="B177" s="11">
        <f t="shared" si="26"/>
        <v>9</v>
      </c>
      <c r="C177" s="11">
        <f t="shared" si="27"/>
        <v>8</v>
      </c>
      <c r="D177" s="12">
        <f t="shared" si="20"/>
        <v>10767190.753515432</v>
      </c>
      <c r="E177" s="11" t="str">
        <f t="shared" si="21"/>
        <v>22/23</v>
      </c>
      <c r="F177" s="11" t="str">
        <f t="shared" si="22"/>
        <v>May</v>
      </c>
      <c r="G177" s="11" t="str">
        <f t="shared" si="23"/>
        <v>May'22/23</v>
      </c>
      <c r="H177" s="11" t="str">
        <f t="shared" si="24"/>
        <v>May'22/23</v>
      </c>
      <c r="I177" s="11">
        <f t="shared" si="25"/>
        <v>124.82260493962099</v>
      </c>
    </row>
    <row r="178" spans="2:9" x14ac:dyDescent="0.55000000000000004">
      <c r="B178" s="11">
        <f t="shared" si="26"/>
        <v>9</v>
      </c>
      <c r="C178" s="11">
        <f t="shared" si="27"/>
        <v>9</v>
      </c>
      <c r="D178" s="12">
        <f t="shared" si="20"/>
        <v>10729536.770506924</v>
      </c>
      <c r="E178" s="11" t="str">
        <f t="shared" si="21"/>
        <v>22/23</v>
      </c>
      <c r="F178" s="11" t="str">
        <f t="shared" si="22"/>
        <v>Jun</v>
      </c>
      <c r="G178" s="11" t="str">
        <f t="shared" si="23"/>
        <v>Jun'22/23</v>
      </c>
      <c r="H178" s="11" t="str">
        <f t="shared" si="24"/>
        <v>Jun'22/23</v>
      </c>
      <c r="I178" s="11">
        <f t="shared" si="25"/>
        <v>123.97425876884071</v>
      </c>
    </row>
    <row r="179" spans="2:9" x14ac:dyDescent="0.55000000000000004">
      <c r="B179" s="11">
        <f t="shared" si="26"/>
        <v>9</v>
      </c>
      <c r="C179" s="11">
        <f t="shared" si="27"/>
        <v>10</v>
      </c>
      <c r="D179" s="12">
        <f t="shared" si="20"/>
        <v>10513064.843939845</v>
      </c>
      <c r="E179" s="11" t="str">
        <f t="shared" si="21"/>
        <v>22/23</v>
      </c>
      <c r="F179" s="11" t="str">
        <f t="shared" si="22"/>
        <v>Jul</v>
      </c>
      <c r="G179" s="11" t="str">
        <f t="shared" si="23"/>
        <v>Jul'22/23</v>
      </c>
      <c r="H179" s="11" t="str">
        <f t="shared" si="24"/>
        <v>Jul'22/23</v>
      </c>
      <c r="I179" s="11">
        <f t="shared" si="25"/>
        <v>124.29080886593424</v>
      </c>
    </row>
    <row r="180" spans="2:9" x14ac:dyDescent="0.55000000000000004">
      <c r="B180" s="11">
        <f t="shared" si="26"/>
        <v>9</v>
      </c>
      <c r="C180" s="11">
        <f t="shared" si="27"/>
        <v>11</v>
      </c>
      <c r="D180" s="12">
        <f t="shared" si="20"/>
        <v>10760429.628203329</v>
      </c>
      <c r="E180" s="11" t="str">
        <f t="shared" si="21"/>
        <v>22/23</v>
      </c>
      <c r="F180" s="11" t="str">
        <f t="shared" si="22"/>
        <v>Aug</v>
      </c>
      <c r="G180" s="11" t="str">
        <f t="shared" si="23"/>
        <v>Aug'22/23</v>
      </c>
      <c r="H180" s="11" t="str">
        <f t="shared" si="24"/>
        <v>Aug'22/23</v>
      </c>
      <c r="I180" s="11">
        <f t="shared" si="25"/>
        <v>124.58075075553751</v>
      </c>
    </row>
    <row r="181" spans="2:9" x14ac:dyDescent="0.55000000000000004">
      <c r="B181" s="11">
        <f t="shared" si="26"/>
        <v>9</v>
      </c>
      <c r="C181" s="11">
        <f t="shared" si="27"/>
        <v>12</v>
      </c>
      <c r="D181" s="12">
        <f t="shared" si="20"/>
        <v>9030134.4847685881</v>
      </c>
      <c r="E181" s="11" t="str">
        <f t="shared" si="21"/>
        <v>22/23</v>
      </c>
      <c r="F181" s="11" t="str">
        <f t="shared" si="22"/>
        <v>Sep</v>
      </c>
      <c r="G181" s="11" t="str">
        <f t="shared" si="23"/>
        <v>Sep'22/23</v>
      </c>
      <c r="H181" s="11" t="str">
        <f t="shared" si="24"/>
        <v>Sep'22/23</v>
      </c>
      <c r="I181" s="11">
        <f t="shared" si="25"/>
        <v>123.08610931595936</v>
      </c>
    </row>
    <row r="182" spans="2:9" x14ac:dyDescent="0.55000000000000004">
      <c r="B182" s="11">
        <f t="shared" si="26"/>
        <v>10</v>
      </c>
      <c r="C182" s="11">
        <f t="shared" si="27"/>
        <v>1</v>
      </c>
      <c r="D182" s="12">
        <f t="shared" si="20"/>
        <v>9231980.4411241002</v>
      </c>
      <c r="E182" s="11" t="str">
        <f t="shared" si="21"/>
        <v>23/24</v>
      </c>
      <c r="F182" s="11" t="str">
        <f t="shared" si="22"/>
        <v>Oct</v>
      </c>
      <c r="G182" s="11" t="str">
        <f t="shared" si="23"/>
        <v>Oct'23/24</v>
      </c>
      <c r="H182" s="11" t="str">
        <f t="shared" si="24"/>
        <v>Oct'23/24</v>
      </c>
      <c r="I182" s="11">
        <f t="shared" si="25"/>
        <v>123.03350054396681</v>
      </c>
    </row>
    <row r="183" spans="2:9" x14ac:dyDescent="0.55000000000000004">
      <c r="B183" s="11">
        <f t="shared" si="26"/>
        <v>10</v>
      </c>
      <c r="C183" s="11">
        <f t="shared" si="27"/>
        <v>2</v>
      </c>
      <c r="D183" s="12">
        <f t="shared" si="20"/>
        <v>10576041.557372687</v>
      </c>
      <c r="E183" s="11" t="str">
        <f t="shared" si="21"/>
        <v>23/24</v>
      </c>
      <c r="F183" s="11" t="str">
        <f t="shared" si="22"/>
        <v>Nov</v>
      </c>
      <c r="G183" s="11" t="str">
        <f t="shared" si="23"/>
        <v>Nov'23/24</v>
      </c>
      <c r="H183" s="11" t="str">
        <f t="shared" si="24"/>
        <v>Nov'23/24</v>
      </c>
      <c r="I183" s="11">
        <f t="shared" si="25"/>
        <v>123.60032561819531</v>
      </c>
    </row>
    <row r="184" spans="2:9" x14ac:dyDescent="0.55000000000000004">
      <c r="B184" s="11">
        <f t="shared" si="26"/>
        <v>10</v>
      </c>
      <c r="C184" s="11">
        <f t="shared" si="27"/>
        <v>3</v>
      </c>
      <c r="D184" s="12">
        <f t="shared" si="20"/>
        <v>11674082.631258063</v>
      </c>
      <c r="E184" s="11" t="str">
        <f t="shared" si="21"/>
        <v>23/24</v>
      </c>
      <c r="F184" s="11" t="str">
        <f t="shared" si="22"/>
        <v>Dec</v>
      </c>
      <c r="G184" s="11" t="str">
        <f t="shared" si="23"/>
        <v>Dec'23/24</v>
      </c>
      <c r="H184" s="11" t="str">
        <f t="shared" si="24"/>
        <v>Dec'23/24</v>
      </c>
      <c r="I184" s="11">
        <f t="shared" si="25"/>
        <v>124.83812459638199</v>
      </c>
    </row>
    <row r="185" spans="2:9" x14ac:dyDescent="0.55000000000000004">
      <c r="B185" s="11">
        <f t="shared" si="26"/>
        <v>10</v>
      </c>
      <c r="C185" s="11">
        <f t="shared" si="27"/>
        <v>4</v>
      </c>
      <c r="D185" s="12">
        <f t="shared" si="20"/>
        <v>11865035.812514577</v>
      </c>
      <c r="E185" s="11" t="str">
        <f t="shared" si="21"/>
        <v>23/24</v>
      </c>
      <c r="F185" s="11" t="str">
        <f t="shared" si="22"/>
        <v>Jan</v>
      </c>
      <c r="G185" s="11" t="str">
        <f t="shared" si="23"/>
        <v>Jan'23/24</v>
      </c>
      <c r="H185" s="11" t="str">
        <f t="shared" si="24"/>
        <v>Jan'23/24</v>
      </c>
      <c r="I185" s="11">
        <f t="shared" si="25"/>
        <v>127.41843599702246</v>
      </c>
    </row>
    <row r="186" spans="2:9" x14ac:dyDescent="0.55000000000000004">
      <c r="B186" s="11">
        <f t="shared" si="26"/>
        <v>10</v>
      </c>
      <c r="C186" s="11">
        <f t="shared" si="27"/>
        <v>5</v>
      </c>
      <c r="D186" s="12">
        <f t="shared" si="20"/>
        <v>11768315.233061567</v>
      </c>
      <c r="E186" s="11" t="str">
        <f t="shared" si="21"/>
        <v>23/24</v>
      </c>
      <c r="F186" s="11" t="str">
        <f t="shared" si="22"/>
        <v>Feb</v>
      </c>
      <c r="G186" s="11" t="str">
        <f t="shared" si="23"/>
        <v>Feb'23/24</v>
      </c>
      <c r="H186" s="11" t="str">
        <f t="shared" si="24"/>
        <v>Feb'23/24</v>
      </c>
      <c r="I186" s="11">
        <f t="shared" si="25"/>
        <v>129.17561262836477</v>
      </c>
    </row>
    <row r="187" spans="2:9" x14ac:dyDescent="0.55000000000000004">
      <c r="B187" s="11">
        <f t="shared" si="26"/>
        <v>10</v>
      </c>
      <c r="C187" s="11">
        <f t="shared" si="27"/>
        <v>6</v>
      </c>
      <c r="D187" s="12">
        <f t="shared" si="20"/>
        <v>13170236.781309944</v>
      </c>
      <c r="E187" s="11" t="str">
        <f t="shared" si="21"/>
        <v>23/24</v>
      </c>
      <c r="F187" s="11" t="str">
        <f t="shared" si="22"/>
        <v>Mar</v>
      </c>
      <c r="G187" s="11" t="str">
        <f t="shared" si="23"/>
        <v>Mar'23/24</v>
      </c>
      <c r="H187" s="11" t="str">
        <f t="shared" si="24"/>
        <v>Mar'23/24</v>
      </c>
      <c r="I187" s="11">
        <f t="shared" si="25"/>
        <v>130.5542002794742</v>
      </c>
    </row>
    <row r="188" spans="2:9" x14ac:dyDescent="0.55000000000000004">
      <c r="B188" s="11">
        <f t="shared" si="26"/>
        <v>10</v>
      </c>
      <c r="C188" s="11">
        <f t="shared" si="27"/>
        <v>7</v>
      </c>
      <c r="D188" s="12">
        <f t="shared" si="20"/>
        <v>12194971.260669509</v>
      </c>
      <c r="E188" s="11" t="str">
        <f t="shared" si="21"/>
        <v>23/24</v>
      </c>
      <c r="F188" s="11" t="str">
        <f t="shared" si="22"/>
        <v>Apr</v>
      </c>
      <c r="G188" s="11" t="str">
        <f t="shared" si="23"/>
        <v>Apr'23/24</v>
      </c>
      <c r="H188" s="11" t="str">
        <f t="shared" si="24"/>
        <v>Apr'23/24</v>
      </c>
      <c r="I188" s="11">
        <f t="shared" si="25"/>
        <v>132.28102019824456</v>
      </c>
    </row>
    <row r="189" spans="2:9" x14ac:dyDescent="0.55000000000000004">
      <c r="B189" s="11">
        <f t="shared" si="26"/>
        <v>10</v>
      </c>
      <c r="C189" s="11">
        <f t="shared" si="27"/>
        <v>8</v>
      </c>
      <c r="D189" s="12">
        <f t="shared" si="20"/>
        <v>12267034.415396089</v>
      </c>
      <c r="E189" s="11" t="str">
        <f t="shared" si="21"/>
        <v>23/24</v>
      </c>
      <c r="F189" s="11" t="str">
        <f t="shared" si="22"/>
        <v>May</v>
      </c>
      <c r="G189" s="11" t="str">
        <f t="shared" si="23"/>
        <v>May'23/24</v>
      </c>
      <c r="H189" s="11" t="str">
        <f t="shared" si="24"/>
        <v>May'23/24</v>
      </c>
      <c r="I189" s="11">
        <f t="shared" si="25"/>
        <v>133.78086386012524</v>
      </c>
    </row>
    <row r="190" spans="2:9" x14ac:dyDescent="0.55000000000000004">
      <c r="B190" s="11">
        <f t="shared" si="26"/>
        <v>10</v>
      </c>
      <c r="C190" s="11">
        <f t="shared" si="27"/>
        <v>9</v>
      </c>
      <c r="D190" s="12">
        <f t="shared" si="20"/>
        <v>11240380.703418141</v>
      </c>
      <c r="E190" s="11" t="str">
        <f t="shared" si="21"/>
        <v>23/24</v>
      </c>
      <c r="F190" s="11" t="str">
        <f t="shared" si="22"/>
        <v>Jun</v>
      </c>
      <c r="G190" s="11" t="str">
        <f t="shared" si="23"/>
        <v>Jun'23/24</v>
      </c>
      <c r="H190" s="11" t="str">
        <f t="shared" si="24"/>
        <v>Jun'23/24</v>
      </c>
      <c r="I190" s="11">
        <f t="shared" si="25"/>
        <v>134.29170779303647</v>
      </c>
    </row>
    <row r="191" spans="2:9" x14ac:dyDescent="0.55000000000000004">
      <c r="B191" s="11">
        <f t="shared" si="26"/>
        <v>10</v>
      </c>
      <c r="C191" s="11">
        <f t="shared" si="27"/>
        <v>10</v>
      </c>
      <c r="D191" s="12">
        <f t="shared" si="20"/>
        <v>11803918.420064678</v>
      </c>
      <c r="E191" s="11" t="str">
        <f t="shared" si="21"/>
        <v>23/24</v>
      </c>
      <c r="F191" s="11" t="str">
        <f t="shared" si="22"/>
        <v>Jul</v>
      </c>
      <c r="G191" s="11" t="str">
        <f t="shared" si="23"/>
        <v>Jul'23/24</v>
      </c>
      <c r="H191" s="11" t="str">
        <f t="shared" si="24"/>
        <v>Jul'23/24</v>
      </c>
      <c r="I191" s="11">
        <f t="shared" si="25"/>
        <v>135.58256136916128</v>
      </c>
    </row>
    <row r="192" spans="2:9" x14ac:dyDescent="0.55000000000000004">
      <c r="B192" s="11">
        <f t="shared" si="26"/>
        <v>10</v>
      </c>
      <c r="C192" s="11">
        <f t="shared" si="27"/>
        <v>11</v>
      </c>
      <c r="D192" s="12">
        <f t="shared" si="20"/>
        <v>11428707.642575298</v>
      </c>
      <c r="E192" s="11" t="str">
        <f t="shared" si="21"/>
        <v>23/24</v>
      </c>
      <c r="F192" s="11" t="str">
        <f t="shared" si="22"/>
        <v>Aug</v>
      </c>
      <c r="G192" s="11" t="str">
        <f t="shared" si="23"/>
        <v>Aug'23/24</v>
      </c>
      <c r="H192" s="11" t="str">
        <f t="shared" si="24"/>
        <v>Aug'23/24</v>
      </c>
      <c r="I192" s="11">
        <f t="shared" si="25"/>
        <v>136.25083938353325</v>
      </c>
    </row>
    <row r="193" spans="2:9" x14ac:dyDescent="0.55000000000000004">
      <c r="B193" s="11">
        <f t="shared" si="26"/>
        <v>10</v>
      </c>
      <c r="C193" s="11">
        <f t="shared" si="27"/>
        <v>12</v>
      </c>
      <c r="D193" s="12">
        <f t="shared" si="20"/>
        <v>11372709.485698933</v>
      </c>
      <c r="E193" s="11" t="str">
        <f t="shared" si="21"/>
        <v>23/24</v>
      </c>
      <c r="F193" s="11" t="str">
        <f t="shared" si="22"/>
        <v>Sep</v>
      </c>
      <c r="G193" s="11" t="str">
        <f t="shared" si="23"/>
        <v>Sep'23/24</v>
      </c>
      <c r="H193" s="11" t="str">
        <f t="shared" si="24"/>
        <v>Sep'23/24</v>
      </c>
      <c r="I193" s="11">
        <f t="shared" si="25"/>
        <v>138.59341438446359</v>
      </c>
    </row>
    <row r="194" spans="2:9" x14ac:dyDescent="0.55000000000000004">
      <c r="B194" s="11">
        <f t="shared" si="26"/>
        <v>11</v>
      </c>
      <c r="C194" s="11">
        <f t="shared" si="27"/>
        <v>1</v>
      </c>
      <c r="D194" s="12">
        <f t="shared" si="20"/>
        <v>10738179.650932442</v>
      </c>
      <c r="E194" s="11" t="str">
        <f t="shared" si="21"/>
        <v>24/25</v>
      </c>
      <c r="F194" s="11" t="str">
        <f t="shared" si="22"/>
        <v>Oct</v>
      </c>
      <c r="G194" s="11" t="str">
        <f t="shared" si="23"/>
        <v>Oct'24/25</v>
      </c>
      <c r="H194" s="11" t="str">
        <f t="shared" si="24"/>
        <v>Oct'24/25</v>
      </c>
      <c r="I194" s="11">
        <f t="shared" si="25"/>
        <v>140.09961359427191</v>
      </c>
    </row>
    <row r="195" spans="2:9" x14ac:dyDescent="0.55000000000000004">
      <c r="B195" s="11">
        <f t="shared" si="26"/>
        <v>11</v>
      </c>
      <c r="C195" s="11">
        <f t="shared" si="27"/>
        <v>2</v>
      </c>
      <c r="D195" s="12">
        <f t="shared" si="20"/>
        <v>9660552.1866142321</v>
      </c>
      <c r="E195" s="11" t="str">
        <f t="shared" si="21"/>
        <v>24/25</v>
      </c>
      <c r="F195" s="11" t="str">
        <f t="shared" si="22"/>
        <v>Nov</v>
      </c>
      <c r="G195" s="11" t="str">
        <f t="shared" si="23"/>
        <v>Nov'24/25</v>
      </c>
      <c r="H195" s="11" t="str">
        <f t="shared" si="24"/>
        <v>Nov'24/25</v>
      </c>
      <c r="I195" s="11">
        <f t="shared" si="25"/>
        <v>139.18412422351349</v>
      </c>
    </row>
    <row r="196" spans="2:9" x14ac:dyDescent="0.55000000000000004">
      <c r="B196" s="11">
        <f t="shared" si="26"/>
        <v>11</v>
      </c>
      <c r="C196" s="11">
        <f t="shared" si="27"/>
        <v>3</v>
      </c>
      <c r="D196" s="12">
        <f t="shared" si="20"/>
        <v>11407316.515094228</v>
      </c>
      <c r="E196" s="11" t="str">
        <f t="shared" si="21"/>
        <v>24/25</v>
      </c>
      <c r="F196" s="11" t="str">
        <f t="shared" si="22"/>
        <v>Dec</v>
      </c>
      <c r="G196" s="11" t="str">
        <f t="shared" si="23"/>
        <v>Dec'24/25</v>
      </c>
      <c r="H196" s="11" t="str">
        <f t="shared" si="24"/>
        <v>Dec'24/25</v>
      </c>
      <c r="I196" s="11">
        <f t="shared" si="25"/>
        <v>138.91735810734963</v>
      </c>
    </row>
    <row r="197" spans="2:9" x14ac:dyDescent="0.55000000000000004">
      <c r="B197" s="11">
        <f t="shared" si="26"/>
        <v>11</v>
      </c>
      <c r="C197" s="11">
        <f t="shared" si="27"/>
        <v>4</v>
      </c>
      <c r="D197" s="12">
        <f t="shared" si="20"/>
        <v>10330331.329329846</v>
      </c>
      <c r="E197" s="11" t="str">
        <f t="shared" si="21"/>
        <v>24/25</v>
      </c>
      <c r="F197" s="11" t="str">
        <f t="shared" si="22"/>
        <v>Jan</v>
      </c>
      <c r="G197" s="11" t="str">
        <f t="shared" si="23"/>
        <v>Jan'24/25</v>
      </c>
      <c r="H197" s="11" t="str">
        <f t="shared" si="24"/>
        <v>Jan'24/25</v>
      </c>
      <c r="I197" s="11">
        <f t="shared" si="25"/>
        <v>137.3826536241649</v>
      </c>
    </row>
    <row r="198" spans="2:9" x14ac:dyDescent="0.55000000000000004">
      <c r="B198" s="11">
        <f t="shared" si="26"/>
        <v>11</v>
      </c>
      <c r="C198" s="11">
        <f t="shared" si="27"/>
        <v>5</v>
      </c>
      <c r="D198" s="12">
        <f t="shared" si="20"/>
        <v>12152402.108761074</v>
      </c>
      <c r="E198" s="11" t="str">
        <f t="shared" si="21"/>
        <v>24/25</v>
      </c>
      <c r="F198" s="11" t="str">
        <f t="shared" si="22"/>
        <v>Feb</v>
      </c>
      <c r="G198" s="11" t="str">
        <f t="shared" si="23"/>
        <v>Feb'24/25</v>
      </c>
      <c r="H198" s="11" t="str">
        <f t="shared" si="24"/>
        <v>Feb'24/25</v>
      </c>
      <c r="I198" s="11">
        <f t="shared" si="25"/>
        <v>137.76674049986443</v>
      </c>
    </row>
    <row r="199" spans="2:9" x14ac:dyDescent="0.55000000000000004">
      <c r="B199" s="11">
        <f t="shared" si="26"/>
        <v>11</v>
      </c>
      <c r="C199" s="11">
        <f t="shared" si="27"/>
        <v>6</v>
      </c>
      <c r="D199" s="12">
        <f t="shared" si="20"/>
        <v>13077776.79016611</v>
      </c>
      <c r="E199" s="11" t="str">
        <f t="shared" si="21"/>
        <v>24/25</v>
      </c>
      <c r="F199" s="11" t="str">
        <f t="shared" si="22"/>
        <v>Mar</v>
      </c>
      <c r="G199" s="11" t="str">
        <f t="shared" si="23"/>
        <v>Mar'24/25</v>
      </c>
      <c r="H199" s="11" t="str">
        <f t="shared" si="24"/>
        <v>Mar'24/25</v>
      </c>
      <c r="I199" s="11">
        <f t="shared" si="25"/>
        <v>137.67428050872059</v>
      </c>
    </row>
    <row r="200" spans="2:9" x14ac:dyDescent="0.55000000000000004">
      <c r="B200" s="11">
        <f t="shared" si="26"/>
        <v>11</v>
      </c>
      <c r="C200" s="11">
        <f t="shared" si="27"/>
        <v>7</v>
      </c>
      <c r="D200" s="12">
        <f t="shared" si="20"/>
        <v>12045430.408728549</v>
      </c>
      <c r="E200" s="11" t="str">
        <f t="shared" si="21"/>
        <v>24/25</v>
      </c>
      <c r="F200" s="11" t="str">
        <f t="shared" si="22"/>
        <v>Apr</v>
      </c>
      <c r="G200" s="11" t="str">
        <f t="shared" si="23"/>
        <v>Apr'24/25</v>
      </c>
      <c r="H200" s="11" t="str">
        <f t="shared" si="24"/>
        <v>Apr'24/25</v>
      </c>
      <c r="I200" s="11">
        <f t="shared" si="25"/>
        <v>137.52473965677962</v>
      </c>
    </row>
    <row r="201" spans="2:9" x14ac:dyDescent="0.55000000000000004">
      <c r="B201" s="11">
        <f t="shared" si="26"/>
        <v>11</v>
      </c>
      <c r="C201" s="11">
        <f t="shared" si="27"/>
        <v>8</v>
      </c>
      <c r="D201" s="12">
        <f t="shared" si="20"/>
        <v>12729545.063789969</v>
      </c>
      <c r="E201" s="11" t="str">
        <f t="shared" si="21"/>
        <v>24/25</v>
      </c>
      <c r="F201" s="11" t="str">
        <f t="shared" si="22"/>
        <v>May</v>
      </c>
      <c r="G201" s="11" t="str">
        <f t="shared" si="23"/>
        <v>May'24/25</v>
      </c>
      <c r="H201" s="11" t="str">
        <f t="shared" si="24"/>
        <v>May'24/25</v>
      </c>
      <c r="I201" s="11">
        <f t="shared" si="25"/>
        <v>137.98725030517352</v>
      </c>
    </row>
    <row r="202" spans="2:9" x14ac:dyDescent="0.55000000000000004">
      <c r="B202" s="11">
        <f t="shared" si="26"/>
        <v>11</v>
      </c>
      <c r="C202" s="11">
        <f t="shared" si="27"/>
        <v>9</v>
      </c>
      <c r="D202" s="12">
        <f t="shared" si="20"/>
        <v>12173912.885420568</v>
      </c>
      <c r="E202" s="11" t="str">
        <f t="shared" si="21"/>
        <v>24/25</v>
      </c>
      <c r="F202" s="11" t="str">
        <f t="shared" si="22"/>
        <v>Jun</v>
      </c>
      <c r="G202" s="11" t="str">
        <f t="shared" si="23"/>
        <v>Jun'24/25</v>
      </c>
      <c r="H202" s="11" t="str">
        <f t="shared" si="24"/>
        <v>Jun'24/25</v>
      </c>
      <c r="I202" s="11">
        <f t="shared" si="25"/>
        <v>138.9207824871759</v>
      </c>
    </row>
    <row r="203" spans="2:9" x14ac:dyDescent="0.55000000000000004">
      <c r="B203" s="11">
        <f t="shared" si="26"/>
        <v>11</v>
      </c>
      <c r="C203" s="11">
        <f t="shared" si="27"/>
        <v>10</v>
      </c>
      <c r="D203" s="12">
        <f t="shared" ref="D203:D229" si="28">INDEX($C$7:$N$19,MATCH(B203,$A$7:$A$19),MATCH(C203,$C$4:$N$4))</f>
        <v>11685756.002730582</v>
      </c>
      <c r="E203" s="11" t="str">
        <f t="shared" ref="E203:E229" si="29">_xlfn.XLOOKUP(B203,$A$7:$A$19,$B$7:$B$19)</f>
        <v>24/25</v>
      </c>
      <c r="F203" s="11" t="str">
        <f t="shared" ref="F203:F229" si="30">_xlfn.XLOOKUP(C203,$C$4:$N$4,$C$6:$N$6)</f>
        <v>Jul</v>
      </c>
      <c r="G203" s="11" t="str">
        <f t="shared" ref="G203:G229" si="31">_xlfn.CONCAT(F203,"'",E203)</f>
        <v>Jul'24/25</v>
      </c>
      <c r="H203" s="11" t="str">
        <f t="shared" si="24"/>
        <v>Jul'24/25</v>
      </c>
      <c r="I203" s="11">
        <f t="shared" si="25"/>
        <v>138.80262006984182</v>
      </c>
    </row>
    <row r="204" spans="2:9" x14ac:dyDescent="0.55000000000000004">
      <c r="B204" s="11">
        <f t="shared" si="26"/>
        <v>11</v>
      </c>
      <c r="C204" s="11">
        <f t="shared" si="27"/>
        <v>11</v>
      </c>
      <c r="D204" s="12">
        <f t="shared" si="28"/>
        <v>11427355.918077774</v>
      </c>
      <c r="E204" s="11" t="str">
        <f t="shared" si="29"/>
        <v>24/25</v>
      </c>
      <c r="F204" s="11" t="str">
        <f t="shared" si="30"/>
        <v>Aug</v>
      </c>
      <c r="G204" s="11" t="str">
        <f t="shared" si="31"/>
        <v>Aug'24/25</v>
      </c>
      <c r="H204" s="11" t="str">
        <f t="shared" si="24"/>
        <v>Aug'24/25</v>
      </c>
      <c r="I204" s="11">
        <f t="shared" si="25"/>
        <v>138.80126834534431</v>
      </c>
    </row>
    <row r="205" spans="2:9" x14ac:dyDescent="0.55000000000000004">
      <c r="B205" s="11">
        <f t="shared" si="26"/>
        <v>11</v>
      </c>
      <c r="C205" s="11">
        <f t="shared" si="27"/>
        <v>12</v>
      </c>
      <c r="D205" s="12">
        <f t="shared" si="28"/>
        <v>11947549.9407843</v>
      </c>
      <c r="E205" s="11" t="str">
        <f t="shared" si="29"/>
        <v>24/25</v>
      </c>
      <c r="F205" s="11" t="str">
        <f t="shared" si="30"/>
        <v>Sep</v>
      </c>
      <c r="G205" s="11" t="str">
        <f t="shared" si="31"/>
        <v>Sep'24/25</v>
      </c>
      <c r="H205" s="11" t="str">
        <f t="shared" si="24"/>
        <v>Sep'24/25</v>
      </c>
      <c r="I205" s="11">
        <f t="shared" si="25"/>
        <v>139.37610880042968</v>
      </c>
    </row>
    <row r="206" spans="2:9" x14ac:dyDescent="0.55000000000000004">
      <c r="B206" s="11">
        <f t="shared" si="26"/>
        <v>12</v>
      </c>
      <c r="C206" s="11">
        <f t="shared" si="27"/>
        <v>1</v>
      </c>
      <c r="D206" s="12">
        <f t="shared" si="28"/>
        <v>10619764.67466308</v>
      </c>
      <c r="E206" s="11" t="str">
        <f t="shared" si="29"/>
        <v>25/26</v>
      </c>
      <c r="F206" s="11" t="str">
        <f t="shared" si="30"/>
        <v>Oct</v>
      </c>
      <c r="G206" s="11" t="str">
        <f t="shared" si="31"/>
        <v>Oct'25/26</v>
      </c>
      <c r="H206" s="11" t="str">
        <f t="shared" si="24"/>
        <v>Oct'25/26</v>
      </c>
      <c r="I206" s="11">
        <f t="shared" si="25"/>
        <v>139.25769382416027</v>
      </c>
    </row>
    <row r="207" spans="2:9" x14ac:dyDescent="0.55000000000000004">
      <c r="B207" s="11">
        <f t="shared" si="26"/>
        <v>12</v>
      </c>
      <c r="C207" s="11">
        <f t="shared" si="27"/>
        <v>2</v>
      </c>
      <c r="D207" s="12">
        <f t="shared" si="28"/>
        <v>9968464.3286310863</v>
      </c>
      <c r="E207" s="11" t="str">
        <f t="shared" si="29"/>
        <v>25/26</v>
      </c>
      <c r="F207" s="11" t="str">
        <f t="shared" si="30"/>
        <v>Nov</v>
      </c>
      <c r="G207" s="11" t="str">
        <f t="shared" si="31"/>
        <v>Nov'25/26</v>
      </c>
      <c r="H207" s="11" t="str">
        <f t="shared" si="24"/>
        <v>Nov'25/26</v>
      </c>
      <c r="I207" s="11">
        <f t="shared" si="25"/>
        <v>139.56560596617717</v>
      </c>
    </row>
    <row r="208" spans="2:9" x14ac:dyDescent="0.55000000000000004">
      <c r="B208" s="11">
        <f t="shared" si="26"/>
        <v>12</v>
      </c>
      <c r="C208" s="11">
        <f t="shared" si="27"/>
        <v>3</v>
      </c>
      <c r="D208" s="12">
        <f t="shared" si="28"/>
        <v>10827102.526014708</v>
      </c>
      <c r="E208" s="11" t="str">
        <f t="shared" si="29"/>
        <v>25/26</v>
      </c>
      <c r="F208" s="11" t="str">
        <f t="shared" si="30"/>
        <v>Dec</v>
      </c>
      <c r="G208" s="11" t="str">
        <f t="shared" si="31"/>
        <v>Dec'25/26</v>
      </c>
      <c r="H208" s="11" t="str">
        <f t="shared" si="24"/>
        <v>Dec'25/26</v>
      </c>
      <c r="I208" s="11">
        <f t="shared" si="25"/>
        <v>138.98539197709766</v>
      </c>
    </row>
    <row r="209" spans="2:9" x14ac:dyDescent="0.55000000000000004">
      <c r="B209" s="11">
        <f t="shared" si="26"/>
        <v>12</v>
      </c>
      <c r="C209" s="11">
        <f t="shared" si="27"/>
        <v>4</v>
      </c>
      <c r="D209" s="12">
        <f t="shared" si="28"/>
        <v>10717513.666105781</v>
      </c>
      <c r="E209" s="11" t="str">
        <f t="shared" si="29"/>
        <v>25/26</v>
      </c>
      <c r="F209" s="11" t="str">
        <f t="shared" si="30"/>
        <v>Jan</v>
      </c>
      <c r="G209" s="11" t="str">
        <f t="shared" si="31"/>
        <v>Jan'25/26</v>
      </c>
      <c r="H209" s="11" t="str">
        <f t="shared" si="24"/>
        <v>Jan'25/26</v>
      </c>
      <c r="I209" s="11">
        <f t="shared" si="25"/>
        <v>139.3725743138736</v>
      </c>
    </row>
    <row r="210" spans="2:9" x14ac:dyDescent="0.55000000000000004">
      <c r="B210" s="11">
        <f t="shared" si="26"/>
        <v>12</v>
      </c>
      <c r="C210" s="11">
        <f t="shared" si="27"/>
        <v>5</v>
      </c>
      <c r="D210" s="12">
        <f t="shared" si="28"/>
        <v>10334147.63749839</v>
      </c>
      <c r="E210" s="11" t="str">
        <f t="shared" si="29"/>
        <v>25/26</v>
      </c>
      <c r="F210" s="11" t="str">
        <f t="shared" si="30"/>
        <v>Feb</v>
      </c>
      <c r="G210" s="11" t="str">
        <f t="shared" si="31"/>
        <v>Feb'25/26</v>
      </c>
      <c r="H210" s="11" t="str">
        <f t="shared" si="24"/>
        <v>Feb'25/26</v>
      </c>
      <c r="I210" s="11">
        <f t="shared" si="25"/>
        <v>137.55431984261091</v>
      </c>
    </row>
    <row r="211" spans="2:9" x14ac:dyDescent="0.55000000000000004">
      <c r="B211" s="11">
        <f t="shared" si="26"/>
        <v>12</v>
      </c>
      <c r="C211" s="11">
        <f t="shared" si="27"/>
        <v>6</v>
      </c>
      <c r="D211" s="12">
        <f t="shared" si="28"/>
        <v>11708877.264399027</v>
      </c>
      <c r="E211" s="11" t="str">
        <f t="shared" si="29"/>
        <v>25/26</v>
      </c>
      <c r="F211" s="11" t="str">
        <f t="shared" si="30"/>
        <v>Mar</v>
      </c>
      <c r="G211" s="11" t="str">
        <f t="shared" si="31"/>
        <v>Mar'25/26</v>
      </c>
      <c r="H211" s="11" t="str">
        <f t="shared" si="24"/>
        <v>Mar'25/26</v>
      </c>
      <c r="I211" s="11">
        <f t="shared" si="25"/>
        <v>136.18542031684385</v>
      </c>
    </row>
    <row r="212" spans="2:9" x14ac:dyDescent="0.55000000000000004">
      <c r="B212" s="11">
        <f t="shared" si="26"/>
        <v>12</v>
      </c>
      <c r="C212" s="11">
        <f t="shared" si="27"/>
        <v>7</v>
      </c>
      <c r="D212" s="12">
        <f t="shared" si="28"/>
        <v>12258304.990131078</v>
      </c>
      <c r="E212" s="11" t="str">
        <f t="shared" si="29"/>
        <v>25/26</v>
      </c>
      <c r="F212" s="11" t="str">
        <f t="shared" si="30"/>
        <v>Apr</v>
      </c>
      <c r="G212" s="11" t="str">
        <f t="shared" si="31"/>
        <v>Apr'25/26</v>
      </c>
      <c r="H212" s="11" t="str">
        <f t="shared" si="24"/>
        <v>Apr'25/26</v>
      </c>
      <c r="I212" s="11">
        <f t="shared" si="25"/>
        <v>136.39829489824632</v>
      </c>
    </row>
    <row r="213" spans="2:9" x14ac:dyDescent="0.55000000000000004">
      <c r="B213" s="11">
        <f t="shared" si="26"/>
        <v>12</v>
      </c>
      <c r="C213" s="11">
        <f t="shared" si="27"/>
        <v>8</v>
      </c>
      <c r="D213" s="12" t="e">
        <f t="shared" si="28"/>
        <v>#N/A</v>
      </c>
      <c r="E213" s="11" t="str">
        <f t="shared" si="29"/>
        <v>25/26</v>
      </c>
      <c r="F213" s="11" t="str">
        <f t="shared" si="30"/>
        <v>May</v>
      </c>
      <c r="G213" s="11" t="str">
        <f t="shared" si="31"/>
        <v>May'25/26</v>
      </c>
      <c r="H213" s="11" t="str">
        <f t="shared" si="24"/>
        <v>May'25/26</v>
      </c>
      <c r="I213" s="11" t="e">
        <f t="shared" si="25"/>
        <v>#N/A</v>
      </c>
    </row>
    <row r="214" spans="2:9" x14ac:dyDescent="0.55000000000000004">
      <c r="B214" s="11">
        <f t="shared" si="26"/>
        <v>12</v>
      </c>
      <c r="C214" s="11">
        <f t="shared" si="27"/>
        <v>9</v>
      </c>
      <c r="D214" s="12" t="e">
        <f t="shared" si="28"/>
        <v>#N/A</v>
      </c>
      <c r="E214" s="11" t="str">
        <f t="shared" si="29"/>
        <v>25/26</v>
      </c>
      <c r="F214" s="11" t="str">
        <f t="shared" si="30"/>
        <v>Jun</v>
      </c>
      <c r="G214" s="11" t="str">
        <f t="shared" si="31"/>
        <v>Jun'25/26</v>
      </c>
      <c r="H214" s="11" t="str">
        <f t="shared" ref="H214:H229" si="32">G214</f>
        <v>Jun'25/26</v>
      </c>
      <c r="I214" s="11" t="e">
        <f t="shared" ref="I214:I229" si="33">SUM(D203:D214)/1000000</f>
        <v>#N/A</v>
      </c>
    </row>
    <row r="215" spans="2:9" x14ac:dyDescent="0.55000000000000004">
      <c r="B215" s="11">
        <f t="shared" ref="B215:B229" si="34">B203+1</f>
        <v>12</v>
      </c>
      <c r="C215" s="11">
        <f t="shared" ref="C215:C229" si="35">C203</f>
        <v>10</v>
      </c>
      <c r="D215" s="12" t="e">
        <f t="shared" si="28"/>
        <v>#N/A</v>
      </c>
      <c r="E215" s="11" t="str">
        <f t="shared" si="29"/>
        <v>25/26</v>
      </c>
      <c r="F215" s="11" t="str">
        <f t="shared" si="30"/>
        <v>Jul</v>
      </c>
      <c r="G215" s="11" t="str">
        <f t="shared" si="31"/>
        <v>Jul'25/26</v>
      </c>
      <c r="H215" s="11" t="str">
        <f t="shared" si="32"/>
        <v>Jul'25/26</v>
      </c>
      <c r="I215" s="11" t="e">
        <f t="shared" si="33"/>
        <v>#N/A</v>
      </c>
    </row>
    <row r="216" spans="2:9" x14ac:dyDescent="0.55000000000000004">
      <c r="B216" s="11">
        <f t="shared" si="34"/>
        <v>12</v>
      </c>
      <c r="C216" s="11">
        <f t="shared" si="35"/>
        <v>11</v>
      </c>
      <c r="D216" s="12" t="e">
        <f t="shared" si="28"/>
        <v>#N/A</v>
      </c>
      <c r="E216" s="11" t="str">
        <f t="shared" si="29"/>
        <v>25/26</v>
      </c>
      <c r="F216" s="11" t="str">
        <f t="shared" si="30"/>
        <v>Aug</v>
      </c>
      <c r="G216" s="11" t="str">
        <f t="shared" si="31"/>
        <v>Aug'25/26</v>
      </c>
      <c r="H216" s="11" t="str">
        <f t="shared" si="32"/>
        <v>Aug'25/26</v>
      </c>
      <c r="I216" s="11" t="e">
        <f t="shared" si="33"/>
        <v>#N/A</v>
      </c>
    </row>
    <row r="217" spans="2:9" x14ac:dyDescent="0.55000000000000004">
      <c r="B217" s="11">
        <f t="shared" si="34"/>
        <v>12</v>
      </c>
      <c r="C217" s="11">
        <f t="shared" si="35"/>
        <v>12</v>
      </c>
      <c r="D217" s="12" t="e">
        <f t="shared" si="28"/>
        <v>#N/A</v>
      </c>
      <c r="E217" s="11" t="str">
        <f t="shared" si="29"/>
        <v>25/26</v>
      </c>
      <c r="F217" s="11" t="str">
        <f t="shared" si="30"/>
        <v>Sep</v>
      </c>
      <c r="G217" s="11" t="str">
        <f t="shared" si="31"/>
        <v>Sep'25/26</v>
      </c>
      <c r="H217" s="11" t="str">
        <f t="shared" si="32"/>
        <v>Sep'25/26</v>
      </c>
      <c r="I217" s="11" t="e">
        <f t="shared" si="33"/>
        <v>#N/A</v>
      </c>
    </row>
    <row r="218" spans="2:9" x14ac:dyDescent="0.55000000000000004">
      <c r="B218" s="11">
        <f t="shared" si="34"/>
        <v>13</v>
      </c>
      <c r="C218" s="11">
        <f t="shared" si="35"/>
        <v>1</v>
      </c>
      <c r="D218" s="12" t="e">
        <f t="shared" si="28"/>
        <v>#N/A</v>
      </c>
      <c r="E218" s="11" t="str">
        <f t="shared" si="29"/>
        <v>26/27</v>
      </c>
      <c r="F218" s="11" t="str">
        <f t="shared" si="30"/>
        <v>Oct</v>
      </c>
      <c r="G218" s="11" t="str">
        <f t="shared" si="31"/>
        <v>Oct'26/27</v>
      </c>
      <c r="H218" s="11" t="str">
        <f t="shared" si="32"/>
        <v>Oct'26/27</v>
      </c>
      <c r="I218" s="11" t="e">
        <f t="shared" si="33"/>
        <v>#N/A</v>
      </c>
    </row>
    <row r="219" spans="2:9" x14ac:dyDescent="0.55000000000000004">
      <c r="B219" s="11">
        <f t="shared" si="34"/>
        <v>13</v>
      </c>
      <c r="C219" s="11">
        <f t="shared" si="35"/>
        <v>2</v>
      </c>
      <c r="D219" s="12" t="e">
        <f t="shared" si="28"/>
        <v>#N/A</v>
      </c>
      <c r="E219" s="11" t="str">
        <f t="shared" si="29"/>
        <v>26/27</v>
      </c>
      <c r="F219" s="11" t="str">
        <f t="shared" si="30"/>
        <v>Nov</v>
      </c>
      <c r="G219" s="11" t="str">
        <f t="shared" si="31"/>
        <v>Nov'26/27</v>
      </c>
      <c r="H219" s="11" t="str">
        <f t="shared" si="32"/>
        <v>Nov'26/27</v>
      </c>
      <c r="I219" s="11" t="e">
        <f t="shared" si="33"/>
        <v>#N/A</v>
      </c>
    </row>
    <row r="220" spans="2:9" x14ac:dyDescent="0.55000000000000004">
      <c r="B220" s="11">
        <f t="shared" si="34"/>
        <v>13</v>
      </c>
      <c r="C220" s="11">
        <f t="shared" si="35"/>
        <v>3</v>
      </c>
      <c r="D220" s="12" t="e">
        <f t="shared" si="28"/>
        <v>#N/A</v>
      </c>
      <c r="E220" s="11" t="str">
        <f t="shared" si="29"/>
        <v>26/27</v>
      </c>
      <c r="F220" s="11" t="str">
        <f t="shared" si="30"/>
        <v>Dec</v>
      </c>
      <c r="G220" s="11" t="str">
        <f t="shared" si="31"/>
        <v>Dec'26/27</v>
      </c>
      <c r="H220" s="11" t="str">
        <f t="shared" si="32"/>
        <v>Dec'26/27</v>
      </c>
      <c r="I220" s="11" t="e">
        <f t="shared" si="33"/>
        <v>#N/A</v>
      </c>
    </row>
    <row r="221" spans="2:9" x14ac:dyDescent="0.55000000000000004">
      <c r="B221" s="11">
        <f t="shared" si="34"/>
        <v>13</v>
      </c>
      <c r="C221" s="11">
        <f t="shared" si="35"/>
        <v>4</v>
      </c>
      <c r="D221" s="12" t="e">
        <f t="shared" si="28"/>
        <v>#N/A</v>
      </c>
      <c r="E221" s="11" t="str">
        <f t="shared" si="29"/>
        <v>26/27</v>
      </c>
      <c r="F221" s="11" t="str">
        <f t="shared" si="30"/>
        <v>Jan</v>
      </c>
      <c r="G221" s="11" t="str">
        <f t="shared" si="31"/>
        <v>Jan'26/27</v>
      </c>
      <c r="H221" s="11" t="str">
        <f t="shared" si="32"/>
        <v>Jan'26/27</v>
      </c>
      <c r="I221" s="11" t="e">
        <f t="shared" si="33"/>
        <v>#N/A</v>
      </c>
    </row>
    <row r="222" spans="2:9" x14ac:dyDescent="0.55000000000000004">
      <c r="B222" s="11">
        <f t="shared" si="34"/>
        <v>13</v>
      </c>
      <c r="C222" s="11">
        <f t="shared" si="35"/>
        <v>5</v>
      </c>
      <c r="D222" s="12" t="e">
        <f t="shared" si="28"/>
        <v>#N/A</v>
      </c>
      <c r="E222" s="11" t="str">
        <f t="shared" si="29"/>
        <v>26/27</v>
      </c>
      <c r="F222" s="11" t="str">
        <f t="shared" si="30"/>
        <v>Feb</v>
      </c>
      <c r="G222" s="11" t="str">
        <f t="shared" si="31"/>
        <v>Feb'26/27</v>
      </c>
      <c r="H222" s="11" t="str">
        <f t="shared" si="32"/>
        <v>Feb'26/27</v>
      </c>
      <c r="I222" s="11" t="e">
        <f t="shared" si="33"/>
        <v>#N/A</v>
      </c>
    </row>
    <row r="223" spans="2:9" x14ac:dyDescent="0.55000000000000004">
      <c r="B223" s="11">
        <f t="shared" si="34"/>
        <v>13</v>
      </c>
      <c r="C223" s="11">
        <f t="shared" si="35"/>
        <v>6</v>
      </c>
      <c r="D223" s="12" t="e">
        <f t="shared" si="28"/>
        <v>#N/A</v>
      </c>
      <c r="E223" s="11" t="str">
        <f t="shared" si="29"/>
        <v>26/27</v>
      </c>
      <c r="F223" s="11" t="str">
        <f t="shared" si="30"/>
        <v>Mar</v>
      </c>
      <c r="G223" s="11" t="str">
        <f t="shared" si="31"/>
        <v>Mar'26/27</v>
      </c>
      <c r="H223" s="11" t="str">
        <f t="shared" si="32"/>
        <v>Mar'26/27</v>
      </c>
      <c r="I223" s="11" t="e">
        <f t="shared" si="33"/>
        <v>#N/A</v>
      </c>
    </row>
    <row r="224" spans="2:9" x14ac:dyDescent="0.55000000000000004">
      <c r="B224" s="11">
        <f t="shared" si="34"/>
        <v>13</v>
      </c>
      <c r="C224" s="11">
        <f t="shared" si="35"/>
        <v>7</v>
      </c>
      <c r="D224" s="12" t="e">
        <f t="shared" si="28"/>
        <v>#N/A</v>
      </c>
      <c r="E224" s="11" t="str">
        <f t="shared" si="29"/>
        <v>26/27</v>
      </c>
      <c r="F224" s="11" t="str">
        <f t="shared" si="30"/>
        <v>Apr</v>
      </c>
      <c r="G224" s="11" t="str">
        <f t="shared" si="31"/>
        <v>Apr'26/27</v>
      </c>
      <c r="H224" s="11" t="str">
        <f t="shared" si="32"/>
        <v>Apr'26/27</v>
      </c>
      <c r="I224" s="11" t="e">
        <f t="shared" si="33"/>
        <v>#N/A</v>
      </c>
    </row>
    <row r="225" spans="2:9" x14ac:dyDescent="0.55000000000000004">
      <c r="B225" s="11">
        <f t="shared" si="34"/>
        <v>13</v>
      </c>
      <c r="C225" s="11">
        <f t="shared" si="35"/>
        <v>8</v>
      </c>
      <c r="D225" s="12" t="e">
        <f t="shared" si="28"/>
        <v>#N/A</v>
      </c>
      <c r="E225" s="11" t="str">
        <f t="shared" si="29"/>
        <v>26/27</v>
      </c>
      <c r="F225" s="11" t="str">
        <f t="shared" si="30"/>
        <v>May</v>
      </c>
      <c r="G225" s="11" t="str">
        <f t="shared" si="31"/>
        <v>May'26/27</v>
      </c>
      <c r="H225" s="11" t="str">
        <f t="shared" si="32"/>
        <v>May'26/27</v>
      </c>
      <c r="I225" s="11" t="e">
        <f t="shared" si="33"/>
        <v>#N/A</v>
      </c>
    </row>
    <row r="226" spans="2:9" x14ac:dyDescent="0.55000000000000004">
      <c r="B226" s="11">
        <f t="shared" si="34"/>
        <v>13</v>
      </c>
      <c r="C226" s="11">
        <f t="shared" si="35"/>
        <v>9</v>
      </c>
      <c r="D226" s="12" t="e">
        <f t="shared" si="28"/>
        <v>#N/A</v>
      </c>
      <c r="E226" s="11" t="str">
        <f t="shared" si="29"/>
        <v>26/27</v>
      </c>
      <c r="F226" s="11" t="str">
        <f t="shared" si="30"/>
        <v>Jun</v>
      </c>
      <c r="G226" s="11" t="str">
        <f t="shared" si="31"/>
        <v>Jun'26/27</v>
      </c>
      <c r="H226" s="11" t="str">
        <f t="shared" si="32"/>
        <v>Jun'26/27</v>
      </c>
      <c r="I226" s="11" t="e">
        <f t="shared" si="33"/>
        <v>#N/A</v>
      </c>
    </row>
    <row r="227" spans="2:9" x14ac:dyDescent="0.55000000000000004">
      <c r="B227" s="11">
        <f t="shared" si="34"/>
        <v>13</v>
      </c>
      <c r="C227" s="11">
        <f t="shared" si="35"/>
        <v>10</v>
      </c>
      <c r="D227" s="12" t="e">
        <f t="shared" si="28"/>
        <v>#N/A</v>
      </c>
      <c r="E227" s="11" t="str">
        <f t="shared" si="29"/>
        <v>26/27</v>
      </c>
      <c r="F227" s="11" t="str">
        <f t="shared" si="30"/>
        <v>Jul</v>
      </c>
      <c r="G227" s="11" t="str">
        <f t="shared" si="31"/>
        <v>Jul'26/27</v>
      </c>
      <c r="H227" s="11" t="str">
        <f t="shared" si="32"/>
        <v>Jul'26/27</v>
      </c>
      <c r="I227" s="11" t="e">
        <f t="shared" si="33"/>
        <v>#N/A</v>
      </c>
    </row>
    <row r="228" spans="2:9" x14ac:dyDescent="0.55000000000000004">
      <c r="B228" s="11">
        <f t="shared" si="34"/>
        <v>13</v>
      </c>
      <c r="C228" s="11">
        <f t="shared" si="35"/>
        <v>11</v>
      </c>
      <c r="D228" s="12" t="e">
        <f t="shared" si="28"/>
        <v>#N/A</v>
      </c>
      <c r="E228" s="11" t="str">
        <f t="shared" si="29"/>
        <v>26/27</v>
      </c>
      <c r="F228" s="11" t="str">
        <f t="shared" si="30"/>
        <v>Aug</v>
      </c>
      <c r="G228" s="11" t="str">
        <f t="shared" si="31"/>
        <v>Aug'26/27</v>
      </c>
      <c r="H228" s="11" t="str">
        <f t="shared" si="32"/>
        <v>Aug'26/27</v>
      </c>
      <c r="I228" s="11" t="e">
        <f t="shared" si="33"/>
        <v>#N/A</v>
      </c>
    </row>
    <row r="229" spans="2:9" x14ac:dyDescent="0.55000000000000004">
      <c r="B229" s="11">
        <f t="shared" si="34"/>
        <v>13</v>
      </c>
      <c r="C229" s="11">
        <f t="shared" si="35"/>
        <v>12</v>
      </c>
      <c r="D229" s="12" t="e">
        <f t="shared" si="28"/>
        <v>#N/A</v>
      </c>
      <c r="E229" s="11" t="str">
        <f t="shared" si="29"/>
        <v>26/27</v>
      </c>
      <c r="F229" s="11" t="str">
        <f t="shared" si="30"/>
        <v>Sep</v>
      </c>
      <c r="G229" s="11" t="str">
        <f t="shared" si="31"/>
        <v>Sep'26/27</v>
      </c>
      <c r="H229" s="11" t="str">
        <f t="shared" si="32"/>
        <v>Sep'26/27</v>
      </c>
      <c r="I229" s="11" t="e">
        <f t="shared" si="33"/>
        <v>#N/A</v>
      </c>
    </row>
  </sheetData>
  <mergeCells count="6">
    <mergeCell ref="P131:R131"/>
    <mergeCell ref="A1:Y2"/>
    <mergeCell ref="C5:N5"/>
    <mergeCell ref="S6:U6"/>
    <mergeCell ref="B58:M58"/>
    <mergeCell ref="N74:Y74"/>
  </mergeCells>
  <conditionalFormatting sqref="C7:N19">
    <cfRule type="cellIs" dxfId="23" priority="4" operator="greaterThanOrEqual">
      <formula>0</formula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137">
    <cfRule type="cellIs" dxfId="22" priority="2" operator="greaterThanOrEqual">
      <formula>0</formula>
    </cfRule>
    <cfRule type="colorScale" priority="3">
      <colorScale>
        <cfvo type="min"/>
        <cfvo type="max"/>
        <color rgb="FFFCFCFF"/>
        <color rgb="FF63BE7B"/>
      </colorScale>
    </cfRule>
  </conditionalFormatting>
  <conditionalFormatting sqref="Q8:Q1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{DA40FE34-EB4A-400B-AD14-F5A712DEC894}</x14:id>
        </ext>
      </extLst>
    </cfRule>
  </conditionalFormatting>
  <conditionalFormatting sqref="Q1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{EC713A25-D95D-4813-A353-6A0D05407ACD}</x14:id>
        </ext>
      </extLst>
    </cfRule>
  </conditionalFormatting>
  <conditionalFormatting sqref="T7:T1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7:T19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{4DC5516C-EACB-46EE-8C8B-1EF76A78F02F}</x14:id>
        </ext>
      </extLst>
    </cfRule>
  </conditionalFormatting>
  <conditionalFormatting sqref="U1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{AAD09835-A6EF-451D-8A87-3793EBB9AFC8}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40FE34-EB4A-400B-AD14-F5A712DEC8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Q8:Q18</xm:sqref>
        </x14:conditionalFormatting>
        <x14:conditionalFormatting xmlns:xm="http://schemas.microsoft.com/office/excel/2006/main">
          <x14:cfRule type="dataBar" id="{EC713A25-D95D-4813-A353-6A0D05407A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DC5516C-EACB-46EE-8C8B-1EF76A78F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AAD09835-A6EF-451D-8A87-3793EBB9AF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2DD0-BB85-4417-8E8D-FADFA9110DA2}">
  <sheetPr codeName="Sheet21"/>
  <dimension ref="A1:AI229"/>
  <sheetViews>
    <sheetView showGridLines="0" zoomScale="70" zoomScaleNormal="70" workbookViewId="0">
      <selection activeCell="D18" sqref="D18"/>
    </sheetView>
  </sheetViews>
  <sheetFormatPr defaultColWidth="8.83984375" defaultRowHeight="14.4" x14ac:dyDescent="0.55000000000000004"/>
  <cols>
    <col min="1" max="1" width="12.41796875" style="11" customWidth="1"/>
    <col min="2" max="2" width="8.83984375" style="11" customWidth="1"/>
    <col min="3" max="11" width="8.83984375" style="11"/>
    <col min="12" max="12" width="9.578125" style="11" bestFit="1" customWidth="1"/>
    <col min="13" max="15" width="8.83984375" style="11"/>
    <col min="16" max="16" width="11.41796875" style="11" customWidth="1"/>
    <col min="17" max="17" width="10.83984375" style="11" bestFit="1" customWidth="1"/>
    <col min="18" max="24" width="8.83984375" style="11"/>
    <col min="25" max="25" width="9.578125" style="11" bestFit="1" customWidth="1"/>
    <col min="26" max="26" width="10.83984375" style="11" bestFit="1" customWidth="1"/>
    <col min="27" max="27" width="9.578125" style="11" bestFit="1" customWidth="1"/>
    <col min="28" max="28" width="11.15625" style="11" bestFit="1" customWidth="1"/>
    <col min="29" max="16384" width="8.83984375" style="11"/>
  </cols>
  <sheetData>
    <row r="1" spans="1:35" s="17" customFormat="1" ht="25.8" x14ac:dyDescent="0.55000000000000004">
      <c r="A1" s="73" t="s">
        <v>94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Oct-Apr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Global + Vietnam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Oct-Apr</v>
      </c>
      <c r="T6" s="75"/>
      <c r="U6" s="75"/>
    </row>
    <row r="7" spans="1:35" x14ac:dyDescent="0.55000000000000004">
      <c r="A7" s="14">
        <v>1</v>
      </c>
      <c r="B7" s="6" t="s">
        <v>15</v>
      </c>
      <c r="C7" s="21" t="e">
        <v>#N/A</v>
      </c>
      <c r="D7" s="21" t="e">
        <v>#N/A</v>
      </c>
      <c r="E7" s="21" t="e">
        <v>#N/A</v>
      </c>
      <c r="F7" s="21" t="e">
        <v>#N/A</v>
      </c>
      <c r="G7" s="21" t="e">
        <v>#N/A</v>
      </c>
      <c r="H7" s="21" t="e">
        <v>#N/A</v>
      </c>
      <c r="I7" s="21" t="e">
        <v>#N/A</v>
      </c>
      <c r="J7" s="21" t="e">
        <v>#N/A</v>
      </c>
      <c r="K7" s="21" t="e">
        <v>#N/A</v>
      </c>
      <c r="L7" s="21" t="e">
        <v>#N/A</v>
      </c>
      <c r="M7" s="21" t="e">
        <v>#N/A</v>
      </c>
      <c r="N7" s="21" t="e">
        <v>#N/A</v>
      </c>
      <c r="O7" s="6" t="s">
        <v>15</v>
      </c>
      <c r="P7" s="20" t="str">
        <f t="shared" ref="P7:P19" si="0">IF(COUNT(C7:N7)=12,SUM(C7:N7),"")</f>
        <v/>
      </c>
      <c r="Q7" s="2"/>
      <c r="R7" s="2"/>
      <c r="S7" s="6" t="s">
        <v>15</v>
      </c>
      <c r="T7" s="20"/>
      <c r="U7" s="2"/>
    </row>
    <row r="8" spans="1:35" x14ac:dyDescent="0.55000000000000004">
      <c r="A8" s="14">
        <v>2</v>
      </c>
      <c r="B8" s="6" t="s">
        <v>16</v>
      </c>
      <c r="C8" s="21" t="e">
        <v>#N/A</v>
      </c>
      <c r="D8" s="21" t="e">
        <v>#N/A</v>
      </c>
      <c r="E8" s="21" t="e">
        <v>#N/A</v>
      </c>
      <c r="F8" s="21" t="e">
        <v>#N/A</v>
      </c>
      <c r="G8" s="21" t="e">
        <v>#N/A</v>
      </c>
      <c r="H8" s="21" t="e">
        <v>#N/A</v>
      </c>
      <c r="I8" s="21" t="e">
        <v>#N/A</v>
      </c>
      <c r="J8" s="21" t="e">
        <v>#N/A</v>
      </c>
      <c r="K8" s="21" t="e">
        <v>#N/A</v>
      </c>
      <c r="L8" s="21" t="e">
        <v>#N/A</v>
      </c>
      <c r="M8" s="21" t="e">
        <v>#N/A</v>
      </c>
      <c r="N8" s="21" t="e">
        <v>#N/A</v>
      </c>
      <c r="O8" s="6" t="s">
        <v>16</v>
      </c>
      <c r="P8" s="20" t="str">
        <f t="shared" si="0"/>
        <v/>
      </c>
      <c r="Q8" s="7" t="str">
        <f t="shared" ref="Q8:Q18" si="1">IFERROR(P8/P7-1,"")</f>
        <v/>
      </c>
      <c r="R8" s="2"/>
      <c r="S8" s="6" t="s">
        <v>16</v>
      </c>
      <c r="T8" s="20"/>
      <c r="U8" s="7" t="str">
        <f t="shared" ref="U8:U18" si="2">IFERROR(T8/T7-1,"")</f>
        <v/>
      </c>
    </row>
    <row r="9" spans="1:35" x14ac:dyDescent="0.55000000000000004">
      <c r="A9" s="14">
        <v>3</v>
      </c>
      <c r="B9" s="6" t="s">
        <v>17</v>
      </c>
      <c r="C9" s="21">
        <v>10954100</v>
      </c>
      <c r="D9" s="21">
        <v>11034100.000000002</v>
      </c>
      <c r="E9" s="21">
        <v>12652216.666666668</v>
      </c>
      <c r="F9" s="21">
        <v>11826133.333333334</v>
      </c>
      <c r="G9" s="21">
        <v>11680583.333333334</v>
      </c>
      <c r="H9" s="21">
        <v>13757350</v>
      </c>
      <c r="I9" s="21">
        <v>11601316.666666668</v>
      </c>
      <c r="J9" s="21">
        <v>12376150</v>
      </c>
      <c r="K9" s="21">
        <v>11541050</v>
      </c>
      <c r="L9" s="21">
        <v>11045100.000000002</v>
      </c>
      <c r="M9" s="21">
        <v>11236051.314217445</v>
      </c>
      <c r="N9" s="21">
        <v>10290316.666666668</v>
      </c>
      <c r="O9" s="6" t="s">
        <v>17</v>
      </c>
      <c r="P9" s="20">
        <f t="shared" si="0"/>
        <v>139994467.98088413</v>
      </c>
      <c r="Q9" s="7" t="str">
        <f t="shared" si="1"/>
        <v/>
      </c>
      <c r="R9" s="2"/>
      <c r="S9" s="6" t="s">
        <v>17</v>
      </c>
      <c r="T9" s="20"/>
      <c r="U9" s="7" t="str">
        <f t="shared" si="2"/>
        <v/>
      </c>
      <c r="Y9" s="43"/>
      <c r="Z9" s="44"/>
    </row>
    <row r="10" spans="1:35" x14ac:dyDescent="0.55000000000000004">
      <c r="A10" s="14">
        <v>4</v>
      </c>
      <c r="B10" s="6" t="s">
        <v>18</v>
      </c>
      <c r="C10" s="23">
        <v>10396266.666666668</v>
      </c>
      <c r="D10" s="23">
        <v>10860351.277955271</v>
      </c>
      <c r="E10" s="23">
        <v>11342100.000000002</v>
      </c>
      <c r="F10" s="23">
        <v>12900466.666666668</v>
      </c>
      <c r="G10" s="23">
        <v>11260350</v>
      </c>
      <c r="H10" s="23">
        <v>13237333.333333334</v>
      </c>
      <c r="I10" s="23">
        <v>12122650</v>
      </c>
      <c r="J10" s="23">
        <v>11890000</v>
      </c>
      <c r="K10" s="23">
        <v>12149100.000000002</v>
      </c>
      <c r="L10" s="23">
        <v>10616000</v>
      </c>
      <c r="M10" s="23">
        <v>11784100.000000002</v>
      </c>
      <c r="N10" s="23">
        <v>11177766.666666668</v>
      </c>
      <c r="O10" s="6" t="s">
        <v>18</v>
      </c>
      <c r="P10" s="20">
        <f t="shared" si="0"/>
        <v>139736484.61128861</v>
      </c>
      <c r="Q10" s="7">
        <f t="shared" si="1"/>
        <v>-1.8428111718725715E-3</v>
      </c>
      <c r="R10" s="2"/>
      <c r="S10" s="6" t="s">
        <v>18</v>
      </c>
      <c r="T10" s="20">
        <f ca="1">IF(SUM(OFFSET(C10,0,0,1,$C$56))=0,"",SUM(OFFSET(C10,0,0,1,$C$56)))</f>
        <v>82119517.944621935</v>
      </c>
      <c r="U10" s="7" t="str">
        <f t="shared" ca="1" si="2"/>
        <v/>
      </c>
      <c r="Y10" s="43"/>
      <c r="Z10" s="44"/>
    </row>
    <row r="11" spans="1:35" x14ac:dyDescent="0.55000000000000004">
      <c r="A11" s="14">
        <v>5</v>
      </c>
      <c r="B11" s="6" t="s">
        <v>19</v>
      </c>
      <c r="C11" s="23">
        <v>12224966.666666668</v>
      </c>
      <c r="D11" s="23">
        <v>12735066.666666668</v>
      </c>
      <c r="E11" s="23">
        <v>12779850</v>
      </c>
      <c r="F11" s="23">
        <v>13426450</v>
      </c>
      <c r="G11" s="23">
        <v>12432000</v>
      </c>
      <c r="H11" s="23">
        <v>13950516.666666668</v>
      </c>
      <c r="I11" s="23">
        <v>12753716.666666668</v>
      </c>
      <c r="J11" s="23">
        <v>13959566.666666668</v>
      </c>
      <c r="K11" s="23">
        <v>12584000.000000002</v>
      </c>
      <c r="L11" s="23">
        <v>13364416.666666668</v>
      </c>
      <c r="M11" s="23">
        <v>12094300</v>
      </c>
      <c r="N11" s="23">
        <v>11605883.333333334</v>
      </c>
      <c r="O11" s="6" t="s">
        <v>19</v>
      </c>
      <c r="P11" s="20">
        <f t="shared" si="0"/>
        <v>153910733.33333334</v>
      </c>
      <c r="Q11" s="7">
        <f t="shared" si="1"/>
        <v>0.10143556109539964</v>
      </c>
      <c r="R11" s="2"/>
      <c r="S11" s="6" t="s">
        <v>19</v>
      </c>
      <c r="T11" s="20">
        <f ca="1">IF(SUM(OFFSET(C11,0,0,1,$C$56))=0,"",SUM(OFFSET(C11,0,0,1,$C$56)))</f>
        <v>90302566.666666672</v>
      </c>
      <c r="U11" s="7">
        <f t="shared" ca="1" si="2"/>
        <v>9.9648036506534865E-2</v>
      </c>
      <c r="Y11" s="43"/>
      <c r="Z11" s="44"/>
    </row>
    <row r="12" spans="1:35" x14ac:dyDescent="0.55000000000000004">
      <c r="A12" s="14">
        <v>6</v>
      </c>
      <c r="B12" s="6" t="s">
        <v>20</v>
      </c>
      <c r="C12" s="23">
        <v>11643650</v>
      </c>
      <c r="D12" s="23">
        <v>11555816.666666666</v>
      </c>
      <c r="E12" s="23">
        <v>12828433.333333336</v>
      </c>
      <c r="F12" s="23">
        <v>11830383.333333334</v>
      </c>
      <c r="G12" s="23">
        <v>12610883.333333336</v>
      </c>
      <c r="H12" s="23">
        <v>13620083.333333334</v>
      </c>
      <c r="I12" s="23">
        <v>12939433.333333334</v>
      </c>
      <c r="J12" s="23">
        <v>12454833.333333334</v>
      </c>
      <c r="K12" s="23">
        <v>11763600</v>
      </c>
      <c r="L12" s="23">
        <v>12146700</v>
      </c>
      <c r="M12" s="23">
        <v>11151850</v>
      </c>
      <c r="N12" s="23">
        <v>11916916.666666666</v>
      </c>
      <c r="O12" s="6" t="s">
        <v>20</v>
      </c>
      <c r="P12" s="20">
        <f t="shared" si="0"/>
        <v>146462583.33333331</v>
      </c>
      <c r="Q12" s="7">
        <f t="shared" si="1"/>
        <v>-4.8392661373844126E-2</v>
      </c>
      <c r="R12" s="2"/>
      <c r="S12" s="6" t="s">
        <v>20</v>
      </c>
      <c r="T12" s="20">
        <f ca="1">IF(SUM(OFFSET(C12,0,0,1,$C$56))=0,"",SUM(OFFSET(C12,0,0,1,$C$56)))</f>
        <v>87028683.333333328</v>
      </c>
      <c r="U12" s="7">
        <f t="shared" ca="1" si="2"/>
        <v>-3.6254598891061529E-2</v>
      </c>
      <c r="Y12" s="43"/>
      <c r="Z12" s="44"/>
    </row>
    <row r="13" spans="1:35" x14ac:dyDescent="0.55000000000000004">
      <c r="A13" s="14">
        <v>7</v>
      </c>
      <c r="B13" s="6" t="s">
        <v>21</v>
      </c>
      <c r="C13" s="23">
        <v>11567333.333333334</v>
      </c>
      <c r="D13" s="23">
        <v>12117266.666666668</v>
      </c>
      <c r="E13" s="23">
        <v>13407133.333333334</v>
      </c>
      <c r="F13" s="23">
        <v>12576566.666666668</v>
      </c>
      <c r="G13" s="23">
        <v>12320966.666666668</v>
      </c>
      <c r="H13" s="23">
        <v>15164233.333333334</v>
      </c>
      <c r="I13" s="23">
        <v>13353100</v>
      </c>
      <c r="J13" s="23">
        <v>12368716.666666668</v>
      </c>
      <c r="K13" s="23">
        <v>12728500</v>
      </c>
      <c r="L13" s="23">
        <v>12304033.333333334</v>
      </c>
      <c r="M13" s="23">
        <v>11984116.666666666</v>
      </c>
      <c r="N13" s="23">
        <v>11860166.666666668</v>
      </c>
      <c r="O13" s="6" t="s">
        <v>21</v>
      </c>
      <c r="P13" s="20">
        <f t="shared" si="0"/>
        <v>151752133.33333331</v>
      </c>
      <c r="Q13" s="7">
        <f t="shared" si="1"/>
        <v>3.6115367349226268E-2</v>
      </c>
      <c r="R13" s="2"/>
      <c r="S13" s="6" t="s">
        <v>21</v>
      </c>
      <c r="T13" s="20">
        <f ca="1">IF(SUM(OFFSET(C13,0,0,1,$C$56))=0,"",SUM(OFFSET(C13,0,0,1,$C$56)))</f>
        <v>90506600</v>
      </c>
      <c r="U13" s="7">
        <f t="shared" ca="1" si="2"/>
        <v>3.9962878139218949E-2</v>
      </c>
    </row>
    <row r="14" spans="1:35" x14ac:dyDescent="0.55000000000000004">
      <c r="A14" s="14">
        <v>8</v>
      </c>
      <c r="B14" s="6" t="s">
        <v>22</v>
      </c>
      <c r="C14" s="23">
        <v>11563100</v>
      </c>
      <c r="D14" s="23">
        <v>11724150</v>
      </c>
      <c r="E14" s="23">
        <v>13447866.666666668</v>
      </c>
      <c r="F14" s="23">
        <v>13967500.000000002</v>
      </c>
      <c r="G14" s="23">
        <v>13086683.333333334</v>
      </c>
      <c r="H14" s="23">
        <v>15474783.333333334</v>
      </c>
      <c r="I14" s="23">
        <v>12712516.666666668</v>
      </c>
      <c r="J14" s="23">
        <v>12360383.333333336</v>
      </c>
      <c r="K14" s="23">
        <v>13552800.000000002</v>
      </c>
      <c r="L14" s="23">
        <v>13886233.333333334</v>
      </c>
      <c r="M14" s="23">
        <v>11867866.666666666</v>
      </c>
      <c r="N14" s="23">
        <v>11724366.666666668</v>
      </c>
      <c r="O14" s="6" t="s">
        <v>22</v>
      </c>
      <c r="P14" s="20">
        <f t="shared" si="0"/>
        <v>155368250</v>
      </c>
      <c r="Q14" s="7">
        <f t="shared" si="1"/>
        <v>2.3829099382238317E-2</v>
      </c>
      <c r="R14" s="2"/>
      <c r="S14" s="6" t="s">
        <v>22</v>
      </c>
      <c r="T14" s="20">
        <f t="shared" ref="T14:T19" ca="1" si="3">IF(SUM(OFFSET(C14,0,0,1,$C$56))=0,NA(),SUM(OFFSET(C14,0,0,1,$C$56)))</f>
        <v>91976600.000000015</v>
      </c>
      <c r="U14" s="7">
        <f t="shared" ca="1" si="2"/>
        <v>1.6241909429809631E-2</v>
      </c>
    </row>
    <row r="15" spans="1:35" x14ac:dyDescent="0.55000000000000004">
      <c r="A15" s="14">
        <v>9</v>
      </c>
      <c r="B15" s="6" t="s">
        <v>23</v>
      </c>
      <c r="C15" s="23">
        <v>11325750</v>
      </c>
      <c r="D15" s="23">
        <v>12293466.666666668</v>
      </c>
      <c r="E15" s="23">
        <v>12538866.699999999</v>
      </c>
      <c r="F15" s="23">
        <v>10804586.639713153</v>
      </c>
      <c r="G15" s="23">
        <v>11385231.820761472</v>
      </c>
      <c r="H15" s="23">
        <v>12848742.323659111</v>
      </c>
      <c r="I15" s="23">
        <v>12011141.72498103</v>
      </c>
      <c r="J15" s="23">
        <v>12007555.926960722</v>
      </c>
      <c r="K15" s="23">
        <v>12114722.883063262</v>
      </c>
      <c r="L15" s="23">
        <v>12432448.336847106</v>
      </c>
      <c r="M15" s="23">
        <v>12144480.192413529</v>
      </c>
      <c r="N15" s="23">
        <v>9968256.4551196434</v>
      </c>
      <c r="O15" s="6" t="s">
        <v>23</v>
      </c>
      <c r="P15" s="20">
        <f t="shared" si="0"/>
        <v>141875249.67018569</v>
      </c>
      <c r="Q15" s="7">
        <f t="shared" si="1"/>
        <v>-8.6845287436875362E-2</v>
      </c>
      <c r="R15" s="2"/>
      <c r="S15" s="6" t="s">
        <v>23</v>
      </c>
      <c r="T15" s="20">
        <f t="shared" ca="1" si="3"/>
        <v>83207785.875781432</v>
      </c>
      <c r="U15" s="7">
        <f t="shared" ca="1" si="2"/>
        <v>-9.5337445874478788E-2</v>
      </c>
    </row>
    <row r="16" spans="1:35" x14ac:dyDescent="0.55000000000000004">
      <c r="A16" s="14">
        <v>10</v>
      </c>
      <c r="B16" s="6" t="s">
        <v>24</v>
      </c>
      <c r="C16" s="23">
        <v>10973177.168927584</v>
      </c>
      <c r="D16" s="23">
        <v>12626363.564057395</v>
      </c>
      <c r="E16" s="23">
        <v>13550975.096935781</v>
      </c>
      <c r="F16" s="23">
        <v>13829033.333333334</v>
      </c>
      <c r="G16" s="23">
        <v>12851366.666666668</v>
      </c>
      <c r="H16" s="23">
        <v>13485100.000000002</v>
      </c>
      <c r="I16" s="23">
        <v>14038250</v>
      </c>
      <c r="J16" s="23">
        <v>13329833.333333334</v>
      </c>
      <c r="K16" s="23">
        <v>12012066.666666668</v>
      </c>
      <c r="L16" s="23">
        <v>12524250.000000002</v>
      </c>
      <c r="M16" s="23">
        <v>12108166.666666668</v>
      </c>
      <c r="N16" s="23">
        <v>11953750</v>
      </c>
      <c r="O16" s="6" t="s">
        <v>24</v>
      </c>
      <c r="P16" s="20">
        <f t="shared" si="0"/>
        <v>153282332.49658743</v>
      </c>
      <c r="Q16" s="7">
        <f t="shared" si="1"/>
        <v>8.0402204421980095E-2</v>
      </c>
      <c r="R16" s="2"/>
      <c r="S16" s="6" t="s">
        <v>24</v>
      </c>
      <c r="T16" s="20">
        <f t="shared" ca="1" si="3"/>
        <v>91354265.829920769</v>
      </c>
      <c r="U16" s="7">
        <f t="shared" ca="1" si="2"/>
        <v>9.790526052815518E-2</v>
      </c>
    </row>
    <row r="17" spans="1:29" x14ac:dyDescent="0.55000000000000004">
      <c r="A17" s="14">
        <v>11</v>
      </c>
      <c r="B17" s="6" t="s">
        <v>25</v>
      </c>
      <c r="C17" s="23">
        <v>12596066.333333334</v>
      </c>
      <c r="D17" s="23">
        <v>11889966.666666666</v>
      </c>
      <c r="E17" s="23">
        <v>11809533.333333334</v>
      </c>
      <c r="F17" s="23">
        <v>13087433.333333336</v>
      </c>
      <c r="G17" s="23">
        <v>12776266.666666668</v>
      </c>
      <c r="H17" s="23">
        <v>14938466.666666668</v>
      </c>
      <c r="I17" s="23">
        <v>13238250</v>
      </c>
      <c r="J17" s="23">
        <v>13465616.666666668</v>
      </c>
      <c r="K17" s="23">
        <v>11940616.666666668</v>
      </c>
      <c r="L17" s="23">
        <v>12149850</v>
      </c>
      <c r="M17" s="23">
        <v>10918183</v>
      </c>
      <c r="N17" s="23">
        <v>11755966.666666668</v>
      </c>
      <c r="O17" s="6" t="s">
        <v>25</v>
      </c>
      <c r="P17" s="5">
        <f t="shared" si="0"/>
        <v>150566216.00000003</v>
      </c>
      <c r="Q17" s="7">
        <f t="shared" si="1"/>
        <v>-1.7719697060637252E-2</v>
      </c>
      <c r="R17" s="2"/>
      <c r="S17" s="6" t="s">
        <v>25</v>
      </c>
      <c r="T17" s="20">
        <f t="shared" ca="1" si="3"/>
        <v>90335983.000000015</v>
      </c>
      <c r="U17" s="7">
        <f t="shared" ca="1" si="2"/>
        <v>-1.114652743000033E-2</v>
      </c>
    </row>
    <row r="18" spans="1:29" x14ac:dyDescent="0.55000000000000004">
      <c r="A18" s="14">
        <v>12</v>
      </c>
      <c r="B18" s="6" t="s">
        <v>26</v>
      </c>
      <c r="C18" s="23">
        <v>10567150</v>
      </c>
      <c r="D18" s="23">
        <f>'S5 Arabica'!D18+'S5 Robusta'!D18</f>
        <v>8871933.2524816655</v>
      </c>
      <c r="E18" s="23">
        <f>'S5 Arabica'!E18+'S5 Robusta'!E18</f>
        <v>9594239.5027983338</v>
      </c>
      <c r="F18" s="23">
        <f>'S5 Arabica'!F18+'S5 Robusta'!F18</f>
        <v>9591414</v>
      </c>
      <c r="G18" s="23">
        <f>'S5 Arabica'!G18+'S5 Robusta'!G18</f>
        <v>8393792.333333334</v>
      </c>
      <c r="H18" s="23">
        <f>'S5 Arabica'!H18+'S5 Robusta'!H18</f>
        <v>9569299.3333333321</v>
      </c>
      <c r="I18" s="23">
        <f>'S5 Arabica'!I18+'S5 Robusta'!I18</f>
        <v>9619436</v>
      </c>
      <c r="J18" s="23" t="e">
        <f>'S5 Arabica'!J18+'S5 Robusta'!J18</f>
        <v>#N/A</v>
      </c>
      <c r="K18" s="23" t="e">
        <f>'S5 Arabica'!K18+'S5 Robusta'!K18</f>
        <v>#N/A</v>
      </c>
      <c r="L18" s="23" t="e">
        <f>'S5 Arabica'!L18+'S5 Robusta'!L18</f>
        <v>#N/A</v>
      </c>
      <c r="M18" s="23" t="e">
        <f>'S5 Arabica'!M18+'S5 Robusta'!M18</f>
        <v>#N/A</v>
      </c>
      <c r="N18" s="23" t="e">
        <f>'S5 Arabica'!N18+'S5 Robusta'!N18</f>
        <v>#N/A</v>
      </c>
      <c r="O18" s="6" t="s">
        <v>26</v>
      </c>
      <c r="P18" s="5" t="str">
        <f t="shared" ref="P18" si="4">IF(COUNT(C18:N18)=12,SUM(C18:N18),"")</f>
        <v/>
      </c>
      <c r="Q18" s="7" t="str">
        <f t="shared" si="1"/>
        <v/>
      </c>
      <c r="R18" s="2"/>
      <c r="S18" s="6" t="s">
        <v>26</v>
      </c>
      <c r="T18" s="5">
        <f t="shared" ca="1" si="3"/>
        <v>66207264.421946675</v>
      </c>
      <c r="U18" s="7">
        <f t="shared" ca="1" si="2"/>
        <v>-0.26709975113741036</v>
      </c>
      <c r="Y18" s="51"/>
      <c r="Z18" s="12"/>
      <c r="AA18" s="12"/>
    </row>
    <row r="19" spans="1:29" x14ac:dyDescent="0.55000000000000004">
      <c r="A19" s="14">
        <v>13</v>
      </c>
      <c r="B19" s="6" t="s">
        <v>27</v>
      </c>
      <c r="C19" s="23" t="e">
        <f>NA()</f>
        <v>#N/A</v>
      </c>
      <c r="D19" s="23" t="e">
        <f>NA()</f>
        <v>#N/A</v>
      </c>
      <c r="E19" s="23" t="e">
        <f>NA()</f>
        <v>#N/A</v>
      </c>
      <c r="F19" s="23" t="e">
        <f>NA()</f>
        <v>#N/A</v>
      </c>
      <c r="G19" s="23" t="e">
        <f>NA()</f>
        <v>#N/A</v>
      </c>
      <c r="H19" s="23" t="e">
        <f>NA()</f>
        <v>#N/A</v>
      </c>
      <c r="I19" s="23" t="e">
        <f>NA()</f>
        <v>#N/A</v>
      </c>
      <c r="J19" s="23" t="e">
        <f>NA()</f>
        <v>#N/A</v>
      </c>
      <c r="K19" s="23" t="e">
        <f>NA()</f>
        <v>#N/A</v>
      </c>
      <c r="L19" s="23" t="e">
        <f>NA()</f>
        <v>#N/A</v>
      </c>
      <c r="M19" s="23" t="e">
        <f>NA()</f>
        <v>#N/A</v>
      </c>
      <c r="N19" s="23" t="e">
        <f>NA()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5" t="e">
        <f t="shared" ca="1" si="3"/>
        <v>#N/A</v>
      </c>
      <c r="U19" s="7"/>
      <c r="Y19" s="51"/>
      <c r="Z19" s="12"/>
      <c r="AA19" s="12"/>
    </row>
    <row r="20" spans="1:29" x14ac:dyDescent="0.55000000000000004">
      <c r="B20" s="8" t="s">
        <v>28</v>
      </c>
      <c r="C20" s="22">
        <f>IFERROR(C18/C17-1,"")</f>
        <v>-0.16107539287596118</v>
      </c>
      <c r="D20" s="22">
        <f t="shared" ref="D20:N20" si="5">IFERROR(D18/D17-1,"")</f>
        <v>-0.25383026704742662</v>
      </c>
      <c r="E20" s="22">
        <f t="shared" si="5"/>
        <v>-0.18758521340400125</v>
      </c>
      <c r="F20" s="22">
        <f t="shared" si="5"/>
        <v>-0.26712795735349193</v>
      </c>
      <c r="G20" s="22">
        <f t="shared" si="5"/>
        <v>-0.34301681764104275</v>
      </c>
      <c r="H20" s="22">
        <f t="shared" si="5"/>
        <v>-0.35941890510851193</v>
      </c>
      <c r="I20" s="22">
        <f t="shared" si="5"/>
        <v>-0.27336045172133783</v>
      </c>
      <c r="J20" s="22" t="str">
        <f t="shared" si="5"/>
        <v/>
      </c>
      <c r="K20" s="22" t="str">
        <f t="shared" si="5"/>
        <v/>
      </c>
      <c r="L20" s="22" t="str">
        <f t="shared" si="5"/>
        <v/>
      </c>
      <c r="M20" s="22" t="str">
        <f t="shared" si="5"/>
        <v/>
      </c>
      <c r="N20" s="22" t="str">
        <f t="shared" si="5"/>
        <v/>
      </c>
      <c r="O20" s="8"/>
      <c r="P20" s="2"/>
      <c r="Q20" s="2"/>
      <c r="R20" s="2"/>
      <c r="S20" s="8"/>
      <c r="T20" s="5"/>
      <c r="U20" s="2"/>
      <c r="X20" s="12"/>
      <c r="Y20" s="51"/>
      <c r="Z20" s="40"/>
      <c r="AA20" s="12"/>
    </row>
    <row r="21" spans="1:29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Y21" s="51"/>
      <c r="Z21" s="12"/>
      <c r="AA21" s="12"/>
    </row>
    <row r="22" spans="1:29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Y22" s="51"/>
      <c r="Z22" s="12"/>
      <c r="AA22" s="12"/>
    </row>
    <row r="23" spans="1:29" x14ac:dyDescent="0.55000000000000004">
      <c r="Y23" s="51"/>
      <c r="Z23" s="12"/>
      <c r="AA23" s="12"/>
    </row>
    <row r="24" spans="1:29" x14ac:dyDescent="0.55000000000000004">
      <c r="AA24" s="12"/>
    </row>
    <row r="27" spans="1:29" x14ac:dyDescent="0.55000000000000004">
      <c r="K27" s="13" t="str">
        <f ca="1">_xlfn.CONCAT(A1," | ",S6)</f>
        <v>Global + Vietnam | YTD : Oct-Apr</v>
      </c>
      <c r="Q27" s="13" t="str">
        <f>_xlfn.CONCAT(A1," | ","Cumulative")</f>
        <v>Global + Vietnam | Cumulative</v>
      </c>
      <c r="AB27" s="12"/>
    </row>
    <row r="30" spans="1:29" x14ac:dyDescent="0.55000000000000004">
      <c r="AB30" s="12"/>
      <c r="AC30" s="13"/>
    </row>
    <row r="39" spans="26:29" x14ac:dyDescent="0.55000000000000004">
      <c r="AA39" s="55"/>
      <c r="AB39" s="55"/>
      <c r="AC39" s="55"/>
    </row>
    <row r="40" spans="26:29" x14ac:dyDescent="0.55000000000000004">
      <c r="Z40" s="31"/>
      <c r="AA40" s="12"/>
      <c r="AB40" s="12"/>
      <c r="AC40" s="58"/>
    </row>
    <row r="41" spans="26:29" x14ac:dyDescent="0.55000000000000004">
      <c r="Z41" s="31"/>
      <c r="AA41" s="12"/>
      <c r="AB41" s="12"/>
      <c r="AC41" s="58"/>
    </row>
    <row r="42" spans="26:29" x14ac:dyDescent="0.55000000000000004">
      <c r="Z42" s="31"/>
      <c r="AA42" s="12"/>
      <c r="AB42" s="12"/>
      <c r="AC42" s="58"/>
    </row>
    <row r="44" spans="26:29" x14ac:dyDescent="0.55000000000000004">
      <c r="AB44" s="56"/>
      <c r="AC44" s="57"/>
    </row>
    <row r="52" spans="1:13" x14ac:dyDescent="0.55000000000000004">
      <c r="L52" s="12"/>
    </row>
    <row r="56" spans="1:13" x14ac:dyDescent="0.55000000000000004">
      <c r="B56" s="9" t="s">
        <v>29</v>
      </c>
      <c r="C56" s="9">
        <f>COUNT(C18:N18)</f>
        <v>7</v>
      </c>
      <c r="D56" s="25" t="str">
        <f ca="1">OFFSET(B6,0,$C$56,1,1)</f>
        <v>Apr</v>
      </c>
      <c r="E56" s="11" t="str">
        <f>B18</f>
        <v>25/26</v>
      </c>
      <c r="F56" s="11" t="str">
        <f ca="1">_xlfn.CONCAT(D56,"'",E56)</f>
        <v>Apr'25/26</v>
      </c>
    </row>
    <row r="58" spans="1:13" x14ac:dyDescent="0.55000000000000004">
      <c r="B58" s="74" t="e">
        <f>_xlfn.CONCAT(#REF!," (Monthly)")</f>
        <v>#REF!</v>
      </c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</row>
    <row r="59" spans="1:13" x14ac:dyDescent="0.55000000000000004">
      <c r="B59" s="3" t="s">
        <v>1</v>
      </c>
      <c r="C59" s="3" t="s">
        <v>2</v>
      </c>
      <c r="D59" s="3" t="s">
        <v>3</v>
      </c>
      <c r="E59" s="3" t="s">
        <v>4</v>
      </c>
      <c r="F59" s="3" t="s">
        <v>5</v>
      </c>
      <c r="G59" s="3" t="s">
        <v>6</v>
      </c>
      <c r="H59" s="3" t="s">
        <v>7</v>
      </c>
      <c r="I59" s="3" t="s">
        <v>8</v>
      </c>
      <c r="J59" s="3" t="s">
        <v>9</v>
      </c>
      <c r="K59" s="3" t="s">
        <v>10</v>
      </c>
      <c r="L59" s="3" t="s">
        <v>11</v>
      </c>
      <c r="M59" s="3" t="s">
        <v>12</v>
      </c>
    </row>
    <row r="60" spans="1:13" x14ac:dyDescent="0.55000000000000004">
      <c r="A60" s="11" t="s">
        <v>95</v>
      </c>
      <c r="B60" s="40">
        <v>0.76027427644191314</v>
      </c>
      <c r="C60" s="40">
        <v>0.75388156600839751</v>
      </c>
      <c r="D60" s="40">
        <v>0.79417850703229886</v>
      </c>
      <c r="E60" s="40">
        <v>0.76566518338324641</v>
      </c>
      <c r="F60" s="40">
        <v>0.7509489261174449</v>
      </c>
      <c r="G60" s="40">
        <v>0.7312420465988152</v>
      </c>
      <c r="H60" s="40">
        <v>0.70087237799659174</v>
      </c>
      <c r="I60" s="40">
        <v>0.6926028609448398</v>
      </c>
      <c r="J60" s="40">
        <v>0.71137729383042492</v>
      </c>
      <c r="K60" s="40">
        <v>0.71381188164634068</v>
      </c>
      <c r="L60" s="40">
        <v>0.75289842333077184</v>
      </c>
      <c r="M60" s="40">
        <v>0.75875421890846406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10567150</v>
      </c>
      <c r="C66" s="12">
        <f t="shared" ref="C66:M66" si="6">D18</f>
        <v>8871933.2524816655</v>
      </c>
      <c r="D66" s="12">
        <f t="shared" si="6"/>
        <v>9594239.5027983338</v>
      </c>
      <c r="E66" s="12">
        <f t="shared" si="6"/>
        <v>9591414</v>
      </c>
      <c r="F66" s="12">
        <f t="shared" si="6"/>
        <v>8393792.333333334</v>
      </c>
      <c r="G66" s="12">
        <f t="shared" si="6"/>
        <v>9569299.3333333321</v>
      </c>
      <c r="H66" s="12">
        <f t="shared" si="6"/>
        <v>9619436</v>
      </c>
      <c r="I66" s="12" t="e">
        <f t="shared" si="6"/>
        <v>#N/A</v>
      </c>
      <c r="J66" s="12" t="e">
        <f t="shared" si="6"/>
        <v>#N/A</v>
      </c>
      <c r="K66" s="12" t="e">
        <f t="shared" si="6"/>
        <v>#N/A</v>
      </c>
      <c r="L66" s="12" t="e">
        <f t="shared" si="6"/>
        <v>#N/A</v>
      </c>
      <c r="M66" s="12" t="e">
        <f t="shared" si="6"/>
        <v>#N/A</v>
      </c>
    </row>
    <row r="67" spans="1:25" x14ac:dyDescent="0.55000000000000004">
      <c r="A67" s="11" t="s">
        <v>30</v>
      </c>
      <c r="B67" s="12">
        <f>MIN(C10:C17)</f>
        <v>10396266.666666668</v>
      </c>
      <c r="C67" s="12">
        <f t="shared" ref="C67:M67" si="7">MIN(D10:D17)</f>
        <v>10860351.277955271</v>
      </c>
      <c r="D67" s="12">
        <f t="shared" si="7"/>
        <v>11342100.000000002</v>
      </c>
      <c r="E67" s="12">
        <f t="shared" si="7"/>
        <v>10804586.639713153</v>
      </c>
      <c r="F67" s="12">
        <f t="shared" si="7"/>
        <v>11260350</v>
      </c>
      <c r="G67" s="12">
        <f t="shared" si="7"/>
        <v>12848742.323659111</v>
      </c>
      <c r="H67" s="12">
        <f t="shared" si="7"/>
        <v>12011141.72498103</v>
      </c>
      <c r="I67" s="12">
        <f t="shared" si="7"/>
        <v>11890000</v>
      </c>
      <c r="J67" s="12">
        <f t="shared" si="7"/>
        <v>11763600</v>
      </c>
      <c r="K67" s="12">
        <f t="shared" si="7"/>
        <v>10616000</v>
      </c>
      <c r="L67" s="12">
        <f t="shared" si="7"/>
        <v>10918183</v>
      </c>
      <c r="M67" s="12">
        <f t="shared" si="7"/>
        <v>9968256.4551196434</v>
      </c>
      <c r="N67" s="12"/>
    </row>
    <row r="68" spans="1:25" x14ac:dyDescent="0.55000000000000004">
      <c r="A68" s="11" t="s">
        <v>31</v>
      </c>
      <c r="B68" s="12">
        <f>MAX(C10:C17)</f>
        <v>12596066.333333334</v>
      </c>
      <c r="C68" s="12">
        <f t="shared" ref="C68:M68" si="8">MAX(D10:D17)</f>
        <v>12735066.666666668</v>
      </c>
      <c r="D68" s="12">
        <f t="shared" si="8"/>
        <v>13550975.096935781</v>
      </c>
      <c r="E68" s="12">
        <f t="shared" si="8"/>
        <v>13967500.000000002</v>
      </c>
      <c r="F68" s="12">
        <f t="shared" si="8"/>
        <v>13086683.333333334</v>
      </c>
      <c r="G68" s="12">
        <f t="shared" si="8"/>
        <v>15474783.333333334</v>
      </c>
      <c r="H68" s="12">
        <f t="shared" si="8"/>
        <v>14038250</v>
      </c>
      <c r="I68" s="12">
        <f t="shared" si="8"/>
        <v>13959566.666666668</v>
      </c>
      <c r="J68" s="12">
        <f t="shared" si="8"/>
        <v>13552800.000000002</v>
      </c>
      <c r="K68" s="12">
        <f t="shared" si="8"/>
        <v>13886233.333333334</v>
      </c>
      <c r="L68" s="12">
        <f t="shared" si="8"/>
        <v>12144480.192413529</v>
      </c>
      <c r="M68" s="12">
        <f t="shared" si="8"/>
        <v>11953750</v>
      </c>
      <c r="N68" s="12"/>
    </row>
    <row r="69" spans="1:25" x14ac:dyDescent="0.55000000000000004">
      <c r="A69" s="11" t="s">
        <v>32</v>
      </c>
      <c r="B69" s="12">
        <f>AVERAGE(C13:C17)</f>
        <v>11605085.367118852</v>
      </c>
      <c r="C69" s="12">
        <f t="shared" ref="C69:M69" si="9">AVERAGE(D13:D17)</f>
        <v>12130242.712811479</v>
      </c>
      <c r="D69" s="12">
        <f t="shared" si="9"/>
        <v>12950875.026053824</v>
      </c>
      <c r="E69" s="12">
        <f t="shared" si="9"/>
        <v>12853023.9946093</v>
      </c>
      <c r="F69" s="12">
        <f t="shared" si="9"/>
        <v>12484103.030818963</v>
      </c>
      <c r="G69" s="12">
        <f t="shared" si="9"/>
        <v>14382265.13139849</v>
      </c>
      <c r="H69" s="12">
        <f t="shared" si="9"/>
        <v>13070651.678329539</v>
      </c>
      <c r="I69" s="12">
        <f t="shared" si="9"/>
        <v>12706421.185392145</v>
      </c>
      <c r="J69" s="12">
        <f t="shared" si="9"/>
        <v>12469741.243279319</v>
      </c>
      <c r="K69" s="12">
        <f t="shared" si="9"/>
        <v>12659363.000702756</v>
      </c>
      <c r="L69" s="12">
        <f t="shared" si="9"/>
        <v>11804562.638482705</v>
      </c>
      <c r="M69" s="12">
        <f t="shared" si="9"/>
        <v>11452501.291023931</v>
      </c>
      <c r="N69" s="12"/>
    </row>
    <row r="74" spans="1:25" x14ac:dyDescent="0.55000000000000004">
      <c r="B74" s="11">
        <v>1</v>
      </c>
      <c r="C74" s="11">
        <v>1</v>
      </c>
      <c r="D74" s="12" t="e">
        <f>INDEX($C$7:$N$19,MATCH(B74,$A$7:$A$19),MATCH(C74,$C$4:$N$4))</f>
        <v>#N/A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 t="e">
        <f t="shared" ref="D75:D138" si="10">INDEX($C$7:$N$19,MATCH(B75,$A$7:$A$19),MATCH(C75,$C$4:$N$4))</f>
        <v>#N/A</v>
      </c>
      <c r="E75" s="11" t="str">
        <f t="shared" ref="E75:E138" si="11">_xlfn.XLOOKUP(B75,$A$7:$A$19,$B$7:$B$19)</f>
        <v>14/15</v>
      </c>
      <c r="F75" s="11" t="str">
        <f t="shared" ref="F75:F138" si="12">_xlfn.XLOOKUP(C75,$C$4:$N$4,$C$6:$N$6)</f>
        <v>Nov</v>
      </c>
      <c r="G75" s="11" t="str">
        <f t="shared" ref="G75:G138" si="13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 t="e">
        <f t="shared" si="10"/>
        <v>#N/A</v>
      </c>
      <c r="E76" s="11" t="str">
        <f t="shared" si="11"/>
        <v>14/15</v>
      </c>
      <c r="F76" s="11" t="str">
        <f t="shared" si="12"/>
        <v>Dec</v>
      </c>
      <c r="G76" s="11" t="str">
        <f t="shared" si="13"/>
        <v>Dec'14/15</v>
      </c>
      <c r="M76" s="6" t="s">
        <v>15</v>
      </c>
      <c r="N76" s="5" t="e">
        <f>C7</f>
        <v>#N/A</v>
      </c>
      <c r="O76" s="5" t="e">
        <f t="shared" ref="O76:Y88" si="14">N76+D7</f>
        <v>#N/A</v>
      </c>
      <c r="P76" s="5" t="e">
        <f t="shared" si="14"/>
        <v>#N/A</v>
      </c>
      <c r="Q76" s="5" t="e">
        <f t="shared" si="14"/>
        <v>#N/A</v>
      </c>
      <c r="R76" s="5" t="e">
        <f t="shared" si="14"/>
        <v>#N/A</v>
      </c>
      <c r="S76" s="5" t="e">
        <f t="shared" si="14"/>
        <v>#N/A</v>
      </c>
      <c r="T76" s="5" t="e">
        <f t="shared" si="14"/>
        <v>#N/A</v>
      </c>
      <c r="U76" s="5" t="e">
        <f t="shared" si="14"/>
        <v>#N/A</v>
      </c>
      <c r="V76" s="5" t="e">
        <f t="shared" si="14"/>
        <v>#N/A</v>
      </c>
      <c r="W76" s="5" t="e">
        <f t="shared" si="14"/>
        <v>#N/A</v>
      </c>
      <c r="X76" s="5" t="e">
        <f t="shared" si="14"/>
        <v>#N/A</v>
      </c>
      <c r="Y76" s="5" t="e">
        <f t="shared" si="14"/>
        <v>#N/A</v>
      </c>
    </row>
    <row r="77" spans="1:25" x14ac:dyDescent="0.55000000000000004">
      <c r="B77" s="11">
        <v>1</v>
      </c>
      <c r="C77" s="11">
        <v>4</v>
      </c>
      <c r="D77" s="12" t="e">
        <f t="shared" si="10"/>
        <v>#N/A</v>
      </c>
      <c r="E77" s="11" t="str">
        <f t="shared" si="11"/>
        <v>14/15</v>
      </c>
      <c r="F77" s="11" t="str">
        <f t="shared" si="12"/>
        <v>Jan</v>
      </c>
      <c r="G77" s="11" t="str">
        <f t="shared" si="13"/>
        <v>Jan'14/15</v>
      </c>
      <c r="M77" s="6" t="s">
        <v>16</v>
      </c>
      <c r="N77" s="5" t="e">
        <f t="shared" ref="N77:N88" si="15">C8</f>
        <v>#N/A</v>
      </c>
      <c r="O77" s="5" t="e">
        <f t="shared" si="14"/>
        <v>#N/A</v>
      </c>
      <c r="P77" s="5" t="e">
        <f t="shared" si="14"/>
        <v>#N/A</v>
      </c>
      <c r="Q77" s="5" t="e">
        <f t="shared" si="14"/>
        <v>#N/A</v>
      </c>
      <c r="R77" s="5" t="e">
        <f t="shared" si="14"/>
        <v>#N/A</v>
      </c>
      <c r="S77" s="5" t="e">
        <f t="shared" si="14"/>
        <v>#N/A</v>
      </c>
      <c r="T77" s="5" t="e">
        <f t="shared" si="14"/>
        <v>#N/A</v>
      </c>
      <c r="U77" s="5" t="e">
        <f t="shared" si="14"/>
        <v>#N/A</v>
      </c>
      <c r="V77" s="5" t="e">
        <f t="shared" si="14"/>
        <v>#N/A</v>
      </c>
      <c r="W77" s="5" t="e">
        <f t="shared" si="14"/>
        <v>#N/A</v>
      </c>
      <c r="X77" s="5" t="e">
        <f t="shared" si="14"/>
        <v>#N/A</v>
      </c>
      <c r="Y77" s="5" t="e">
        <f t="shared" si="14"/>
        <v>#N/A</v>
      </c>
    </row>
    <row r="78" spans="1:25" x14ac:dyDescent="0.55000000000000004">
      <c r="B78" s="11">
        <v>1</v>
      </c>
      <c r="C78" s="11">
        <v>5</v>
      </c>
      <c r="D78" s="12" t="e">
        <f t="shared" si="10"/>
        <v>#N/A</v>
      </c>
      <c r="E78" s="11" t="str">
        <f t="shared" si="11"/>
        <v>14/15</v>
      </c>
      <c r="F78" s="11" t="str">
        <f t="shared" si="12"/>
        <v>Feb</v>
      </c>
      <c r="G78" s="11" t="str">
        <f t="shared" si="13"/>
        <v>Feb'14/15</v>
      </c>
      <c r="M78" s="6" t="s">
        <v>17</v>
      </c>
      <c r="N78" s="5">
        <f t="shared" si="15"/>
        <v>10954100</v>
      </c>
      <c r="O78" s="5">
        <f t="shared" si="14"/>
        <v>21988200</v>
      </c>
      <c r="P78" s="5">
        <f t="shared" si="14"/>
        <v>34640416.666666672</v>
      </c>
      <c r="Q78" s="5">
        <f t="shared" si="14"/>
        <v>46466550.000000007</v>
      </c>
      <c r="R78" s="5">
        <f t="shared" si="14"/>
        <v>58147133.333333343</v>
      </c>
      <c r="S78" s="5">
        <f t="shared" si="14"/>
        <v>71904483.333333343</v>
      </c>
      <c r="T78" s="5">
        <f t="shared" si="14"/>
        <v>83505800.000000015</v>
      </c>
      <c r="U78" s="5">
        <f t="shared" si="14"/>
        <v>95881950.000000015</v>
      </c>
      <c r="V78" s="5">
        <f t="shared" si="14"/>
        <v>107423000.00000001</v>
      </c>
      <c r="W78" s="5">
        <f t="shared" si="14"/>
        <v>118468100.00000001</v>
      </c>
      <c r="X78" s="5">
        <f t="shared" si="14"/>
        <v>129704151.31421746</v>
      </c>
      <c r="Y78" s="5">
        <f t="shared" si="14"/>
        <v>139994467.98088413</v>
      </c>
    </row>
    <row r="79" spans="1:25" x14ac:dyDescent="0.55000000000000004">
      <c r="B79" s="11">
        <v>1</v>
      </c>
      <c r="C79" s="11">
        <v>6</v>
      </c>
      <c r="D79" s="12" t="e">
        <f t="shared" si="10"/>
        <v>#N/A</v>
      </c>
      <c r="E79" s="11" t="str">
        <f t="shared" si="11"/>
        <v>14/15</v>
      </c>
      <c r="F79" s="11" t="str">
        <f t="shared" si="12"/>
        <v>Mar</v>
      </c>
      <c r="G79" s="11" t="str">
        <f t="shared" si="13"/>
        <v>Mar'14/15</v>
      </c>
      <c r="M79" s="6" t="s">
        <v>18</v>
      </c>
      <c r="N79" s="5">
        <f t="shared" si="15"/>
        <v>10396266.666666668</v>
      </c>
      <c r="O79" s="5">
        <f t="shared" si="14"/>
        <v>21256617.944621939</v>
      </c>
      <c r="P79" s="5">
        <f t="shared" si="14"/>
        <v>32598717.944621943</v>
      </c>
      <c r="Q79" s="5">
        <f t="shared" si="14"/>
        <v>45499184.611288607</v>
      </c>
      <c r="R79" s="5">
        <f t="shared" si="14"/>
        <v>56759534.611288607</v>
      </c>
      <c r="S79" s="5">
        <f t="shared" si="14"/>
        <v>69996867.944621935</v>
      </c>
      <c r="T79" s="5">
        <f t="shared" si="14"/>
        <v>82119517.944621935</v>
      </c>
      <c r="U79" s="5">
        <f t="shared" si="14"/>
        <v>94009517.944621935</v>
      </c>
      <c r="V79" s="5">
        <f t="shared" si="14"/>
        <v>106158617.94462194</v>
      </c>
      <c r="W79" s="5">
        <f t="shared" si="14"/>
        <v>116774617.94462194</v>
      </c>
      <c r="X79" s="5">
        <f t="shared" si="14"/>
        <v>128558717.94462194</v>
      </c>
      <c r="Y79" s="5">
        <f t="shared" si="14"/>
        <v>139736484.61128861</v>
      </c>
    </row>
    <row r="80" spans="1:25" x14ac:dyDescent="0.55000000000000004">
      <c r="B80" s="11">
        <v>1</v>
      </c>
      <c r="C80" s="11">
        <v>7</v>
      </c>
      <c r="D80" s="12" t="e">
        <f t="shared" si="10"/>
        <v>#N/A</v>
      </c>
      <c r="E80" s="11" t="str">
        <f t="shared" si="11"/>
        <v>14/15</v>
      </c>
      <c r="F80" s="11" t="str">
        <f t="shared" si="12"/>
        <v>Apr</v>
      </c>
      <c r="G80" s="11" t="str">
        <f t="shared" si="13"/>
        <v>Apr'14/15</v>
      </c>
      <c r="M80" s="6" t="s">
        <v>19</v>
      </c>
      <c r="N80" s="5">
        <f t="shared" si="15"/>
        <v>12224966.666666668</v>
      </c>
      <c r="O80" s="5">
        <f t="shared" si="14"/>
        <v>24960033.333333336</v>
      </c>
      <c r="P80" s="5">
        <f t="shared" si="14"/>
        <v>37739883.333333336</v>
      </c>
      <c r="Q80" s="5">
        <f t="shared" si="14"/>
        <v>51166333.333333336</v>
      </c>
      <c r="R80" s="5">
        <f t="shared" si="14"/>
        <v>63598333.333333336</v>
      </c>
      <c r="S80" s="5">
        <f t="shared" si="14"/>
        <v>77548850</v>
      </c>
      <c r="T80" s="5">
        <f t="shared" si="14"/>
        <v>90302566.666666672</v>
      </c>
      <c r="U80" s="5">
        <f t="shared" si="14"/>
        <v>104262133.33333334</v>
      </c>
      <c r="V80" s="5">
        <f t="shared" si="14"/>
        <v>116846133.33333334</v>
      </c>
      <c r="W80" s="5">
        <f t="shared" si="14"/>
        <v>130210550.00000001</v>
      </c>
      <c r="X80" s="5">
        <f t="shared" si="14"/>
        <v>142304850</v>
      </c>
      <c r="Y80" s="5">
        <f t="shared" si="14"/>
        <v>153910733.33333334</v>
      </c>
    </row>
    <row r="81" spans="2:25" x14ac:dyDescent="0.55000000000000004">
      <c r="B81" s="11">
        <v>1</v>
      </c>
      <c r="C81" s="11">
        <v>8</v>
      </c>
      <c r="D81" s="12" t="e">
        <f t="shared" si="10"/>
        <v>#N/A</v>
      </c>
      <c r="E81" s="11" t="str">
        <f t="shared" si="11"/>
        <v>14/15</v>
      </c>
      <c r="F81" s="11" t="str">
        <f t="shared" si="12"/>
        <v>May</v>
      </c>
      <c r="G81" s="11" t="str">
        <f t="shared" si="13"/>
        <v>May'14/15</v>
      </c>
      <c r="M81" s="6" t="s">
        <v>20</v>
      </c>
      <c r="N81" s="5">
        <f t="shared" si="15"/>
        <v>11643650</v>
      </c>
      <c r="O81" s="5">
        <f t="shared" si="14"/>
        <v>23199466.666666664</v>
      </c>
      <c r="P81" s="5">
        <f t="shared" si="14"/>
        <v>36027900</v>
      </c>
      <c r="Q81" s="5">
        <f t="shared" si="14"/>
        <v>47858283.333333336</v>
      </c>
      <c r="R81" s="5">
        <f t="shared" si="14"/>
        <v>60469166.666666672</v>
      </c>
      <c r="S81" s="5">
        <f t="shared" si="14"/>
        <v>74089250</v>
      </c>
      <c r="T81" s="5">
        <f t="shared" si="14"/>
        <v>87028683.333333328</v>
      </c>
      <c r="U81" s="5">
        <f t="shared" si="14"/>
        <v>99483516.666666657</v>
      </c>
      <c r="V81" s="5">
        <f t="shared" si="14"/>
        <v>111247116.66666666</v>
      </c>
      <c r="W81" s="5">
        <f t="shared" si="14"/>
        <v>123393816.66666666</v>
      </c>
      <c r="X81" s="5">
        <f t="shared" si="14"/>
        <v>134545666.66666666</v>
      </c>
      <c r="Y81" s="5">
        <f t="shared" si="14"/>
        <v>146462583.33333331</v>
      </c>
    </row>
    <row r="82" spans="2:25" x14ac:dyDescent="0.55000000000000004">
      <c r="B82" s="11">
        <v>1</v>
      </c>
      <c r="C82" s="11">
        <v>9</v>
      </c>
      <c r="D82" s="12" t="e">
        <f t="shared" si="10"/>
        <v>#N/A</v>
      </c>
      <c r="E82" s="11" t="str">
        <f t="shared" si="11"/>
        <v>14/15</v>
      </c>
      <c r="F82" s="11" t="str">
        <f t="shared" si="12"/>
        <v>Jun</v>
      </c>
      <c r="G82" s="11" t="str">
        <f t="shared" si="13"/>
        <v>Jun'14/15</v>
      </c>
      <c r="M82" s="6" t="s">
        <v>21</v>
      </c>
      <c r="N82" s="5">
        <f t="shared" si="15"/>
        <v>11567333.333333334</v>
      </c>
      <c r="O82" s="5">
        <f t="shared" si="14"/>
        <v>23684600</v>
      </c>
      <c r="P82" s="5">
        <f t="shared" si="14"/>
        <v>37091733.333333336</v>
      </c>
      <c r="Q82" s="5">
        <f t="shared" si="14"/>
        <v>49668300</v>
      </c>
      <c r="R82" s="5">
        <f t="shared" si="14"/>
        <v>61989266.666666672</v>
      </c>
      <c r="S82" s="5">
        <f t="shared" si="14"/>
        <v>77153500</v>
      </c>
      <c r="T82" s="5">
        <f t="shared" si="14"/>
        <v>90506600</v>
      </c>
      <c r="U82" s="5">
        <f t="shared" si="14"/>
        <v>102875316.66666667</v>
      </c>
      <c r="V82" s="5">
        <f t="shared" si="14"/>
        <v>115603816.66666667</v>
      </c>
      <c r="W82" s="5">
        <f t="shared" si="14"/>
        <v>127907850</v>
      </c>
      <c r="X82" s="5">
        <f t="shared" si="14"/>
        <v>139891966.66666666</v>
      </c>
      <c r="Y82" s="5">
        <f t="shared" si="14"/>
        <v>151752133.33333331</v>
      </c>
    </row>
    <row r="83" spans="2:25" x14ac:dyDescent="0.55000000000000004">
      <c r="B83" s="11">
        <v>1</v>
      </c>
      <c r="C83" s="11">
        <v>10</v>
      </c>
      <c r="D83" s="12" t="e">
        <f t="shared" si="10"/>
        <v>#N/A</v>
      </c>
      <c r="E83" s="11" t="str">
        <f t="shared" si="11"/>
        <v>14/15</v>
      </c>
      <c r="F83" s="11" t="str">
        <f t="shared" si="12"/>
        <v>Jul</v>
      </c>
      <c r="G83" s="11" t="str">
        <f t="shared" si="13"/>
        <v>Jul'14/15</v>
      </c>
      <c r="M83" s="6" t="s">
        <v>22</v>
      </c>
      <c r="N83" s="5">
        <f t="shared" si="15"/>
        <v>11563100</v>
      </c>
      <c r="O83" s="5">
        <f t="shared" si="14"/>
        <v>23287250</v>
      </c>
      <c r="P83" s="5">
        <f t="shared" si="14"/>
        <v>36735116.666666672</v>
      </c>
      <c r="Q83" s="5">
        <f t="shared" si="14"/>
        <v>50702616.666666672</v>
      </c>
      <c r="R83" s="5">
        <f t="shared" si="14"/>
        <v>63789300.000000007</v>
      </c>
      <c r="S83" s="5">
        <f t="shared" si="14"/>
        <v>79264083.333333343</v>
      </c>
      <c r="T83" s="5">
        <f t="shared" si="14"/>
        <v>91976600.000000015</v>
      </c>
      <c r="U83" s="5">
        <f t="shared" si="14"/>
        <v>104336983.33333334</v>
      </c>
      <c r="V83" s="5">
        <f t="shared" si="14"/>
        <v>117889783.33333334</v>
      </c>
      <c r="W83" s="5">
        <f t="shared" si="14"/>
        <v>131776016.66666667</v>
      </c>
      <c r="X83" s="5">
        <f t="shared" si="14"/>
        <v>143643883.33333334</v>
      </c>
      <c r="Y83" s="5">
        <f t="shared" si="14"/>
        <v>155368250</v>
      </c>
    </row>
    <row r="84" spans="2:25" x14ac:dyDescent="0.55000000000000004">
      <c r="B84" s="11">
        <v>1</v>
      </c>
      <c r="C84" s="11">
        <v>11</v>
      </c>
      <c r="D84" s="12" t="e">
        <f t="shared" si="10"/>
        <v>#N/A</v>
      </c>
      <c r="E84" s="11" t="str">
        <f t="shared" si="11"/>
        <v>14/15</v>
      </c>
      <c r="F84" s="11" t="str">
        <f t="shared" si="12"/>
        <v>Aug</v>
      </c>
      <c r="G84" s="11" t="str">
        <f t="shared" si="13"/>
        <v>Aug'14/15</v>
      </c>
      <c r="H84" s="11" t="s">
        <v>34</v>
      </c>
      <c r="I84" s="11" t="s">
        <v>44</v>
      </c>
      <c r="M84" s="6" t="s">
        <v>23</v>
      </c>
      <c r="N84" s="5">
        <f t="shared" si="15"/>
        <v>11325750</v>
      </c>
      <c r="O84" s="5">
        <f t="shared" si="14"/>
        <v>23619216.666666668</v>
      </c>
      <c r="P84" s="5">
        <f t="shared" si="14"/>
        <v>36158083.366666667</v>
      </c>
      <c r="Q84" s="5">
        <f t="shared" si="14"/>
        <v>46962670.00637982</v>
      </c>
      <c r="R84" s="5">
        <f t="shared" si="14"/>
        <v>58347901.827141292</v>
      </c>
      <c r="S84" s="5">
        <f t="shared" si="14"/>
        <v>71196644.150800407</v>
      </c>
      <c r="T84" s="5">
        <f t="shared" si="14"/>
        <v>83207785.875781432</v>
      </c>
      <c r="U84" s="5">
        <f t="shared" si="14"/>
        <v>95215341.802742153</v>
      </c>
      <c r="V84" s="5">
        <f t="shared" si="14"/>
        <v>107330064.68580541</v>
      </c>
      <c r="W84" s="5">
        <f t="shared" si="14"/>
        <v>119762513.02265252</v>
      </c>
      <c r="X84" s="5">
        <f t="shared" si="14"/>
        <v>131906993.21506605</v>
      </c>
      <c r="Y84" s="5">
        <f t="shared" si="14"/>
        <v>141875249.67018569</v>
      </c>
    </row>
    <row r="85" spans="2:25" x14ac:dyDescent="0.55000000000000004">
      <c r="B85" s="11">
        <v>1</v>
      </c>
      <c r="C85" s="11">
        <v>12</v>
      </c>
      <c r="D85" s="12" t="e">
        <f t="shared" si="10"/>
        <v>#N/A</v>
      </c>
      <c r="E85" s="11" t="str">
        <f t="shared" si="11"/>
        <v>14/15</v>
      </c>
      <c r="F85" s="11" t="str">
        <f t="shared" si="12"/>
        <v>Sep</v>
      </c>
      <c r="G85" s="11" t="str">
        <f t="shared" si="13"/>
        <v>Sep'14/15</v>
      </c>
      <c r="H85" s="11" t="str">
        <f>G85</f>
        <v>Sep'14/15</v>
      </c>
      <c r="I85" s="11" t="e">
        <f>SUM(D74:D85)/1000000</f>
        <v>#N/A</v>
      </c>
      <c r="M85" s="6" t="s">
        <v>24</v>
      </c>
      <c r="N85" s="5">
        <f t="shared" si="15"/>
        <v>10973177.168927584</v>
      </c>
      <c r="O85" s="5">
        <f t="shared" si="14"/>
        <v>23599540.732984979</v>
      </c>
      <c r="P85" s="5">
        <f t="shared" si="14"/>
        <v>37150515.829920761</v>
      </c>
      <c r="Q85" s="5">
        <f t="shared" si="14"/>
        <v>50979549.163254097</v>
      </c>
      <c r="R85" s="5">
        <f t="shared" si="14"/>
        <v>63830915.829920769</v>
      </c>
      <c r="S85" s="5">
        <f t="shared" si="14"/>
        <v>77316015.829920769</v>
      </c>
      <c r="T85" s="5">
        <f t="shared" si="14"/>
        <v>91354265.829920769</v>
      </c>
      <c r="U85" s="5">
        <f t="shared" si="14"/>
        <v>104684099.1632541</v>
      </c>
      <c r="V85" s="5">
        <f t="shared" si="14"/>
        <v>116696165.82992077</v>
      </c>
      <c r="W85" s="5">
        <f t="shared" si="14"/>
        <v>129220415.82992077</v>
      </c>
      <c r="X85" s="5">
        <f t="shared" si="14"/>
        <v>141328582.49658743</v>
      </c>
      <c r="Y85" s="5">
        <f t="shared" si="14"/>
        <v>153282332.49658743</v>
      </c>
    </row>
    <row r="86" spans="2:25" x14ac:dyDescent="0.55000000000000004">
      <c r="B86" s="11">
        <f>B74+1</f>
        <v>2</v>
      </c>
      <c r="C86" s="11">
        <f>C74</f>
        <v>1</v>
      </c>
      <c r="D86" s="12" t="e">
        <f t="shared" si="10"/>
        <v>#N/A</v>
      </c>
      <c r="E86" s="11" t="str">
        <f t="shared" si="11"/>
        <v>15/16</v>
      </c>
      <c r="F86" s="11" t="str">
        <f t="shared" si="12"/>
        <v>Oct</v>
      </c>
      <c r="G86" s="11" t="str">
        <f t="shared" si="13"/>
        <v>Oct'15/16</v>
      </c>
      <c r="H86" s="11" t="str">
        <f t="shared" ref="H86:H149" si="16">G86</f>
        <v>Oct'15/16</v>
      </c>
      <c r="I86" s="11" t="e">
        <f t="shared" ref="I86:I149" si="17">SUM(D75:D86)/1000000</f>
        <v>#N/A</v>
      </c>
      <c r="M86" s="6" t="s">
        <v>25</v>
      </c>
      <c r="N86" s="5">
        <f t="shared" si="15"/>
        <v>12596066.333333334</v>
      </c>
      <c r="O86" s="5">
        <f t="shared" si="14"/>
        <v>24486033</v>
      </c>
      <c r="P86" s="5">
        <f t="shared" si="14"/>
        <v>36295566.333333336</v>
      </c>
      <c r="Q86" s="5">
        <f t="shared" si="14"/>
        <v>49382999.666666672</v>
      </c>
      <c r="R86" s="5">
        <f t="shared" si="14"/>
        <v>62159266.333333343</v>
      </c>
      <c r="S86" s="5">
        <f t="shared" si="14"/>
        <v>77097733.000000015</v>
      </c>
      <c r="T86" s="5">
        <f t="shared" si="14"/>
        <v>90335983.000000015</v>
      </c>
      <c r="U86" s="5">
        <f t="shared" si="14"/>
        <v>103801599.66666669</v>
      </c>
      <c r="V86" s="5">
        <f t="shared" si="14"/>
        <v>115742216.33333336</v>
      </c>
      <c r="W86" s="5">
        <f t="shared" si="14"/>
        <v>127892066.33333336</v>
      </c>
      <c r="X86" s="5">
        <f t="shared" si="14"/>
        <v>138810249.33333337</v>
      </c>
      <c r="Y86" s="5">
        <f t="shared" si="14"/>
        <v>150566216.00000003</v>
      </c>
    </row>
    <row r="87" spans="2:25" x14ac:dyDescent="0.55000000000000004">
      <c r="B87" s="11">
        <f t="shared" ref="B87:B150" si="18">B75+1</f>
        <v>2</v>
      </c>
      <c r="C87" s="11">
        <f t="shared" ref="C87:C150" si="19">C75</f>
        <v>2</v>
      </c>
      <c r="D87" s="12" t="e">
        <f t="shared" si="10"/>
        <v>#N/A</v>
      </c>
      <c r="E87" s="11" t="str">
        <f t="shared" si="11"/>
        <v>15/16</v>
      </c>
      <c r="F87" s="11" t="str">
        <f t="shared" si="12"/>
        <v>Nov</v>
      </c>
      <c r="G87" s="11" t="str">
        <f t="shared" si="13"/>
        <v>Nov'15/16</v>
      </c>
      <c r="H87" s="11" t="str">
        <f t="shared" si="16"/>
        <v>Nov'15/16</v>
      </c>
      <c r="I87" s="11" t="e">
        <f t="shared" si="17"/>
        <v>#N/A</v>
      </c>
      <c r="M87" s="6" t="s">
        <v>26</v>
      </c>
      <c r="N87" s="5">
        <f t="shared" si="15"/>
        <v>10567150</v>
      </c>
      <c r="O87" s="5">
        <f t="shared" si="14"/>
        <v>19439083.252481665</v>
      </c>
      <c r="P87" s="5">
        <f t="shared" si="14"/>
        <v>29033322.755279999</v>
      </c>
      <c r="Q87" s="5">
        <f t="shared" si="14"/>
        <v>38624736.755280003</v>
      </c>
      <c r="R87" s="5">
        <f t="shared" si="14"/>
        <v>47018529.088613339</v>
      </c>
      <c r="S87" s="5">
        <f t="shared" si="14"/>
        <v>56587828.421946675</v>
      </c>
      <c r="T87" s="5">
        <f t="shared" si="14"/>
        <v>66207264.421946675</v>
      </c>
      <c r="U87" s="5" t="e">
        <f t="shared" si="14"/>
        <v>#N/A</v>
      </c>
      <c r="V87" s="5" t="e">
        <f t="shared" si="14"/>
        <v>#N/A</v>
      </c>
      <c r="W87" s="5" t="e">
        <f t="shared" si="14"/>
        <v>#N/A</v>
      </c>
      <c r="X87" s="5" t="e">
        <f t="shared" si="14"/>
        <v>#N/A</v>
      </c>
      <c r="Y87" s="5" t="e">
        <f t="shared" si="14"/>
        <v>#N/A</v>
      </c>
    </row>
    <row r="88" spans="2:25" x14ac:dyDescent="0.55000000000000004">
      <c r="B88" s="11">
        <f t="shared" si="18"/>
        <v>2</v>
      </c>
      <c r="C88" s="11">
        <f t="shared" si="19"/>
        <v>3</v>
      </c>
      <c r="D88" s="12" t="e">
        <f t="shared" si="10"/>
        <v>#N/A</v>
      </c>
      <c r="E88" s="11" t="str">
        <f t="shared" si="11"/>
        <v>15/16</v>
      </c>
      <c r="F88" s="11" t="str">
        <f t="shared" si="12"/>
        <v>Dec</v>
      </c>
      <c r="G88" s="11" t="str">
        <f t="shared" si="13"/>
        <v>Dec'15/16</v>
      </c>
      <c r="H88" s="11" t="str">
        <f t="shared" si="16"/>
        <v>Dec'15/16</v>
      </c>
      <c r="I88" s="11" t="e">
        <f t="shared" si="17"/>
        <v>#N/A</v>
      </c>
      <c r="M88" s="6" t="s">
        <v>27</v>
      </c>
      <c r="N88" s="5" t="e">
        <f t="shared" si="15"/>
        <v>#N/A</v>
      </c>
      <c r="O88" s="5" t="e">
        <f t="shared" si="14"/>
        <v>#N/A</v>
      </c>
      <c r="P88" s="5" t="e">
        <f t="shared" si="14"/>
        <v>#N/A</v>
      </c>
      <c r="Q88" s="5" t="e">
        <f t="shared" si="14"/>
        <v>#N/A</v>
      </c>
      <c r="R88" s="5" t="e">
        <f t="shared" si="14"/>
        <v>#N/A</v>
      </c>
      <c r="S88" s="5" t="e">
        <f t="shared" si="14"/>
        <v>#N/A</v>
      </c>
      <c r="T88" s="5" t="e">
        <f t="shared" si="14"/>
        <v>#N/A</v>
      </c>
      <c r="U88" s="5" t="e">
        <f t="shared" si="14"/>
        <v>#N/A</v>
      </c>
      <c r="V88" s="5" t="e">
        <f t="shared" si="14"/>
        <v>#N/A</v>
      </c>
      <c r="W88" s="5" t="e">
        <f t="shared" si="14"/>
        <v>#N/A</v>
      </c>
      <c r="X88" s="5" t="e">
        <f t="shared" si="14"/>
        <v>#N/A</v>
      </c>
      <c r="Y88" s="5" t="e">
        <f t="shared" si="14"/>
        <v>#N/A</v>
      </c>
    </row>
    <row r="89" spans="2:25" x14ac:dyDescent="0.55000000000000004">
      <c r="B89" s="11">
        <f t="shared" si="18"/>
        <v>2</v>
      </c>
      <c r="C89" s="11">
        <f t="shared" si="19"/>
        <v>4</v>
      </c>
      <c r="D89" s="12" t="e">
        <f t="shared" si="10"/>
        <v>#N/A</v>
      </c>
      <c r="E89" s="11" t="str">
        <f t="shared" si="11"/>
        <v>15/16</v>
      </c>
      <c r="F89" s="11" t="str">
        <f t="shared" si="12"/>
        <v>Jan</v>
      </c>
      <c r="G89" s="11" t="str">
        <f t="shared" si="13"/>
        <v>Jan'15/16</v>
      </c>
      <c r="H89" s="11" t="str">
        <f t="shared" si="16"/>
        <v>Jan'15/16</v>
      </c>
      <c r="I89" s="11" t="e">
        <f t="shared" si="17"/>
        <v>#N/A</v>
      </c>
    </row>
    <row r="90" spans="2:25" x14ac:dyDescent="0.55000000000000004">
      <c r="B90" s="11">
        <f t="shared" si="18"/>
        <v>2</v>
      </c>
      <c r="C90" s="11">
        <f t="shared" si="19"/>
        <v>5</v>
      </c>
      <c r="D90" s="12" t="e">
        <f t="shared" si="10"/>
        <v>#N/A</v>
      </c>
      <c r="E90" s="11" t="str">
        <f t="shared" si="11"/>
        <v>15/16</v>
      </c>
      <c r="F90" s="11" t="str">
        <f t="shared" si="12"/>
        <v>Feb</v>
      </c>
      <c r="G90" s="11" t="str">
        <f t="shared" si="13"/>
        <v>Feb'15/16</v>
      </c>
      <c r="H90" s="11" t="str">
        <f t="shared" si="16"/>
        <v>Feb'15/16</v>
      </c>
      <c r="I90" s="11" t="e">
        <f t="shared" si="17"/>
        <v>#N/A</v>
      </c>
    </row>
    <row r="91" spans="2:25" x14ac:dyDescent="0.55000000000000004">
      <c r="B91" s="11">
        <f t="shared" si="18"/>
        <v>2</v>
      </c>
      <c r="C91" s="11">
        <f t="shared" si="19"/>
        <v>6</v>
      </c>
      <c r="D91" s="12" t="e">
        <f t="shared" si="10"/>
        <v>#N/A</v>
      </c>
      <c r="E91" s="11" t="str">
        <f t="shared" si="11"/>
        <v>15/16</v>
      </c>
      <c r="F91" s="11" t="str">
        <f t="shared" si="12"/>
        <v>Mar</v>
      </c>
      <c r="G91" s="11" t="str">
        <f t="shared" si="13"/>
        <v>Mar'15/16</v>
      </c>
      <c r="H91" s="11" t="str">
        <f t="shared" si="16"/>
        <v>Mar'15/16</v>
      </c>
      <c r="I91" s="11" t="e">
        <f t="shared" si="17"/>
        <v>#N/A</v>
      </c>
    </row>
    <row r="92" spans="2:25" x14ac:dyDescent="0.55000000000000004">
      <c r="B92" s="11">
        <f t="shared" si="18"/>
        <v>2</v>
      </c>
      <c r="C92" s="11">
        <f t="shared" si="19"/>
        <v>7</v>
      </c>
      <c r="D92" s="12" t="e">
        <f t="shared" si="10"/>
        <v>#N/A</v>
      </c>
      <c r="E92" s="11" t="str">
        <f t="shared" si="11"/>
        <v>15/16</v>
      </c>
      <c r="F92" s="11" t="str">
        <f t="shared" si="12"/>
        <v>Apr</v>
      </c>
      <c r="G92" s="11" t="str">
        <f t="shared" si="13"/>
        <v>Apr'15/16</v>
      </c>
      <c r="H92" s="11" t="str">
        <f t="shared" si="16"/>
        <v>Apr'15/16</v>
      </c>
      <c r="I92" s="11" t="e">
        <f t="shared" si="17"/>
        <v>#N/A</v>
      </c>
    </row>
    <row r="93" spans="2:25" x14ac:dyDescent="0.55000000000000004">
      <c r="B93" s="11">
        <f t="shared" si="18"/>
        <v>2</v>
      </c>
      <c r="C93" s="11">
        <f t="shared" si="19"/>
        <v>8</v>
      </c>
      <c r="D93" s="12" t="e">
        <f t="shared" si="10"/>
        <v>#N/A</v>
      </c>
      <c r="E93" s="11" t="str">
        <f t="shared" si="11"/>
        <v>15/16</v>
      </c>
      <c r="F93" s="11" t="str">
        <f t="shared" si="12"/>
        <v>May</v>
      </c>
      <c r="G93" s="11" t="str">
        <f t="shared" si="13"/>
        <v>May'15/16</v>
      </c>
      <c r="H93" s="11" t="str">
        <f t="shared" si="16"/>
        <v>May'15/16</v>
      </c>
      <c r="I93" s="11" t="e">
        <f t="shared" si="17"/>
        <v>#N/A</v>
      </c>
    </row>
    <row r="94" spans="2:25" x14ac:dyDescent="0.55000000000000004">
      <c r="B94" s="11">
        <f t="shared" si="18"/>
        <v>2</v>
      </c>
      <c r="C94" s="11">
        <f t="shared" si="19"/>
        <v>9</v>
      </c>
      <c r="D94" s="12" t="e">
        <f t="shared" si="10"/>
        <v>#N/A</v>
      </c>
      <c r="E94" s="11" t="str">
        <f t="shared" si="11"/>
        <v>15/16</v>
      </c>
      <c r="F94" s="11" t="str">
        <f t="shared" si="12"/>
        <v>Jun</v>
      </c>
      <c r="G94" s="11" t="str">
        <f t="shared" si="13"/>
        <v>Jun'15/16</v>
      </c>
      <c r="H94" s="11" t="str">
        <f t="shared" si="16"/>
        <v>Jun'15/16</v>
      </c>
      <c r="I94" s="11" t="e">
        <f t="shared" si="17"/>
        <v>#N/A</v>
      </c>
    </row>
    <row r="95" spans="2:25" x14ac:dyDescent="0.55000000000000004">
      <c r="B95" s="11">
        <f t="shared" si="18"/>
        <v>2</v>
      </c>
      <c r="C95" s="11">
        <f t="shared" si="19"/>
        <v>10</v>
      </c>
      <c r="D95" s="12" t="e">
        <f t="shared" si="10"/>
        <v>#N/A</v>
      </c>
      <c r="E95" s="11" t="str">
        <f t="shared" si="11"/>
        <v>15/16</v>
      </c>
      <c r="F95" s="11" t="str">
        <f t="shared" si="12"/>
        <v>Jul</v>
      </c>
      <c r="G95" s="11" t="str">
        <f t="shared" si="13"/>
        <v>Jul'15/16</v>
      </c>
      <c r="H95" s="11" t="str">
        <f t="shared" si="16"/>
        <v>Jul'15/16</v>
      </c>
      <c r="I95" s="11" t="e">
        <f t="shared" si="17"/>
        <v>#N/A</v>
      </c>
    </row>
    <row r="96" spans="2:25" x14ac:dyDescent="0.55000000000000004">
      <c r="B96" s="11">
        <f t="shared" si="18"/>
        <v>2</v>
      </c>
      <c r="C96" s="11">
        <f t="shared" si="19"/>
        <v>11</v>
      </c>
      <c r="D96" s="12" t="e">
        <f t="shared" si="10"/>
        <v>#N/A</v>
      </c>
      <c r="E96" s="11" t="str">
        <f t="shared" si="11"/>
        <v>15/16</v>
      </c>
      <c r="F96" s="11" t="str">
        <f t="shared" si="12"/>
        <v>Aug</v>
      </c>
      <c r="G96" s="11" t="str">
        <f t="shared" si="13"/>
        <v>Aug'15/16</v>
      </c>
      <c r="H96" s="11" t="str">
        <f t="shared" si="16"/>
        <v>Aug'15/16</v>
      </c>
      <c r="I96" s="11" t="e">
        <f t="shared" si="17"/>
        <v>#N/A</v>
      </c>
    </row>
    <row r="97" spans="2:9" x14ac:dyDescent="0.55000000000000004">
      <c r="B97" s="11">
        <f t="shared" si="18"/>
        <v>2</v>
      </c>
      <c r="C97" s="11">
        <f t="shared" si="19"/>
        <v>12</v>
      </c>
      <c r="D97" s="12" t="e">
        <f t="shared" si="10"/>
        <v>#N/A</v>
      </c>
      <c r="E97" s="11" t="str">
        <f t="shared" si="11"/>
        <v>15/16</v>
      </c>
      <c r="F97" s="11" t="str">
        <f t="shared" si="12"/>
        <v>Sep</v>
      </c>
      <c r="G97" s="11" t="str">
        <f t="shared" si="13"/>
        <v>Sep'15/16</v>
      </c>
      <c r="H97" s="11" t="str">
        <f t="shared" si="16"/>
        <v>Sep'15/16</v>
      </c>
      <c r="I97" s="11" t="e">
        <f t="shared" si="17"/>
        <v>#N/A</v>
      </c>
    </row>
    <row r="98" spans="2:9" x14ac:dyDescent="0.55000000000000004">
      <c r="B98" s="11">
        <f t="shared" si="18"/>
        <v>3</v>
      </c>
      <c r="C98" s="11">
        <f t="shared" si="19"/>
        <v>1</v>
      </c>
      <c r="D98" s="12">
        <f t="shared" si="10"/>
        <v>10954100</v>
      </c>
      <c r="E98" s="11" t="str">
        <f t="shared" si="11"/>
        <v>16/17</v>
      </c>
      <c r="F98" s="11" t="str">
        <f t="shared" si="12"/>
        <v>Oct</v>
      </c>
      <c r="G98" s="11" t="str">
        <f t="shared" si="13"/>
        <v>Oct'16/17</v>
      </c>
      <c r="H98" s="11" t="str">
        <f t="shared" si="16"/>
        <v>Oct'16/17</v>
      </c>
      <c r="I98" s="11" t="e">
        <f t="shared" si="17"/>
        <v>#N/A</v>
      </c>
    </row>
    <row r="99" spans="2:9" x14ac:dyDescent="0.55000000000000004">
      <c r="B99" s="11">
        <f t="shared" si="18"/>
        <v>3</v>
      </c>
      <c r="C99" s="11">
        <f t="shared" si="19"/>
        <v>2</v>
      </c>
      <c r="D99" s="12">
        <f t="shared" si="10"/>
        <v>11034100.000000002</v>
      </c>
      <c r="E99" s="11" t="str">
        <f t="shared" si="11"/>
        <v>16/17</v>
      </c>
      <c r="F99" s="11" t="str">
        <f t="shared" si="12"/>
        <v>Nov</v>
      </c>
      <c r="G99" s="11" t="str">
        <f t="shared" si="13"/>
        <v>Nov'16/17</v>
      </c>
      <c r="H99" s="11" t="str">
        <f t="shared" si="16"/>
        <v>Nov'16/17</v>
      </c>
      <c r="I99" s="11" t="e">
        <f t="shared" si="17"/>
        <v>#N/A</v>
      </c>
    </row>
    <row r="100" spans="2:9" x14ac:dyDescent="0.55000000000000004">
      <c r="B100" s="11">
        <f t="shared" si="18"/>
        <v>3</v>
      </c>
      <c r="C100" s="11">
        <f t="shared" si="19"/>
        <v>3</v>
      </c>
      <c r="D100" s="12">
        <f t="shared" si="10"/>
        <v>12652216.666666668</v>
      </c>
      <c r="E100" s="11" t="str">
        <f t="shared" si="11"/>
        <v>16/17</v>
      </c>
      <c r="F100" s="11" t="str">
        <f t="shared" si="12"/>
        <v>Dec</v>
      </c>
      <c r="G100" s="11" t="str">
        <f t="shared" si="13"/>
        <v>Dec'16/17</v>
      </c>
      <c r="H100" s="11" t="str">
        <f t="shared" si="16"/>
        <v>Dec'16/17</v>
      </c>
      <c r="I100" s="11" t="e">
        <f t="shared" si="17"/>
        <v>#N/A</v>
      </c>
    </row>
    <row r="101" spans="2:9" x14ac:dyDescent="0.55000000000000004">
      <c r="B101" s="11">
        <f t="shared" si="18"/>
        <v>3</v>
      </c>
      <c r="C101" s="11">
        <f t="shared" si="19"/>
        <v>4</v>
      </c>
      <c r="D101" s="12">
        <f t="shared" si="10"/>
        <v>11826133.333333334</v>
      </c>
      <c r="E101" s="11" t="str">
        <f t="shared" si="11"/>
        <v>16/17</v>
      </c>
      <c r="F101" s="11" t="str">
        <f t="shared" si="12"/>
        <v>Jan</v>
      </c>
      <c r="G101" s="11" t="str">
        <f t="shared" si="13"/>
        <v>Jan'16/17</v>
      </c>
      <c r="H101" s="11" t="str">
        <f t="shared" si="16"/>
        <v>Jan'16/17</v>
      </c>
      <c r="I101" s="11" t="e">
        <f t="shared" si="17"/>
        <v>#N/A</v>
      </c>
    </row>
    <row r="102" spans="2:9" x14ac:dyDescent="0.55000000000000004">
      <c r="B102" s="11">
        <f t="shared" si="18"/>
        <v>3</v>
      </c>
      <c r="C102" s="11">
        <f t="shared" si="19"/>
        <v>5</v>
      </c>
      <c r="D102" s="12">
        <f t="shared" si="10"/>
        <v>11680583.333333334</v>
      </c>
      <c r="E102" s="11" t="str">
        <f t="shared" si="11"/>
        <v>16/17</v>
      </c>
      <c r="F102" s="11" t="str">
        <f t="shared" si="12"/>
        <v>Feb</v>
      </c>
      <c r="G102" s="11" t="str">
        <f t="shared" si="13"/>
        <v>Feb'16/17</v>
      </c>
      <c r="H102" s="11" t="str">
        <f t="shared" si="16"/>
        <v>Feb'16/17</v>
      </c>
      <c r="I102" s="11" t="e">
        <f t="shared" si="17"/>
        <v>#N/A</v>
      </c>
    </row>
    <row r="103" spans="2:9" x14ac:dyDescent="0.55000000000000004">
      <c r="B103" s="11">
        <f t="shared" si="18"/>
        <v>3</v>
      </c>
      <c r="C103" s="11">
        <f t="shared" si="19"/>
        <v>6</v>
      </c>
      <c r="D103" s="12">
        <f t="shared" si="10"/>
        <v>13757350</v>
      </c>
      <c r="E103" s="11" t="str">
        <f t="shared" si="11"/>
        <v>16/17</v>
      </c>
      <c r="F103" s="11" t="str">
        <f t="shared" si="12"/>
        <v>Mar</v>
      </c>
      <c r="G103" s="11" t="str">
        <f t="shared" si="13"/>
        <v>Mar'16/17</v>
      </c>
      <c r="H103" s="11" t="str">
        <f t="shared" si="16"/>
        <v>Mar'16/17</v>
      </c>
      <c r="I103" s="11" t="e">
        <f t="shared" si="17"/>
        <v>#N/A</v>
      </c>
    </row>
    <row r="104" spans="2:9" x14ac:dyDescent="0.55000000000000004">
      <c r="B104" s="11">
        <f t="shared" si="18"/>
        <v>3</v>
      </c>
      <c r="C104" s="11">
        <f t="shared" si="19"/>
        <v>7</v>
      </c>
      <c r="D104" s="12">
        <f t="shared" si="10"/>
        <v>11601316.666666668</v>
      </c>
      <c r="E104" s="11" t="str">
        <f t="shared" si="11"/>
        <v>16/17</v>
      </c>
      <c r="F104" s="11" t="str">
        <f t="shared" si="12"/>
        <v>Apr</v>
      </c>
      <c r="G104" s="11" t="str">
        <f t="shared" si="13"/>
        <v>Apr'16/17</v>
      </c>
      <c r="H104" s="11" t="str">
        <f t="shared" si="16"/>
        <v>Apr'16/17</v>
      </c>
      <c r="I104" s="11" t="e">
        <f t="shared" si="17"/>
        <v>#N/A</v>
      </c>
    </row>
    <row r="105" spans="2:9" x14ac:dyDescent="0.55000000000000004">
      <c r="B105" s="11">
        <f t="shared" si="18"/>
        <v>3</v>
      </c>
      <c r="C105" s="11">
        <f t="shared" si="19"/>
        <v>8</v>
      </c>
      <c r="D105" s="12">
        <f t="shared" si="10"/>
        <v>12376150</v>
      </c>
      <c r="E105" s="11" t="str">
        <f t="shared" si="11"/>
        <v>16/17</v>
      </c>
      <c r="F105" s="11" t="str">
        <f t="shared" si="12"/>
        <v>May</v>
      </c>
      <c r="G105" s="11" t="str">
        <f t="shared" si="13"/>
        <v>May'16/17</v>
      </c>
      <c r="H105" s="11" t="str">
        <f t="shared" si="16"/>
        <v>May'16/17</v>
      </c>
      <c r="I105" s="11" t="e">
        <f t="shared" si="17"/>
        <v>#N/A</v>
      </c>
    </row>
    <row r="106" spans="2:9" x14ac:dyDescent="0.55000000000000004">
      <c r="B106" s="11">
        <f t="shared" si="18"/>
        <v>3</v>
      </c>
      <c r="C106" s="11">
        <f t="shared" si="19"/>
        <v>9</v>
      </c>
      <c r="D106" s="12">
        <f t="shared" si="10"/>
        <v>11541050</v>
      </c>
      <c r="E106" s="11" t="str">
        <f t="shared" si="11"/>
        <v>16/17</v>
      </c>
      <c r="F106" s="11" t="str">
        <f t="shared" si="12"/>
        <v>Jun</v>
      </c>
      <c r="G106" s="11" t="str">
        <f t="shared" si="13"/>
        <v>Jun'16/17</v>
      </c>
      <c r="H106" s="11" t="str">
        <f t="shared" si="16"/>
        <v>Jun'16/17</v>
      </c>
      <c r="I106" s="11" t="e">
        <f t="shared" si="17"/>
        <v>#N/A</v>
      </c>
    </row>
    <row r="107" spans="2:9" x14ac:dyDescent="0.55000000000000004">
      <c r="B107" s="11">
        <f t="shared" si="18"/>
        <v>3</v>
      </c>
      <c r="C107" s="11">
        <f t="shared" si="19"/>
        <v>10</v>
      </c>
      <c r="D107" s="12">
        <f t="shared" si="10"/>
        <v>11045100.000000002</v>
      </c>
      <c r="E107" s="11" t="str">
        <f t="shared" si="11"/>
        <v>16/17</v>
      </c>
      <c r="F107" s="11" t="str">
        <f t="shared" si="12"/>
        <v>Jul</v>
      </c>
      <c r="G107" s="11" t="str">
        <f t="shared" si="13"/>
        <v>Jul'16/17</v>
      </c>
      <c r="H107" s="11" t="str">
        <f t="shared" si="16"/>
        <v>Jul'16/17</v>
      </c>
      <c r="I107" s="11" t="e">
        <f t="shared" si="17"/>
        <v>#N/A</v>
      </c>
    </row>
    <row r="108" spans="2:9" x14ac:dyDescent="0.55000000000000004">
      <c r="B108" s="11">
        <f t="shared" si="18"/>
        <v>3</v>
      </c>
      <c r="C108" s="11">
        <f t="shared" si="19"/>
        <v>11</v>
      </c>
      <c r="D108" s="12">
        <f t="shared" si="10"/>
        <v>11236051.314217445</v>
      </c>
      <c r="E108" s="11" t="str">
        <f t="shared" si="11"/>
        <v>16/17</v>
      </c>
      <c r="F108" s="11" t="str">
        <f t="shared" si="12"/>
        <v>Aug</v>
      </c>
      <c r="G108" s="11" t="str">
        <f t="shared" si="13"/>
        <v>Aug'16/17</v>
      </c>
      <c r="H108" s="11" t="str">
        <f t="shared" si="16"/>
        <v>Aug'16/17</v>
      </c>
      <c r="I108" s="11" t="e">
        <f t="shared" si="17"/>
        <v>#N/A</v>
      </c>
    </row>
    <row r="109" spans="2:9" x14ac:dyDescent="0.55000000000000004">
      <c r="B109" s="11">
        <f t="shared" si="18"/>
        <v>3</v>
      </c>
      <c r="C109" s="11">
        <f t="shared" si="19"/>
        <v>12</v>
      </c>
      <c r="D109" s="12">
        <f t="shared" si="10"/>
        <v>10290316.666666668</v>
      </c>
      <c r="E109" s="11" t="str">
        <f t="shared" si="11"/>
        <v>16/17</v>
      </c>
      <c r="F109" s="11" t="str">
        <f t="shared" si="12"/>
        <v>Sep</v>
      </c>
      <c r="G109" s="11" t="str">
        <f t="shared" si="13"/>
        <v>Sep'16/17</v>
      </c>
      <c r="H109" s="11" t="str">
        <f t="shared" si="16"/>
        <v>Sep'16/17</v>
      </c>
      <c r="I109" s="11">
        <f t="shared" si="17"/>
        <v>139.99446798088414</v>
      </c>
    </row>
    <row r="110" spans="2:9" x14ac:dyDescent="0.55000000000000004">
      <c r="B110" s="11">
        <f t="shared" si="18"/>
        <v>4</v>
      </c>
      <c r="C110" s="11">
        <f t="shared" si="19"/>
        <v>1</v>
      </c>
      <c r="D110" s="12">
        <f t="shared" si="10"/>
        <v>10396266.666666668</v>
      </c>
      <c r="E110" s="11" t="str">
        <f t="shared" si="11"/>
        <v>17/18</v>
      </c>
      <c r="F110" s="11" t="str">
        <f t="shared" si="12"/>
        <v>Oct</v>
      </c>
      <c r="G110" s="11" t="str">
        <f t="shared" si="13"/>
        <v>Oct'17/18</v>
      </c>
      <c r="H110" s="11" t="str">
        <f t="shared" si="16"/>
        <v>Oct'17/18</v>
      </c>
      <c r="I110" s="11">
        <f t="shared" si="17"/>
        <v>139.43663464755079</v>
      </c>
    </row>
    <row r="111" spans="2:9" x14ac:dyDescent="0.55000000000000004">
      <c r="B111" s="11">
        <f t="shared" si="18"/>
        <v>4</v>
      </c>
      <c r="C111" s="11">
        <f t="shared" si="19"/>
        <v>2</v>
      </c>
      <c r="D111" s="12">
        <f t="shared" si="10"/>
        <v>10860351.277955271</v>
      </c>
      <c r="E111" s="11" t="str">
        <f t="shared" si="11"/>
        <v>17/18</v>
      </c>
      <c r="F111" s="11" t="str">
        <f t="shared" si="12"/>
        <v>Nov</v>
      </c>
      <c r="G111" s="11" t="str">
        <f t="shared" si="13"/>
        <v>Nov'17/18</v>
      </c>
      <c r="H111" s="11" t="str">
        <f t="shared" si="16"/>
        <v>Nov'17/18</v>
      </c>
      <c r="I111" s="11">
        <f t="shared" si="17"/>
        <v>139.26288592550605</v>
      </c>
    </row>
    <row r="112" spans="2:9" x14ac:dyDescent="0.55000000000000004">
      <c r="B112" s="11">
        <f t="shared" si="18"/>
        <v>4</v>
      </c>
      <c r="C112" s="11">
        <f t="shared" si="19"/>
        <v>3</v>
      </c>
      <c r="D112" s="12">
        <f t="shared" si="10"/>
        <v>11342100.000000002</v>
      </c>
      <c r="E112" s="11" t="str">
        <f t="shared" si="11"/>
        <v>17/18</v>
      </c>
      <c r="F112" s="11" t="str">
        <f t="shared" si="12"/>
        <v>Dec</v>
      </c>
      <c r="G112" s="11" t="str">
        <f t="shared" si="13"/>
        <v>Dec'17/18</v>
      </c>
      <c r="H112" s="11" t="str">
        <f t="shared" si="16"/>
        <v>Dec'17/18</v>
      </c>
      <c r="I112" s="11">
        <f t="shared" si="17"/>
        <v>137.9527692588394</v>
      </c>
    </row>
    <row r="113" spans="2:9" x14ac:dyDescent="0.55000000000000004">
      <c r="B113" s="11">
        <f t="shared" si="18"/>
        <v>4</v>
      </c>
      <c r="C113" s="11">
        <f t="shared" si="19"/>
        <v>4</v>
      </c>
      <c r="D113" s="12">
        <f t="shared" si="10"/>
        <v>12900466.666666668</v>
      </c>
      <c r="E113" s="11" t="str">
        <f t="shared" si="11"/>
        <v>17/18</v>
      </c>
      <c r="F113" s="11" t="str">
        <f t="shared" si="12"/>
        <v>Jan</v>
      </c>
      <c r="G113" s="11" t="str">
        <f t="shared" si="13"/>
        <v>Jan'17/18</v>
      </c>
      <c r="H113" s="11" t="str">
        <f t="shared" si="16"/>
        <v>Jan'17/18</v>
      </c>
      <c r="I113" s="11">
        <f t="shared" si="17"/>
        <v>139.02710259217272</v>
      </c>
    </row>
    <row r="114" spans="2:9" x14ac:dyDescent="0.55000000000000004">
      <c r="B114" s="11">
        <f t="shared" si="18"/>
        <v>4</v>
      </c>
      <c r="C114" s="11">
        <f t="shared" si="19"/>
        <v>5</v>
      </c>
      <c r="D114" s="12">
        <f t="shared" si="10"/>
        <v>11260350</v>
      </c>
      <c r="E114" s="11" t="str">
        <f t="shared" si="11"/>
        <v>17/18</v>
      </c>
      <c r="F114" s="11" t="str">
        <f t="shared" si="12"/>
        <v>Feb</v>
      </c>
      <c r="G114" s="11" t="str">
        <f t="shared" si="13"/>
        <v>Feb'17/18</v>
      </c>
      <c r="H114" s="11" t="str">
        <f t="shared" si="16"/>
        <v>Feb'17/18</v>
      </c>
      <c r="I114" s="11">
        <f t="shared" si="17"/>
        <v>138.60686925883942</v>
      </c>
    </row>
    <row r="115" spans="2:9" x14ac:dyDescent="0.55000000000000004">
      <c r="B115" s="11">
        <f t="shared" si="18"/>
        <v>4</v>
      </c>
      <c r="C115" s="11">
        <f t="shared" si="19"/>
        <v>6</v>
      </c>
      <c r="D115" s="12">
        <f t="shared" si="10"/>
        <v>13237333.333333334</v>
      </c>
      <c r="E115" s="11" t="str">
        <f t="shared" si="11"/>
        <v>17/18</v>
      </c>
      <c r="F115" s="11" t="str">
        <f t="shared" si="12"/>
        <v>Mar</v>
      </c>
      <c r="G115" s="11" t="str">
        <f t="shared" si="13"/>
        <v>Mar'17/18</v>
      </c>
      <c r="H115" s="11" t="str">
        <f t="shared" si="16"/>
        <v>Mar'17/18</v>
      </c>
      <c r="I115" s="11">
        <f t="shared" si="17"/>
        <v>138.08685259217273</v>
      </c>
    </row>
    <row r="116" spans="2:9" x14ac:dyDescent="0.55000000000000004">
      <c r="B116" s="11">
        <f t="shared" si="18"/>
        <v>4</v>
      </c>
      <c r="C116" s="11">
        <f t="shared" si="19"/>
        <v>7</v>
      </c>
      <c r="D116" s="12">
        <f t="shared" si="10"/>
        <v>12122650</v>
      </c>
      <c r="E116" s="11" t="str">
        <f t="shared" si="11"/>
        <v>17/18</v>
      </c>
      <c r="F116" s="11" t="str">
        <f t="shared" si="12"/>
        <v>Apr</v>
      </c>
      <c r="G116" s="11" t="str">
        <f t="shared" si="13"/>
        <v>Apr'17/18</v>
      </c>
      <c r="H116" s="11" t="str">
        <f t="shared" si="16"/>
        <v>Apr'17/18</v>
      </c>
      <c r="I116" s="11">
        <f t="shared" si="17"/>
        <v>138.60818592550606</v>
      </c>
    </row>
    <row r="117" spans="2:9" x14ac:dyDescent="0.55000000000000004">
      <c r="B117" s="11">
        <f t="shared" si="18"/>
        <v>4</v>
      </c>
      <c r="C117" s="11">
        <f t="shared" si="19"/>
        <v>8</v>
      </c>
      <c r="D117" s="12">
        <f t="shared" si="10"/>
        <v>11890000</v>
      </c>
      <c r="E117" s="11" t="str">
        <f t="shared" si="11"/>
        <v>17/18</v>
      </c>
      <c r="F117" s="11" t="str">
        <f t="shared" si="12"/>
        <v>May</v>
      </c>
      <c r="G117" s="11" t="str">
        <f t="shared" si="13"/>
        <v>May'17/18</v>
      </c>
      <c r="H117" s="11" t="str">
        <f t="shared" si="16"/>
        <v>May'17/18</v>
      </c>
      <c r="I117" s="11">
        <f t="shared" si="17"/>
        <v>138.12203592550605</v>
      </c>
    </row>
    <row r="118" spans="2:9" x14ac:dyDescent="0.55000000000000004">
      <c r="B118" s="11">
        <f t="shared" si="18"/>
        <v>4</v>
      </c>
      <c r="C118" s="11">
        <f t="shared" si="19"/>
        <v>9</v>
      </c>
      <c r="D118" s="12">
        <f t="shared" si="10"/>
        <v>12149100.000000002</v>
      </c>
      <c r="E118" s="11" t="str">
        <f t="shared" si="11"/>
        <v>17/18</v>
      </c>
      <c r="F118" s="11" t="str">
        <f t="shared" si="12"/>
        <v>Jun</v>
      </c>
      <c r="G118" s="11" t="str">
        <f t="shared" si="13"/>
        <v>Jun'17/18</v>
      </c>
      <c r="H118" s="11" t="str">
        <f t="shared" si="16"/>
        <v>Jun'17/18</v>
      </c>
      <c r="I118" s="11">
        <f t="shared" si="17"/>
        <v>138.73008592550605</v>
      </c>
    </row>
    <row r="119" spans="2:9" x14ac:dyDescent="0.55000000000000004">
      <c r="B119" s="11">
        <f t="shared" si="18"/>
        <v>4</v>
      </c>
      <c r="C119" s="11">
        <f t="shared" si="19"/>
        <v>10</v>
      </c>
      <c r="D119" s="12">
        <f t="shared" si="10"/>
        <v>10616000</v>
      </c>
      <c r="E119" s="11" t="str">
        <f t="shared" si="11"/>
        <v>17/18</v>
      </c>
      <c r="F119" s="11" t="str">
        <f t="shared" si="12"/>
        <v>Jul</v>
      </c>
      <c r="G119" s="11" t="str">
        <f t="shared" si="13"/>
        <v>Jul'17/18</v>
      </c>
      <c r="H119" s="11" t="str">
        <f t="shared" si="16"/>
        <v>Jul'17/18</v>
      </c>
      <c r="I119" s="11">
        <f t="shared" si="17"/>
        <v>138.30098592550607</v>
      </c>
    </row>
    <row r="120" spans="2:9" x14ac:dyDescent="0.55000000000000004">
      <c r="B120" s="11">
        <f t="shared" si="18"/>
        <v>4</v>
      </c>
      <c r="C120" s="11">
        <f t="shared" si="19"/>
        <v>11</v>
      </c>
      <c r="D120" s="12">
        <f t="shared" si="10"/>
        <v>11784100.000000002</v>
      </c>
      <c r="E120" s="11" t="str">
        <f t="shared" si="11"/>
        <v>17/18</v>
      </c>
      <c r="F120" s="11" t="str">
        <f t="shared" si="12"/>
        <v>Aug</v>
      </c>
      <c r="G120" s="11" t="str">
        <f t="shared" si="13"/>
        <v>Aug'17/18</v>
      </c>
      <c r="H120" s="11" t="str">
        <f t="shared" si="16"/>
        <v>Aug'17/18</v>
      </c>
      <c r="I120" s="11">
        <f t="shared" si="17"/>
        <v>138.8490346112886</v>
      </c>
    </row>
    <row r="121" spans="2:9" x14ac:dyDescent="0.55000000000000004">
      <c r="B121" s="11">
        <f t="shared" si="18"/>
        <v>4</v>
      </c>
      <c r="C121" s="11">
        <f t="shared" si="19"/>
        <v>12</v>
      </c>
      <c r="D121" s="12">
        <f t="shared" si="10"/>
        <v>11177766.666666668</v>
      </c>
      <c r="E121" s="11" t="str">
        <f t="shared" si="11"/>
        <v>17/18</v>
      </c>
      <c r="F121" s="11" t="str">
        <f t="shared" si="12"/>
        <v>Sep</v>
      </c>
      <c r="G121" s="11" t="str">
        <f t="shared" si="13"/>
        <v>Sep'17/18</v>
      </c>
      <c r="H121" s="11" t="str">
        <f t="shared" si="16"/>
        <v>Sep'17/18</v>
      </c>
      <c r="I121" s="11">
        <f t="shared" si="17"/>
        <v>139.7364846112886</v>
      </c>
    </row>
    <row r="122" spans="2:9" x14ac:dyDescent="0.55000000000000004">
      <c r="B122" s="11">
        <f t="shared" si="18"/>
        <v>5</v>
      </c>
      <c r="C122" s="11">
        <f t="shared" si="19"/>
        <v>1</v>
      </c>
      <c r="D122" s="12">
        <f t="shared" si="10"/>
        <v>12224966.666666668</v>
      </c>
      <c r="E122" s="11" t="str">
        <f t="shared" si="11"/>
        <v>18/19</v>
      </c>
      <c r="F122" s="11" t="str">
        <f t="shared" si="12"/>
        <v>Oct</v>
      </c>
      <c r="G122" s="11" t="str">
        <f t="shared" si="13"/>
        <v>Oct'18/19</v>
      </c>
      <c r="H122" s="11" t="str">
        <f t="shared" si="16"/>
        <v>Oct'18/19</v>
      </c>
      <c r="I122" s="11">
        <f t="shared" si="17"/>
        <v>141.5651846112886</v>
      </c>
    </row>
    <row r="123" spans="2:9" x14ac:dyDescent="0.55000000000000004">
      <c r="B123" s="11">
        <f t="shared" si="18"/>
        <v>5</v>
      </c>
      <c r="C123" s="11">
        <f t="shared" si="19"/>
        <v>2</v>
      </c>
      <c r="D123" s="12">
        <f t="shared" si="10"/>
        <v>12735066.666666668</v>
      </c>
      <c r="E123" s="11" t="str">
        <f t="shared" si="11"/>
        <v>18/19</v>
      </c>
      <c r="F123" s="11" t="str">
        <f t="shared" si="12"/>
        <v>Nov</v>
      </c>
      <c r="G123" s="11" t="str">
        <f t="shared" si="13"/>
        <v>Nov'18/19</v>
      </c>
      <c r="H123" s="11" t="str">
        <f t="shared" si="16"/>
        <v>Nov'18/19</v>
      </c>
      <c r="I123" s="11">
        <f t="shared" si="17"/>
        <v>143.43989999999999</v>
      </c>
    </row>
    <row r="124" spans="2:9" x14ac:dyDescent="0.55000000000000004">
      <c r="B124" s="11">
        <f t="shared" si="18"/>
        <v>5</v>
      </c>
      <c r="C124" s="11">
        <f t="shared" si="19"/>
        <v>3</v>
      </c>
      <c r="D124" s="12">
        <f t="shared" si="10"/>
        <v>12779850</v>
      </c>
      <c r="E124" s="11" t="str">
        <f t="shared" si="11"/>
        <v>18/19</v>
      </c>
      <c r="F124" s="11" t="str">
        <f t="shared" si="12"/>
        <v>Dec</v>
      </c>
      <c r="G124" s="11" t="str">
        <f t="shared" si="13"/>
        <v>Dec'18/19</v>
      </c>
      <c r="H124" s="11" t="str">
        <f t="shared" si="16"/>
        <v>Dec'18/19</v>
      </c>
      <c r="I124" s="11">
        <f t="shared" si="17"/>
        <v>144.87764999999999</v>
      </c>
    </row>
    <row r="125" spans="2:9" x14ac:dyDescent="0.55000000000000004">
      <c r="B125" s="11">
        <f t="shared" si="18"/>
        <v>5</v>
      </c>
      <c r="C125" s="11">
        <f t="shared" si="19"/>
        <v>4</v>
      </c>
      <c r="D125" s="12">
        <f t="shared" si="10"/>
        <v>13426450</v>
      </c>
      <c r="E125" s="11" t="str">
        <f t="shared" si="11"/>
        <v>18/19</v>
      </c>
      <c r="F125" s="11" t="str">
        <f t="shared" si="12"/>
        <v>Jan</v>
      </c>
      <c r="G125" s="11" t="str">
        <f t="shared" si="13"/>
        <v>Jan'18/19</v>
      </c>
      <c r="H125" s="11" t="str">
        <f t="shared" si="16"/>
        <v>Jan'18/19</v>
      </c>
      <c r="I125" s="11">
        <f t="shared" si="17"/>
        <v>145.40363333333337</v>
      </c>
    </row>
    <row r="126" spans="2:9" x14ac:dyDescent="0.55000000000000004">
      <c r="B126" s="11">
        <f t="shared" si="18"/>
        <v>5</v>
      </c>
      <c r="C126" s="11">
        <f t="shared" si="19"/>
        <v>5</v>
      </c>
      <c r="D126" s="12">
        <f t="shared" si="10"/>
        <v>12432000</v>
      </c>
      <c r="E126" s="11" t="str">
        <f t="shared" si="11"/>
        <v>18/19</v>
      </c>
      <c r="F126" s="11" t="str">
        <f t="shared" si="12"/>
        <v>Feb</v>
      </c>
      <c r="G126" s="11" t="str">
        <f t="shared" si="13"/>
        <v>Feb'18/19</v>
      </c>
      <c r="H126" s="11" t="str">
        <f t="shared" si="16"/>
        <v>Feb'18/19</v>
      </c>
      <c r="I126" s="11">
        <f t="shared" si="17"/>
        <v>146.57528333333337</v>
      </c>
    </row>
    <row r="127" spans="2:9" x14ac:dyDescent="0.55000000000000004">
      <c r="B127" s="11">
        <f t="shared" si="18"/>
        <v>5</v>
      </c>
      <c r="C127" s="11">
        <f t="shared" si="19"/>
        <v>6</v>
      </c>
      <c r="D127" s="12">
        <f t="shared" si="10"/>
        <v>13950516.666666668</v>
      </c>
      <c r="E127" s="11" t="str">
        <f t="shared" si="11"/>
        <v>18/19</v>
      </c>
      <c r="F127" s="11" t="str">
        <f t="shared" si="12"/>
        <v>Mar</v>
      </c>
      <c r="G127" s="11" t="str">
        <f t="shared" si="13"/>
        <v>Mar'18/19</v>
      </c>
      <c r="H127" s="11" t="str">
        <f t="shared" si="16"/>
        <v>Mar'18/19</v>
      </c>
      <c r="I127" s="11">
        <f t="shared" si="17"/>
        <v>147.28846666666669</v>
      </c>
    </row>
    <row r="128" spans="2:9" x14ac:dyDescent="0.55000000000000004">
      <c r="B128" s="11">
        <f t="shared" si="18"/>
        <v>5</v>
      </c>
      <c r="C128" s="11">
        <f t="shared" si="19"/>
        <v>7</v>
      </c>
      <c r="D128" s="12">
        <f t="shared" si="10"/>
        <v>12753716.666666668</v>
      </c>
      <c r="E128" s="11" t="str">
        <f t="shared" si="11"/>
        <v>18/19</v>
      </c>
      <c r="F128" s="11" t="str">
        <f t="shared" si="12"/>
        <v>Apr</v>
      </c>
      <c r="G128" s="11" t="str">
        <f t="shared" si="13"/>
        <v>Apr'18/19</v>
      </c>
      <c r="H128" s="11" t="str">
        <f t="shared" si="16"/>
        <v>Apr'18/19</v>
      </c>
      <c r="I128" s="11">
        <f t="shared" si="17"/>
        <v>147.91953333333333</v>
      </c>
    </row>
    <row r="129" spans="2:18" x14ac:dyDescent="0.55000000000000004">
      <c r="B129" s="11">
        <f t="shared" si="18"/>
        <v>5</v>
      </c>
      <c r="C129" s="11">
        <f t="shared" si="19"/>
        <v>8</v>
      </c>
      <c r="D129" s="12">
        <f t="shared" si="10"/>
        <v>13959566.666666668</v>
      </c>
      <c r="E129" s="11" t="str">
        <f t="shared" si="11"/>
        <v>18/19</v>
      </c>
      <c r="F129" s="11" t="str">
        <f t="shared" si="12"/>
        <v>May</v>
      </c>
      <c r="G129" s="11" t="str">
        <f t="shared" si="13"/>
        <v>May'18/19</v>
      </c>
      <c r="H129" s="11" t="str">
        <f t="shared" si="16"/>
        <v>May'18/19</v>
      </c>
      <c r="I129" s="11">
        <f t="shared" si="17"/>
        <v>149.98910000000001</v>
      </c>
    </row>
    <row r="130" spans="2:18" x14ac:dyDescent="0.55000000000000004">
      <c r="B130" s="11">
        <f t="shared" si="18"/>
        <v>5</v>
      </c>
      <c r="C130" s="11">
        <f t="shared" si="19"/>
        <v>9</v>
      </c>
      <c r="D130" s="12">
        <f t="shared" si="10"/>
        <v>12584000.000000002</v>
      </c>
      <c r="E130" s="11" t="str">
        <f t="shared" si="11"/>
        <v>18/19</v>
      </c>
      <c r="F130" s="11" t="str">
        <f t="shared" si="12"/>
        <v>Jun</v>
      </c>
      <c r="G130" s="11" t="str">
        <f t="shared" si="13"/>
        <v>Jun'18/19</v>
      </c>
      <c r="H130" s="11" t="str">
        <f t="shared" si="16"/>
        <v>Jun'18/19</v>
      </c>
      <c r="I130" s="11">
        <f t="shared" si="17"/>
        <v>150.42400000000004</v>
      </c>
    </row>
    <row r="131" spans="2:18" x14ac:dyDescent="0.55000000000000004">
      <c r="B131" s="11">
        <f t="shared" si="18"/>
        <v>5</v>
      </c>
      <c r="C131" s="11">
        <f t="shared" si="19"/>
        <v>10</v>
      </c>
      <c r="D131" s="12">
        <f t="shared" si="10"/>
        <v>13364416.666666668</v>
      </c>
      <c r="E131" s="11" t="str">
        <f t="shared" si="11"/>
        <v>18/19</v>
      </c>
      <c r="F131" s="11" t="str">
        <f t="shared" si="12"/>
        <v>Jul</v>
      </c>
      <c r="G131" s="11" t="str">
        <f t="shared" si="13"/>
        <v>Jul'18/19</v>
      </c>
      <c r="H131" s="11" t="str">
        <f t="shared" si="16"/>
        <v>Jul'18/19</v>
      </c>
      <c r="I131" s="11">
        <f t="shared" si="17"/>
        <v>153.17241666666669</v>
      </c>
      <c r="P131" s="80"/>
      <c r="Q131" s="80"/>
      <c r="R131" s="80"/>
    </row>
    <row r="132" spans="2:18" x14ac:dyDescent="0.55000000000000004">
      <c r="B132" s="11">
        <f t="shared" si="18"/>
        <v>5</v>
      </c>
      <c r="C132" s="11">
        <f t="shared" si="19"/>
        <v>11</v>
      </c>
      <c r="D132" s="12">
        <f t="shared" si="10"/>
        <v>12094300</v>
      </c>
      <c r="E132" s="11" t="str">
        <f t="shared" si="11"/>
        <v>18/19</v>
      </c>
      <c r="F132" s="11" t="str">
        <f t="shared" si="12"/>
        <v>Aug</v>
      </c>
      <c r="G132" s="11" t="str">
        <f t="shared" si="13"/>
        <v>Aug'18/19</v>
      </c>
      <c r="H132" s="11" t="str">
        <f t="shared" si="16"/>
        <v>Aug'18/19</v>
      </c>
      <c r="I132" s="11">
        <f t="shared" si="17"/>
        <v>153.4826166666667</v>
      </c>
      <c r="O132" s="2"/>
      <c r="P132" s="6"/>
      <c r="Q132" s="50"/>
      <c r="R132" s="49"/>
    </row>
    <row r="133" spans="2:18" x14ac:dyDescent="0.55000000000000004">
      <c r="B133" s="11">
        <f t="shared" si="18"/>
        <v>5</v>
      </c>
      <c r="C133" s="11">
        <f t="shared" si="19"/>
        <v>12</v>
      </c>
      <c r="D133" s="12">
        <f t="shared" si="10"/>
        <v>11605883.333333334</v>
      </c>
      <c r="E133" s="11" t="str">
        <f t="shared" si="11"/>
        <v>18/19</v>
      </c>
      <c r="F133" s="11" t="str">
        <f t="shared" si="12"/>
        <v>Sep</v>
      </c>
      <c r="G133" s="11" t="str">
        <f t="shared" si="13"/>
        <v>Sep'18/19</v>
      </c>
      <c r="H133" s="11" t="str">
        <f t="shared" si="16"/>
        <v>Sep'18/19</v>
      </c>
      <c r="I133" s="11">
        <f t="shared" si="17"/>
        <v>153.91073333333335</v>
      </c>
      <c r="O133" s="3"/>
      <c r="P133" s="46"/>
      <c r="Q133" s="47"/>
      <c r="R133" s="48"/>
    </row>
    <row r="134" spans="2:18" x14ac:dyDescent="0.55000000000000004">
      <c r="B134" s="11">
        <f t="shared" si="18"/>
        <v>6</v>
      </c>
      <c r="C134" s="11">
        <f t="shared" si="19"/>
        <v>1</v>
      </c>
      <c r="D134" s="12">
        <f t="shared" si="10"/>
        <v>11643650</v>
      </c>
      <c r="E134" s="11" t="str">
        <f t="shared" si="11"/>
        <v>19/20</v>
      </c>
      <c r="F134" s="11" t="str">
        <f t="shared" si="12"/>
        <v>Oct</v>
      </c>
      <c r="G134" s="11" t="str">
        <f t="shared" si="13"/>
        <v>Oct'19/20</v>
      </c>
      <c r="H134" s="11" t="str">
        <f t="shared" si="16"/>
        <v>Oct'19/20</v>
      </c>
      <c r="I134" s="11">
        <f t="shared" si="17"/>
        <v>153.32941666666667</v>
      </c>
      <c r="O134" s="3"/>
      <c r="P134" s="46"/>
      <c r="Q134" s="47"/>
      <c r="R134" s="48"/>
    </row>
    <row r="135" spans="2:18" x14ac:dyDescent="0.55000000000000004">
      <c r="B135" s="11">
        <f t="shared" si="18"/>
        <v>6</v>
      </c>
      <c r="C135" s="11">
        <f t="shared" si="19"/>
        <v>2</v>
      </c>
      <c r="D135" s="12">
        <f t="shared" si="10"/>
        <v>11555816.666666666</v>
      </c>
      <c r="E135" s="11" t="str">
        <f t="shared" si="11"/>
        <v>19/20</v>
      </c>
      <c r="F135" s="11" t="str">
        <f t="shared" si="12"/>
        <v>Nov</v>
      </c>
      <c r="G135" s="11" t="str">
        <f t="shared" si="13"/>
        <v>Nov'19/20</v>
      </c>
      <c r="H135" s="11" t="str">
        <f t="shared" si="16"/>
        <v>Nov'19/20</v>
      </c>
      <c r="I135" s="11">
        <f t="shared" si="17"/>
        <v>152.15016666666665</v>
      </c>
      <c r="O135" s="3"/>
      <c r="P135" s="46"/>
      <c r="Q135" s="47"/>
      <c r="R135" s="48"/>
    </row>
    <row r="136" spans="2:18" x14ac:dyDescent="0.55000000000000004">
      <c r="B136" s="11">
        <f t="shared" si="18"/>
        <v>6</v>
      </c>
      <c r="C136" s="11">
        <f t="shared" si="19"/>
        <v>3</v>
      </c>
      <c r="D136" s="12">
        <f t="shared" si="10"/>
        <v>12828433.333333336</v>
      </c>
      <c r="E136" s="11" t="str">
        <f t="shared" si="11"/>
        <v>19/20</v>
      </c>
      <c r="F136" s="11" t="str">
        <f t="shared" si="12"/>
        <v>Dec</v>
      </c>
      <c r="G136" s="11" t="str">
        <f t="shared" si="13"/>
        <v>Dec'19/20</v>
      </c>
      <c r="H136" s="11" t="str">
        <f t="shared" si="16"/>
        <v>Dec'19/20</v>
      </c>
      <c r="I136" s="11">
        <f t="shared" si="17"/>
        <v>152.19875000000002</v>
      </c>
      <c r="O136" s="3"/>
      <c r="P136" s="46"/>
      <c r="Q136" s="47"/>
      <c r="R136" s="48"/>
    </row>
    <row r="137" spans="2:18" x14ac:dyDescent="0.55000000000000004">
      <c r="B137" s="11">
        <f t="shared" si="18"/>
        <v>6</v>
      </c>
      <c r="C137" s="11">
        <f t="shared" si="19"/>
        <v>4</v>
      </c>
      <c r="D137" s="12">
        <f t="shared" si="10"/>
        <v>11830383.333333334</v>
      </c>
      <c r="E137" s="11" t="str">
        <f t="shared" si="11"/>
        <v>19/20</v>
      </c>
      <c r="F137" s="11" t="str">
        <f t="shared" si="12"/>
        <v>Jan</v>
      </c>
      <c r="G137" s="11" t="str">
        <f t="shared" si="13"/>
        <v>Jan'19/20</v>
      </c>
      <c r="H137" s="11" t="str">
        <f t="shared" si="16"/>
        <v>Jan'19/20</v>
      </c>
      <c r="I137" s="11">
        <f t="shared" si="17"/>
        <v>150.60268333333335</v>
      </c>
      <c r="O137" s="3"/>
      <c r="P137" s="23"/>
    </row>
    <row r="138" spans="2:18" x14ac:dyDescent="0.55000000000000004">
      <c r="B138" s="11">
        <f t="shared" si="18"/>
        <v>6</v>
      </c>
      <c r="C138" s="11">
        <f t="shared" si="19"/>
        <v>5</v>
      </c>
      <c r="D138" s="12">
        <f t="shared" si="10"/>
        <v>12610883.333333336</v>
      </c>
      <c r="E138" s="11" t="str">
        <f t="shared" si="11"/>
        <v>19/20</v>
      </c>
      <c r="F138" s="11" t="str">
        <f t="shared" si="12"/>
        <v>Feb</v>
      </c>
      <c r="G138" s="11" t="str">
        <f t="shared" si="13"/>
        <v>Feb'19/20</v>
      </c>
      <c r="H138" s="11" t="str">
        <f t="shared" si="16"/>
        <v>Feb'19/20</v>
      </c>
      <c r="I138" s="11">
        <f t="shared" si="17"/>
        <v>150.78156666666669</v>
      </c>
    </row>
    <row r="139" spans="2:18" x14ac:dyDescent="0.55000000000000004">
      <c r="B139" s="11">
        <f t="shared" si="18"/>
        <v>6</v>
      </c>
      <c r="C139" s="11">
        <f t="shared" si="19"/>
        <v>6</v>
      </c>
      <c r="D139" s="12">
        <f t="shared" ref="D139:D202" si="20">INDEX($C$7:$N$19,MATCH(B139,$A$7:$A$19),MATCH(C139,$C$4:$N$4))</f>
        <v>13620083.333333334</v>
      </c>
      <c r="E139" s="11" t="str">
        <f t="shared" ref="E139:E202" si="21">_xlfn.XLOOKUP(B139,$A$7:$A$19,$B$7:$B$19)</f>
        <v>19/20</v>
      </c>
      <c r="F139" s="11" t="str">
        <f t="shared" ref="F139:F202" si="22">_xlfn.XLOOKUP(C139,$C$4:$N$4,$C$6:$N$6)</f>
        <v>Mar</v>
      </c>
      <c r="G139" s="11" t="str">
        <f t="shared" ref="G139:G202" si="23">_xlfn.CONCAT(F139,"'",E139)</f>
        <v>Mar'19/20</v>
      </c>
      <c r="H139" s="11" t="str">
        <f t="shared" si="16"/>
        <v>Mar'19/20</v>
      </c>
      <c r="I139" s="11">
        <f t="shared" si="17"/>
        <v>150.45113333333333</v>
      </c>
      <c r="R139" s="48"/>
    </row>
    <row r="140" spans="2:18" x14ac:dyDescent="0.55000000000000004">
      <c r="B140" s="11">
        <f t="shared" si="18"/>
        <v>6</v>
      </c>
      <c r="C140" s="11">
        <f t="shared" si="19"/>
        <v>7</v>
      </c>
      <c r="D140" s="12">
        <f t="shared" si="20"/>
        <v>12939433.333333334</v>
      </c>
      <c r="E140" s="11" t="str">
        <f t="shared" si="21"/>
        <v>19/20</v>
      </c>
      <c r="F140" s="11" t="str">
        <f t="shared" si="22"/>
        <v>Apr</v>
      </c>
      <c r="G140" s="11" t="str">
        <f t="shared" si="23"/>
        <v>Apr'19/20</v>
      </c>
      <c r="H140" s="11" t="str">
        <f t="shared" si="16"/>
        <v>Apr'19/20</v>
      </c>
      <c r="I140" s="11">
        <f t="shared" si="17"/>
        <v>150.63685000000004</v>
      </c>
    </row>
    <row r="141" spans="2:18" x14ac:dyDescent="0.55000000000000004">
      <c r="B141" s="11">
        <f t="shared" si="18"/>
        <v>6</v>
      </c>
      <c r="C141" s="11">
        <f t="shared" si="19"/>
        <v>8</v>
      </c>
      <c r="D141" s="12">
        <f t="shared" si="20"/>
        <v>12454833.333333334</v>
      </c>
      <c r="E141" s="11" t="str">
        <f t="shared" si="21"/>
        <v>19/20</v>
      </c>
      <c r="F141" s="11" t="str">
        <f t="shared" si="22"/>
        <v>May</v>
      </c>
      <c r="G141" s="11" t="str">
        <f t="shared" si="23"/>
        <v>May'19/20</v>
      </c>
      <c r="H141" s="11" t="str">
        <f t="shared" si="16"/>
        <v>May'19/20</v>
      </c>
      <c r="I141" s="11">
        <f t="shared" si="17"/>
        <v>149.13211666666666</v>
      </c>
    </row>
    <row r="142" spans="2:18" x14ac:dyDescent="0.55000000000000004">
      <c r="B142" s="11">
        <f t="shared" si="18"/>
        <v>6</v>
      </c>
      <c r="C142" s="11">
        <f t="shared" si="19"/>
        <v>9</v>
      </c>
      <c r="D142" s="12">
        <f t="shared" si="20"/>
        <v>11763600</v>
      </c>
      <c r="E142" s="11" t="str">
        <f t="shared" si="21"/>
        <v>19/20</v>
      </c>
      <c r="F142" s="11" t="str">
        <f t="shared" si="22"/>
        <v>Jun</v>
      </c>
      <c r="G142" s="11" t="str">
        <f t="shared" si="23"/>
        <v>Jun'19/20</v>
      </c>
      <c r="H142" s="11" t="str">
        <f t="shared" si="16"/>
        <v>Jun'19/20</v>
      </c>
      <c r="I142" s="11">
        <f t="shared" si="17"/>
        <v>148.31171666666665</v>
      </c>
    </row>
    <row r="143" spans="2:18" x14ac:dyDescent="0.55000000000000004">
      <c r="B143" s="11">
        <f t="shared" si="18"/>
        <v>6</v>
      </c>
      <c r="C143" s="11">
        <f t="shared" si="19"/>
        <v>10</v>
      </c>
      <c r="D143" s="12">
        <f t="shared" si="20"/>
        <v>12146700</v>
      </c>
      <c r="E143" s="11" t="str">
        <f t="shared" si="21"/>
        <v>19/20</v>
      </c>
      <c r="F143" s="11" t="str">
        <f t="shared" si="22"/>
        <v>Jul</v>
      </c>
      <c r="G143" s="11" t="str">
        <f t="shared" si="23"/>
        <v>Jul'19/20</v>
      </c>
      <c r="H143" s="11" t="str">
        <f t="shared" si="16"/>
        <v>Jul'19/20</v>
      </c>
      <c r="I143" s="11">
        <f t="shared" si="17"/>
        <v>147.09399999999999</v>
      </c>
    </row>
    <row r="144" spans="2:18" x14ac:dyDescent="0.55000000000000004">
      <c r="B144" s="11">
        <f t="shared" si="18"/>
        <v>6</v>
      </c>
      <c r="C144" s="11">
        <f t="shared" si="19"/>
        <v>11</v>
      </c>
      <c r="D144" s="12">
        <f t="shared" si="20"/>
        <v>11151850</v>
      </c>
      <c r="E144" s="11" t="str">
        <f t="shared" si="21"/>
        <v>19/20</v>
      </c>
      <c r="F144" s="11" t="str">
        <f t="shared" si="22"/>
        <v>Aug</v>
      </c>
      <c r="G144" s="11" t="str">
        <f t="shared" si="23"/>
        <v>Aug'19/20</v>
      </c>
      <c r="H144" s="11" t="str">
        <f t="shared" si="16"/>
        <v>Aug'19/20</v>
      </c>
      <c r="I144" s="11">
        <f t="shared" si="17"/>
        <v>146.15154999999999</v>
      </c>
    </row>
    <row r="145" spans="2:9" x14ac:dyDescent="0.55000000000000004">
      <c r="B145" s="11">
        <f t="shared" si="18"/>
        <v>6</v>
      </c>
      <c r="C145" s="11">
        <f t="shared" si="19"/>
        <v>12</v>
      </c>
      <c r="D145" s="12">
        <f t="shared" si="20"/>
        <v>11916916.666666666</v>
      </c>
      <c r="E145" s="11" t="str">
        <f t="shared" si="21"/>
        <v>19/20</v>
      </c>
      <c r="F145" s="11" t="str">
        <f t="shared" si="22"/>
        <v>Sep</v>
      </c>
      <c r="G145" s="11" t="str">
        <f t="shared" si="23"/>
        <v>Sep'19/20</v>
      </c>
      <c r="H145" s="11" t="str">
        <f t="shared" si="16"/>
        <v>Sep'19/20</v>
      </c>
      <c r="I145" s="11">
        <f t="shared" si="17"/>
        <v>146.46258333333333</v>
      </c>
    </row>
    <row r="146" spans="2:9" x14ac:dyDescent="0.55000000000000004">
      <c r="B146" s="11">
        <f t="shared" si="18"/>
        <v>7</v>
      </c>
      <c r="C146" s="11">
        <f t="shared" si="19"/>
        <v>1</v>
      </c>
      <c r="D146" s="12">
        <f t="shared" si="20"/>
        <v>11567333.333333334</v>
      </c>
      <c r="E146" s="11" t="str">
        <f t="shared" si="21"/>
        <v>20/21</v>
      </c>
      <c r="F146" s="11" t="str">
        <f t="shared" si="22"/>
        <v>Oct</v>
      </c>
      <c r="G146" s="11" t="str">
        <f t="shared" si="23"/>
        <v>Oct'20/21</v>
      </c>
      <c r="H146" s="11" t="str">
        <f t="shared" si="16"/>
        <v>Oct'20/21</v>
      </c>
      <c r="I146" s="11">
        <f t="shared" si="17"/>
        <v>146.3862666666667</v>
      </c>
    </row>
    <row r="147" spans="2:9" x14ac:dyDescent="0.55000000000000004">
      <c r="B147" s="11">
        <f t="shared" si="18"/>
        <v>7</v>
      </c>
      <c r="C147" s="11">
        <f t="shared" si="19"/>
        <v>2</v>
      </c>
      <c r="D147" s="12">
        <f t="shared" si="20"/>
        <v>12117266.666666668</v>
      </c>
      <c r="E147" s="11" t="str">
        <f t="shared" si="21"/>
        <v>20/21</v>
      </c>
      <c r="F147" s="11" t="str">
        <f t="shared" si="22"/>
        <v>Nov</v>
      </c>
      <c r="G147" s="11" t="str">
        <f t="shared" si="23"/>
        <v>Nov'20/21</v>
      </c>
      <c r="H147" s="11" t="str">
        <f t="shared" si="16"/>
        <v>Nov'20/21</v>
      </c>
      <c r="I147" s="11">
        <f t="shared" si="17"/>
        <v>146.94771666666668</v>
      </c>
    </row>
    <row r="148" spans="2:9" x14ac:dyDescent="0.55000000000000004">
      <c r="B148" s="11">
        <f t="shared" si="18"/>
        <v>7</v>
      </c>
      <c r="C148" s="11">
        <f t="shared" si="19"/>
        <v>3</v>
      </c>
      <c r="D148" s="12">
        <f t="shared" si="20"/>
        <v>13407133.333333334</v>
      </c>
      <c r="E148" s="11" t="str">
        <f t="shared" si="21"/>
        <v>20/21</v>
      </c>
      <c r="F148" s="11" t="str">
        <f t="shared" si="22"/>
        <v>Dec</v>
      </c>
      <c r="G148" s="11" t="str">
        <f t="shared" si="23"/>
        <v>Dec'20/21</v>
      </c>
      <c r="H148" s="11" t="str">
        <f t="shared" si="16"/>
        <v>Dec'20/21</v>
      </c>
      <c r="I148" s="11">
        <f t="shared" si="17"/>
        <v>147.52641666666668</v>
      </c>
    </row>
    <row r="149" spans="2:9" x14ac:dyDescent="0.55000000000000004">
      <c r="B149" s="11">
        <f t="shared" si="18"/>
        <v>7</v>
      </c>
      <c r="C149" s="11">
        <f t="shared" si="19"/>
        <v>4</v>
      </c>
      <c r="D149" s="12">
        <f t="shared" si="20"/>
        <v>12576566.666666668</v>
      </c>
      <c r="E149" s="11" t="str">
        <f t="shared" si="21"/>
        <v>20/21</v>
      </c>
      <c r="F149" s="11" t="str">
        <f t="shared" si="22"/>
        <v>Jan</v>
      </c>
      <c r="G149" s="11" t="str">
        <f t="shared" si="23"/>
        <v>Jan'20/21</v>
      </c>
      <c r="H149" s="11" t="str">
        <f t="shared" si="16"/>
        <v>Jan'20/21</v>
      </c>
      <c r="I149" s="11">
        <f t="shared" si="17"/>
        <v>148.27260000000001</v>
      </c>
    </row>
    <row r="150" spans="2:9" x14ac:dyDescent="0.55000000000000004">
      <c r="B150" s="11">
        <f t="shared" si="18"/>
        <v>7</v>
      </c>
      <c r="C150" s="11">
        <f t="shared" si="19"/>
        <v>5</v>
      </c>
      <c r="D150" s="12">
        <f t="shared" si="20"/>
        <v>12320966.666666668</v>
      </c>
      <c r="E150" s="11" t="str">
        <f t="shared" si="21"/>
        <v>20/21</v>
      </c>
      <c r="F150" s="11" t="str">
        <f t="shared" si="22"/>
        <v>Feb</v>
      </c>
      <c r="G150" s="11" t="str">
        <f t="shared" si="23"/>
        <v>Feb'20/21</v>
      </c>
      <c r="H150" s="11" t="str">
        <f t="shared" ref="H150:H213" si="24">G150</f>
        <v>Feb'20/21</v>
      </c>
      <c r="I150" s="11">
        <f t="shared" ref="I150:I213" si="25">SUM(D139:D150)/1000000</f>
        <v>147.98268333333331</v>
      </c>
    </row>
    <row r="151" spans="2:9" x14ac:dyDescent="0.55000000000000004">
      <c r="B151" s="11">
        <f t="shared" ref="B151:B214" si="26">B139+1</f>
        <v>7</v>
      </c>
      <c r="C151" s="11">
        <f t="shared" ref="C151:C214" si="27">C139</f>
        <v>6</v>
      </c>
      <c r="D151" s="12">
        <f t="shared" si="20"/>
        <v>15164233.333333334</v>
      </c>
      <c r="E151" s="11" t="str">
        <f t="shared" si="21"/>
        <v>20/21</v>
      </c>
      <c r="F151" s="11" t="str">
        <f t="shared" si="22"/>
        <v>Mar</v>
      </c>
      <c r="G151" s="11" t="str">
        <f t="shared" si="23"/>
        <v>Mar'20/21</v>
      </c>
      <c r="H151" s="11" t="str">
        <f t="shared" si="24"/>
        <v>Mar'20/21</v>
      </c>
      <c r="I151" s="11">
        <f t="shared" si="25"/>
        <v>149.52683333333334</v>
      </c>
    </row>
    <row r="152" spans="2:9" x14ac:dyDescent="0.55000000000000004">
      <c r="B152" s="11">
        <f t="shared" si="26"/>
        <v>7</v>
      </c>
      <c r="C152" s="11">
        <f t="shared" si="27"/>
        <v>7</v>
      </c>
      <c r="D152" s="12">
        <f t="shared" si="20"/>
        <v>13353100</v>
      </c>
      <c r="E152" s="11" t="str">
        <f t="shared" si="21"/>
        <v>20/21</v>
      </c>
      <c r="F152" s="11" t="str">
        <f t="shared" si="22"/>
        <v>Apr</v>
      </c>
      <c r="G152" s="11" t="str">
        <f t="shared" si="23"/>
        <v>Apr'20/21</v>
      </c>
      <c r="H152" s="11" t="str">
        <f t="shared" si="24"/>
        <v>Apr'20/21</v>
      </c>
      <c r="I152" s="11">
        <f t="shared" si="25"/>
        <v>149.94049999999999</v>
      </c>
    </row>
    <row r="153" spans="2:9" x14ac:dyDescent="0.55000000000000004">
      <c r="B153" s="11">
        <f t="shared" si="26"/>
        <v>7</v>
      </c>
      <c r="C153" s="11">
        <f t="shared" si="27"/>
        <v>8</v>
      </c>
      <c r="D153" s="12">
        <f t="shared" si="20"/>
        <v>12368716.666666668</v>
      </c>
      <c r="E153" s="11" t="str">
        <f t="shared" si="21"/>
        <v>20/21</v>
      </c>
      <c r="F153" s="11" t="str">
        <f t="shared" si="22"/>
        <v>May</v>
      </c>
      <c r="G153" s="11" t="str">
        <f t="shared" si="23"/>
        <v>May'20/21</v>
      </c>
      <c r="H153" s="11" t="str">
        <f t="shared" si="24"/>
        <v>May'20/21</v>
      </c>
      <c r="I153" s="11">
        <f t="shared" si="25"/>
        <v>149.85438333333335</v>
      </c>
    </row>
    <row r="154" spans="2:9" x14ac:dyDescent="0.55000000000000004">
      <c r="B154" s="11">
        <f t="shared" si="26"/>
        <v>7</v>
      </c>
      <c r="C154" s="11">
        <f t="shared" si="27"/>
        <v>9</v>
      </c>
      <c r="D154" s="12">
        <f t="shared" si="20"/>
        <v>12728500</v>
      </c>
      <c r="E154" s="11" t="str">
        <f t="shared" si="21"/>
        <v>20/21</v>
      </c>
      <c r="F154" s="11" t="str">
        <f t="shared" si="22"/>
        <v>Jun</v>
      </c>
      <c r="G154" s="11" t="str">
        <f t="shared" si="23"/>
        <v>Jun'20/21</v>
      </c>
      <c r="H154" s="11" t="str">
        <f t="shared" si="24"/>
        <v>Jun'20/21</v>
      </c>
      <c r="I154" s="11">
        <f t="shared" si="25"/>
        <v>150.81928333333335</v>
      </c>
    </row>
    <row r="155" spans="2:9" x14ac:dyDescent="0.55000000000000004">
      <c r="B155" s="11">
        <f t="shared" si="26"/>
        <v>7</v>
      </c>
      <c r="C155" s="11">
        <f t="shared" si="27"/>
        <v>10</v>
      </c>
      <c r="D155" s="12">
        <f t="shared" si="20"/>
        <v>12304033.333333334</v>
      </c>
      <c r="E155" s="11" t="str">
        <f t="shared" si="21"/>
        <v>20/21</v>
      </c>
      <c r="F155" s="11" t="str">
        <f t="shared" si="22"/>
        <v>Jul</v>
      </c>
      <c r="G155" s="11" t="str">
        <f t="shared" si="23"/>
        <v>Jul'20/21</v>
      </c>
      <c r="H155" s="11" t="str">
        <f t="shared" si="24"/>
        <v>Jul'20/21</v>
      </c>
      <c r="I155" s="11">
        <f t="shared" si="25"/>
        <v>150.9766166666667</v>
      </c>
    </row>
    <row r="156" spans="2:9" x14ac:dyDescent="0.55000000000000004">
      <c r="B156" s="11">
        <f t="shared" si="26"/>
        <v>7</v>
      </c>
      <c r="C156" s="11">
        <f t="shared" si="27"/>
        <v>11</v>
      </c>
      <c r="D156" s="12">
        <f t="shared" si="20"/>
        <v>11984116.666666666</v>
      </c>
      <c r="E156" s="11" t="str">
        <f t="shared" si="21"/>
        <v>20/21</v>
      </c>
      <c r="F156" s="11" t="str">
        <f t="shared" si="22"/>
        <v>Aug</v>
      </c>
      <c r="G156" s="11" t="str">
        <f t="shared" si="23"/>
        <v>Aug'20/21</v>
      </c>
      <c r="H156" s="11" t="str">
        <f t="shared" si="24"/>
        <v>Aug'20/21</v>
      </c>
      <c r="I156" s="11">
        <f t="shared" si="25"/>
        <v>151.80888333333334</v>
      </c>
    </row>
    <row r="157" spans="2:9" x14ac:dyDescent="0.55000000000000004">
      <c r="B157" s="11">
        <f t="shared" si="26"/>
        <v>7</v>
      </c>
      <c r="C157" s="11">
        <f t="shared" si="27"/>
        <v>12</v>
      </c>
      <c r="D157" s="12">
        <f t="shared" si="20"/>
        <v>11860166.666666668</v>
      </c>
      <c r="E157" s="11" t="str">
        <f t="shared" si="21"/>
        <v>20/21</v>
      </c>
      <c r="F157" s="11" t="str">
        <f t="shared" si="22"/>
        <v>Sep</v>
      </c>
      <c r="G157" s="11" t="str">
        <f t="shared" si="23"/>
        <v>Sep'20/21</v>
      </c>
      <c r="H157" s="11" t="str">
        <f t="shared" si="24"/>
        <v>Sep'20/21</v>
      </c>
      <c r="I157" s="11">
        <f t="shared" si="25"/>
        <v>151.75213333333332</v>
      </c>
    </row>
    <row r="158" spans="2:9" x14ac:dyDescent="0.55000000000000004">
      <c r="B158" s="11">
        <f t="shared" si="26"/>
        <v>8</v>
      </c>
      <c r="C158" s="11">
        <f t="shared" si="27"/>
        <v>1</v>
      </c>
      <c r="D158" s="12">
        <f t="shared" si="20"/>
        <v>11563100</v>
      </c>
      <c r="E158" s="11" t="str">
        <f t="shared" si="21"/>
        <v>21/22</v>
      </c>
      <c r="F158" s="11" t="str">
        <f t="shared" si="22"/>
        <v>Oct</v>
      </c>
      <c r="G158" s="11" t="str">
        <f t="shared" si="23"/>
        <v>Oct'21/22</v>
      </c>
      <c r="H158" s="11" t="str">
        <f t="shared" si="24"/>
        <v>Oct'21/22</v>
      </c>
      <c r="I158" s="11">
        <f t="shared" si="25"/>
        <v>151.74790000000004</v>
      </c>
    </row>
    <row r="159" spans="2:9" x14ac:dyDescent="0.55000000000000004">
      <c r="B159" s="11">
        <f t="shared" si="26"/>
        <v>8</v>
      </c>
      <c r="C159" s="11">
        <f t="shared" si="27"/>
        <v>2</v>
      </c>
      <c r="D159" s="12">
        <f t="shared" si="20"/>
        <v>11724150</v>
      </c>
      <c r="E159" s="11" t="str">
        <f t="shared" si="21"/>
        <v>21/22</v>
      </c>
      <c r="F159" s="11" t="str">
        <f t="shared" si="22"/>
        <v>Nov</v>
      </c>
      <c r="G159" s="11" t="str">
        <f t="shared" si="23"/>
        <v>Nov'21/22</v>
      </c>
      <c r="H159" s="11" t="str">
        <f t="shared" si="24"/>
        <v>Nov'21/22</v>
      </c>
      <c r="I159" s="11">
        <f t="shared" si="25"/>
        <v>151.35478333333333</v>
      </c>
    </row>
    <row r="160" spans="2:9" x14ac:dyDescent="0.55000000000000004">
      <c r="B160" s="11">
        <f t="shared" si="26"/>
        <v>8</v>
      </c>
      <c r="C160" s="11">
        <f t="shared" si="27"/>
        <v>3</v>
      </c>
      <c r="D160" s="12">
        <f t="shared" si="20"/>
        <v>13447866.666666668</v>
      </c>
      <c r="E160" s="11" t="str">
        <f t="shared" si="21"/>
        <v>21/22</v>
      </c>
      <c r="F160" s="11" t="str">
        <f t="shared" si="22"/>
        <v>Dec</v>
      </c>
      <c r="G160" s="11" t="str">
        <f t="shared" si="23"/>
        <v>Dec'21/22</v>
      </c>
      <c r="H160" s="11" t="str">
        <f t="shared" si="24"/>
        <v>Dec'21/22</v>
      </c>
      <c r="I160" s="11">
        <f t="shared" si="25"/>
        <v>151.39551666666665</v>
      </c>
    </row>
    <row r="161" spans="2:9" x14ac:dyDescent="0.55000000000000004">
      <c r="B161" s="11">
        <f t="shared" si="26"/>
        <v>8</v>
      </c>
      <c r="C161" s="11">
        <f t="shared" si="27"/>
        <v>4</v>
      </c>
      <c r="D161" s="12">
        <f t="shared" si="20"/>
        <v>13967500.000000002</v>
      </c>
      <c r="E161" s="11" t="str">
        <f t="shared" si="21"/>
        <v>21/22</v>
      </c>
      <c r="F161" s="11" t="str">
        <f t="shared" si="22"/>
        <v>Jan</v>
      </c>
      <c r="G161" s="11" t="str">
        <f t="shared" si="23"/>
        <v>Jan'21/22</v>
      </c>
      <c r="H161" s="11" t="str">
        <f t="shared" si="24"/>
        <v>Jan'21/22</v>
      </c>
      <c r="I161" s="11">
        <f t="shared" si="25"/>
        <v>152.78645</v>
      </c>
    </row>
    <row r="162" spans="2:9" x14ac:dyDescent="0.55000000000000004">
      <c r="B162" s="11">
        <f t="shared" si="26"/>
        <v>8</v>
      </c>
      <c r="C162" s="11">
        <f t="shared" si="27"/>
        <v>5</v>
      </c>
      <c r="D162" s="12">
        <f t="shared" si="20"/>
        <v>13086683.333333334</v>
      </c>
      <c r="E162" s="11" t="str">
        <f t="shared" si="21"/>
        <v>21/22</v>
      </c>
      <c r="F162" s="11" t="str">
        <f t="shared" si="22"/>
        <v>Feb</v>
      </c>
      <c r="G162" s="11" t="str">
        <f t="shared" si="23"/>
        <v>Feb'21/22</v>
      </c>
      <c r="H162" s="11" t="str">
        <f t="shared" si="24"/>
        <v>Feb'21/22</v>
      </c>
      <c r="I162" s="11">
        <f t="shared" si="25"/>
        <v>153.55216666666669</v>
      </c>
    </row>
    <row r="163" spans="2:9" x14ac:dyDescent="0.55000000000000004">
      <c r="B163" s="11">
        <f t="shared" si="26"/>
        <v>8</v>
      </c>
      <c r="C163" s="11">
        <f t="shared" si="27"/>
        <v>6</v>
      </c>
      <c r="D163" s="12">
        <f t="shared" si="20"/>
        <v>15474783.333333334</v>
      </c>
      <c r="E163" s="11" t="str">
        <f t="shared" si="21"/>
        <v>21/22</v>
      </c>
      <c r="F163" s="11" t="str">
        <f t="shared" si="22"/>
        <v>Mar</v>
      </c>
      <c r="G163" s="11" t="str">
        <f t="shared" si="23"/>
        <v>Mar'21/22</v>
      </c>
      <c r="H163" s="11" t="str">
        <f t="shared" si="24"/>
        <v>Mar'21/22</v>
      </c>
      <c r="I163" s="11">
        <f t="shared" si="25"/>
        <v>153.8627166666667</v>
      </c>
    </row>
    <row r="164" spans="2:9" x14ac:dyDescent="0.55000000000000004">
      <c r="B164" s="11">
        <f t="shared" si="26"/>
        <v>8</v>
      </c>
      <c r="C164" s="11">
        <f t="shared" si="27"/>
        <v>7</v>
      </c>
      <c r="D164" s="12">
        <f t="shared" si="20"/>
        <v>12712516.666666668</v>
      </c>
      <c r="E164" s="11" t="str">
        <f t="shared" si="21"/>
        <v>21/22</v>
      </c>
      <c r="F164" s="11" t="str">
        <f t="shared" si="22"/>
        <v>Apr</v>
      </c>
      <c r="G164" s="11" t="str">
        <f t="shared" si="23"/>
        <v>Apr'21/22</v>
      </c>
      <c r="H164" s="11" t="str">
        <f t="shared" si="24"/>
        <v>Apr'21/22</v>
      </c>
      <c r="I164" s="11">
        <f t="shared" si="25"/>
        <v>153.22213333333332</v>
      </c>
    </row>
    <row r="165" spans="2:9" x14ac:dyDescent="0.55000000000000004">
      <c r="B165" s="11">
        <f t="shared" si="26"/>
        <v>8</v>
      </c>
      <c r="C165" s="11">
        <f t="shared" si="27"/>
        <v>8</v>
      </c>
      <c r="D165" s="12">
        <f t="shared" si="20"/>
        <v>12360383.333333336</v>
      </c>
      <c r="E165" s="11" t="str">
        <f t="shared" si="21"/>
        <v>21/22</v>
      </c>
      <c r="F165" s="11" t="str">
        <f t="shared" si="22"/>
        <v>May</v>
      </c>
      <c r="G165" s="11" t="str">
        <f t="shared" si="23"/>
        <v>May'21/22</v>
      </c>
      <c r="H165" s="11" t="str">
        <f t="shared" si="24"/>
        <v>May'21/22</v>
      </c>
      <c r="I165" s="11">
        <f t="shared" si="25"/>
        <v>153.21379999999999</v>
      </c>
    </row>
    <row r="166" spans="2:9" x14ac:dyDescent="0.55000000000000004">
      <c r="B166" s="11">
        <f t="shared" si="26"/>
        <v>8</v>
      </c>
      <c r="C166" s="11">
        <f t="shared" si="27"/>
        <v>9</v>
      </c>
      <c r="D166" s="12">
        <f t="shared" si="20"/>
        <v>13552800.000000002</v>
      </c>
      <c r="E166" s="11" t="str">
        <f t="shared" si="21"/>
        <v>21/22</v>
      </c>
      <c r="F166" s="11" t="str">
        <f t="shared" si="22"/>
        <v>Jun</v>
      </c>
      <c r="G166" s="11" t="str">
        <f t="shared" si="23"/>
        <v>Jun'21/22</v>
      </c>
      <c r="H166" s="11" t="str">
        <f t="shared" si="24"/>
        <v>Jun'21/22</v>
      </c>
      <c r="I166" s="11">
        <f t="shared" si="25"/>
        <v>154.03809999999999</v>
      </c>
    </row>
    <row r="167" spans="2:9" x14ac:dyDescent="0.55000000000000004">
      <c r="B167" s="11">
        <f t="shared" si="26"/>
        <v>8</v>
      </c>
      <c r="C167" s="11">
        <f t="shared" si="27"/>
        <v>10</v>
      </c>
      <c r="D167" s="12">
        <f t="shared" si="20"/>
        <v>13886233.333333334</v>
      </c>
      <c r="E167" s="11" t="str">
        <f t="shared" si="21"/>
        <v>21/22</v>
      </c>
      <c r="F167" s="11" t="str">
        <f t="shared" si="22"/>
        <v>Jul</v>
      </c>
      <c r="G167" s="11" t="str">
        <f t="shared" si="23"/>
        <v>Jul'21/22</v>
      </c>
      <c r="H167" s="11" t="str">
        <f t="shared" si="24"/>
        <v>Jul'21/22</v>
      </c>
      <c r="I167" s="11">
        <f t="shared" si="25"/>
        <v>155.62029999999999</v>
      </c>
    </row>
    <row r="168" spans="2:9" x14ac:dyDescent="0.55000000000000004">
      <c r="B168" s="11">
        <f t="shared" si="26"/>
        <v>8</v>
      </c>
      <c r="C168" s="11">
        <f t="shared" si="27"/>
        <v>11</v>
      </c>
      <c r="D168" s="12">
        <f t="shared" si="20"/>
        <v>11867866.666666666</v>
      </c>
      <c r="E168" s="11" t="str">
        <f t="shared" si="21"/>
        <v>21/22</v>
      </c>
      <c r="F168" s="11" t="str">
        <f t="shared" si="22"/>
        <v>Aug</v>
      </c>
      <c r="G168" s="11" t="str">
        <f t="shared" si="23"/>
        <v>Aug'21/22</v>
      </c>
      <c r="H168" s="11" t="str">
        <f t="shared" si="24"/>
        <v>Aug'21/22</v>
      </c>
      <c r="I168" s="11">
        <f t="shared" si="25"/>
        <v>155.50405000000001</v>
      </c>
    </row>
    <row r="169" spans="2:9" x14ac:dyDescent="0.55000000000000004">
      <c r="B169" s="11">
        <f t="shared" si="26"/>
        <v>8</v>
      </c>
      <c r="C169" s="11">
        <f t="shared" si="27"/>
        <v>12</v>
      </c>
      <c r="D169" s="12">
        <f t="shared" si="20"/>
        <v>11724366.666666668</v>
      </c>
      <c r="E169" s="11" t="str">
        <f t="shared" si="21"/>
        <v>21/22</v>
      </c>
      <c r="F169" s="11" t="str">
        <f t="shared" si="22"/>
        <v>Sep</v>
      </c>
      <c r="G169" s="11" t="str">
        <f t="shared" si="23"/>
        <v>Sep'21/22</v>
      </c>
      <c r="H169" s="11" t="str">
        <f t="shared" si="24"/>
        <v>Sep'21/22</v>
      </c>
      <c r="I169" s="11">
        <f t="shared" si="25"/>
        <v>155.36824999999999</v>
      </c>
    </row>
    <row r="170" spans="2:9" x14ac:dyDescent="0.55000000000000004">
      <c r="B170" s="11">
        <f t="shared" si="26"/>
        <v>9</v>
      </c>
      <c r="C170" s="11">
        <f t="shared" si="27"/>
        <v>1</v>
      </c>
      <c r="D170" s="12">
        <f t="shared" si="20"/>
        <v>11325750</v>
      </c>
      <c r="E170" s="11" t="str">
        <f t="shared" si="21"/>
        <v>22/23</v>
      </c>
      <c r="F170" s="11" t="str">
        <f t="shared" si="22"/>
        <v>Oct</v>
      </c>
      <c r="G170" s="11" t="str">
        <f t="shared" si="23"/>
        <v>Oct'22/23</v>
      </c>
      <c r="H170" s="11" t="str">
        <f t="shared" si="24"/>
        <v>Oct'22/23</v>
      </c>
      <c r="I170" s="11">
        <f t="shared" si="25"/>
        <v>155.1309</v>
      </c>
    </row>
    <row r="171" spans="2:9" x14ac:dyDescent="0.55000000000000004">
      <c r="B171" s="11">
        <f t="shared" si="26"/>
        <v>9</v>
      </c>
      <c r="C171" s="11">
        <f t="shared" si="27"/>
        <v>2</v>
      </c>
      <c r="D171" s="12">
        <f t="shared" si="20"/>
        <v>12293466.666666668</v>
      </c>
      <c r="E171" s="11" t="str">
        <f t="shared" si="21"/>
        <v>22/23</v>
      </c>
      <c r="F171" s="11" t="str">
        <f t="shared" si="22"/>
        <v>Nov</v>
      </c>
      <c r="G171" s="11" t="str">
        <f t="shared" si="23"/>
        <v>Nov'22/23</v>
      </c>
      <c r="H171" s="11" t="str">
        <f t="shared" si="24"/>
        <v>Nov'22/23</v>
      </c>
      <c r="I171" s="11">
        <f t="shared" si="25"/>
        <v>155.70021666666665</v>
      </c>
    </row>
    <row r="172" spans="2:9" x14ac:dyDescent="0.55000000000000004">
      <c r="B172" s="11">
        <f t="shared" si="26"/>
        <v>9</v>
      </c>
      <c r="C172" s="11">
        <f t="shared" si="27"/>
        <v>3</v>
      </c>
      <c r="D172" s="12">
        <f t="shared" si="20"/>
        <v>12538866.699999999</v>
      </c>
      <c r="E172" s="11" t="str">
        <f t="shared" si="21"/>
        <v>22/23</v>
      </c>
      <c r="F172" s="11" t="str">
        <f t="shared" si="22"/>
        <v>Dec</v>
      </c>
      <c r="G172" s="11" t="str">
        <f t="shared" si="23"/>
        <v>Dec'22/23</v>
      </c>
      <c r="H172" s="11" t="str">
        <f t="shared" si="24"/>
        <v>Dec'22/23</v>
      </c>
      <c r="I172" s="11">
        <f t="shared" si="25"/>
        <v>154.79121670000001</v>
      </c>
    </row>
    <row r="173" spans="2:9" x14ac:dyDescent="0.55000000000000004">
      <c r="B173" s="11">
        <f t="shared" si="26"/>
        <v>9</v>
      </c>
      <c r="C173" s="11">
        <f t="shared" si="27"/>
        <v>4</v>
      </c>
      <c r="D173" s="12">
        <f t="shared" si="20"/>
        <v>10804586.639713153</v>
      </c>
      <c r="E173" s="11" t="str">
        <f t="shared" si="21"/>
        <v>22/23</v>
      </c>
      <c r="F173" s="11" t="str">
        <f t="shared" si="22"/>
        <v>Jan</v>
      </c>
      <c r="G173" s="11" t="str">
        <f t="shared" si="23"/>
        <v>Jan'22/23</v>
      </c>
      <c r="H173" s="11" t="str">
        <f t="shared" si="24"/>
        <v>Jan'22/23</v>
      </c>
      <c r="I173" s="11">
        <f t="shared" si="25"/>
        <v>151.62830333971317</v>
      </c>
    </row>
    <row r="174" spans="2:9" x14ac:dyDescent="0.55000000000000004">
      <c r="B174" s="11">
        <f t="shared" si="26"/>
        <v>9</v>
      </c>
      <c r="C174" s="11">
        <f t="shared" si="27"/>
        <v>5</v>
      </c>
      <c r="D174" s="12">
        <f t="shared" si="20"/>
        <v>11385231.820761472</v>
      </c>
      <c r="E174" s="11" t="str">
        <f t="shared" si="21"/>
        <v>22/23</v>
      </c>
      <c r="F174" s="11" t="str">
        <f t="shared" si="22"/>
        <v>Feb</v>
      </c>
      <c r="G174" s="11" t="str">
        <f t="shared" si="23"/>
        <v>Feb'22/23</v>
      </c>
      <c r="H174" s="11" t="str">
        <f t="shared" si="24"/>
        <v>Feb'22/23</v>
      </c>
      <c r="I174" s="11">
        <f t="shared" si="25"/>
        <v>149.92685182714132</v>
      </c>
    </row>
    <row r="175" spans="2:9" x14ac:dyDescent="0.55000000000000004">
      <c r="B175" s="11">
        <f t="shared" si="26"/>
        <v>9</v>
      </c>
      <c r="C175" s="11">
        <f t="shared" si="27"/>
        <v>6</v>
      </c>
      <c r="D175" s="12">
        <f t="shared" si="20"/>
        <v>12848742.323659111</v>
      </c>
      <c r="E175" s="11" t="str">
        <f t="shared" si="21"/>
        <v>22/23</v>
      </c>
      <c r="F175" s="11" t="str">
        <f t="shared" si="22"/>
        <v>Mar</v>
      </c>
      <c r="G175" s="11" t="str">
        <f t="shared" si="23"/>
        <v>Mar'22/23</v>
      </c>
      <c r="H175" s="11" t="str">
        <f t="shared" si="24"/>
        <v>Mar'22/23</v>
      </c>
      <c r="I175" s="11">
        <f t="shared" si="25"/>
        <v>147.3008108174671</v>
      </c>
    </row>
    <row r="176" spans="2:9" x14ac:dyDescent="0.55000000000000004">
      <c r="B176" s="11">
        <f t="shared" si="26"/>
        <v>9</v>
      </c>
      <c r="C176" s="11">
        <f t="shared" si="27"/>
        <v>7</v>
      </c>
      <c r="D176" s="12">
        <f t="shared" si="20"/>
        <v>12011141.72498103</v>
      </c>
      <c r="E176" s="11" t="str">
        <f t="shared" si="21"/>
        <v>22/23</v>
      </c>
      <c r="F176" s="11" t="str">
        <f t="shared" si="22"/>
        <v>Apr</v>
      </c>
      <c r="G176" s="11" t="str">
        <f t="shared" si="23"/>
        <v>Apr'22/23</v>
      </c>
      <c r="H176" s="11" t="str">
        <f t="shared" si="24"/>
        <v>Apr'22/23</v>
      </c>
      <c r="I176" s="11">
        <f t="shared" si="25"/>
        <v>146.59943587578144</v>
      </c>
    </row>
    <row r="177" spans="2:9" x14ac:dyDescent="0.55000000000000004">
      <c r="B177" s="11">
        <f t="shared" si="26"/>
        <v>9</v>
      </c>
      <c r="C177" s="11">
        <f t="shared" si="27"/>
        <v>8</v>
      </c>
      <c r="D177" s="12">
        <f t="shared" si="20"/>
        <v>12007555.926960722</v>
      </c>
      <c r="E177" s="11" t="str">
        <f t="shared" si="21"/>
        <v>22/23</v>
      </c>
      <c r="F177" s="11" t="str">
        <f t="shared" si="22"/>
        <v>May</v>
      </c>
      <c r="G177" s="11" t="str">
        <f t="shared" si="23"/>
        <v>May'22/23</v>
      </c>
      <c r="H177" s="11" t="str">
        <f t="shared" si="24"/>
        <v>May'22/23</v>
      </c>
      <c r="I177" s="11">
        <f t="shared" si="25"/>
        <v>146.24660846940881</v>
      </c>
    </row>
    <row r="178" spans="2:9" x14ac:dyDescent="0.55000000000000004">
      <c r="B178" s="11">
        <f t="shared" si="26"/>
        <v>9</v>
      </c>
      <c r="C178" s="11">
        <f t="shared" si="27"/>
        <v>9</v>
      </c>
      <c r="D178" s="12">
        <f t="shared" si="20"/>
        <v>12114722.883063262</v>
      </c>
      <c r="E178" s="11" t="str">
        <f t="shared" si="21"/>
        <v>22/23</v>
      </c>
      <c r="F178" s="11" t="str">
        <f t="shared" si="22"/>
        <v>Jun</v>
      </c>
      <c r="G178" s="11" t="str">
        <f t="shared" si="23"/>
        <v>Jun'22/23</v>
      </c>
      <c r="H178" s="11" t="str">
        <f t="shared" si="24"/>
        <v>Jun'22/23</v>
      </c>
      <c r="I178" s="11">
        <f t="shared" si="25"/>
        <v>144.8085313524721</v>
      </c>
    </row>
    <row r="179" spans="2:9" x14ac:dyDescent="0.55000000000000004">
      <c r="B179" s="11">
        <f t="shared" si="26"/>
        <v>9</v>
      </c>
      <c r="C179" s="11">
        <f t="shared" si="27"/>
        <v>10</v>
      </c>
      <c r="D179" s="12">
        <f t="shared" si="20"/>
        <v>12432448.336847106</v>
      </c>
      <c r="E179" s="11" t="str">
        <f t="shared" si="21"/>
        <v>22/23</v>
      </c>
      <c r="F179" s="11" t="str">
        <f t="shared" si="22"/>
        <v>Jul</v>
      </c>
      <c r="G179" s="11" t="str">
        <f t="shared" si="23"/>
        <v>Jul'22/23</v>
      </c>
      <c r="H179" s="11" t="str">
        <f t="shared" si="24"/>
        <v>Jul'22/23</v>
      </c>
      <c r="I179" s="11">
        <f t="shared" si="25"/>
        <v>143.35474635598584</v>
      </c>
    </row>
    <row r="180" spans="2:9" x14ac:dyDescent="0.55000000000000004">
      <c r="B180" s="11">
        <f t="shared" si="26"/>
        <v>9</v>
      </c>
      <c r="C180" s="11">
        <f t="shared" si="27"/>
        <v>11</v>
      </c>
      <c r="D180" s="12">
        <f t="shared" si="20"/>
        <v>12144480.192413529</v>
      </c>
      <c r="E180" s="11" t="str">
        <f t="shared" si="21"/>
        <v>22/23</v>
      </c>
      <c r="F180" s="11" t="str">
        <f t="shared" si="22"/>
        <v>Aug</v>
      </c>
      <c r="G180" s="11" t="str">
        <f t="shared" si="23"/>
        <v>Aug'22/23</v>
      </c>
      <c r="H180" s="11" t="str">
        <f t="shared" si="24"/>
        <v>Aug'22/23</v>
      </c>
      <c r="I180" s="11">
        <f t="shared" si="25"/>
        <v>143.63135988173269</v>
      </c>
    </row>
    <row r="181" spans="2:9" x14ac:dyDescent="0.55000000000000004">
      <c r="B181" s="11">
        <f t="shared" si="26"/>
        <v>9</v>
      </c>
      <c r="C181" s="11">
        <f t="shared" si="27"/>
        <v>12</v>
      </c>
      <c r="D181" s="12">
        <f t="shared" si="20"/>
        <v>9968256.4551196434</v>
      </c>
      <c r="E181" s="11" t="str">
        <f t="shared" si="21"/>
        <v>22/23</v>
      </c>
      <c r="F181" s="11" t="str">
        <f t="shared" si="22"/>
        <v>Sep</v>
      </c>
      <c r="G181" s="11" t="str">
        <f t="shared" si="23"/>
        <v>Sep'22/23</v>
      </c>
      <c r="H181" s="11" t="str">
        <f t="shared" si="24"/>
        <v>Sep'22/23</v>
      </c>
      <c r="I181" s="11">
        <f t="shared" si="25"/>
        <v>141.8752496701857</v>
      </c>
    </row>
    <row r="182" spans="2:9" x14ac:dyDescent="0.55000000000000004">
      <c r="B182" s="11">
        <f t="shared" si="26"/>
        <v>10</v>
      </c>
      <c r="C182" s="11">
        <f t="shared" si="27"/>
        <v>1</v>
      </c>
      <c r="D182" s="12">
        <f t="shared" si="20"/>
        <v>10973177.168927584</v>
      </c>
      <c r="E182" s="11" t="str">
        <f t="shared" si="21"/>
        <v>23/24</v>
      </c>
      <c r="F182" s="11" t="str">
        <f t="shared" si="22"/>
        <v>Oct</v>
      </c>
      <c r="G182" s="11" t="str">
        <f t="shared" si="23"/>
        <v>Oct'23/24</v>
      </c>
      <c r="H182" s="11" t="str">
        <f t="shared" si="24"/>
        <v>Oct'23/24</v>
      </c>
      <c r="I182" s="11">
        <f t="shared" si="25"/>
        <v>141.52267683911327</v>
      </c>
    </row>
    <row r="183" spans="2:9" x14ac:dyDescent="0.55000000000000004">
      <c r="B183" s="11">
        <f t="shared" si="26"/>
        <v>10</v>
      </c>
      <c r="C183" s="11">
        <f t="shared" si="27"/>
        <v>2</v>
      </c>
      <c r="D183" s="12">
        <f t="shared" si="20"/>
        <v>12626363.564057395</v>
      </c>
      <c r="E183" s="11" t="str">
        <f t="shared" si="21"/>
        <v>23/24</v>
      </c>
      <c r="F183" s="11" t="str">
        <f t="shared" si="22"/>
        <v>Nov</v>
      </c>
      <c r="G183" s="11" t="str">
        <f t="shared" si="23"/>
        <v>Nov'23/24</v>
      </c>
      <c r="H183" s="11" t="str">
        <f t="shared" si="24"/>
        <v>Nov'23/24</v>
      </c>
      <c r="I183" s="11">
        <f t="shared" si="25"/>
        <v>141.85557373650403</v>
      </c>
    </row>
    <row r="184" spans="2:9" x14ac:dyDescent="0.55000000000000004">
      <c r="B184" s="11">
        <f t="shared" si="26"/>
        <v>10</v>
      </c>
      <c r="C184" s="11">
        <f t="shared" si="27"/>
        <v>3</v>
      </c>
      <c r="D184" s="12">
        <f t="shared" si="20"/>
        <v>13550975.096935781</v>
      </c>
      <c r="E184" s="11" t="str">
        <f t="shared" si="21"/>
        <v>23/24</v>
      </c>
      <c r="F184" s="11" t="str">
        <f t="shared" si="22"/>
        <v>Dec</v>
      </c>
      <c r="G184" s="11" t="str">
        <f t="shared" si="23"/>
        <v>Dec'23/24</v>
      </c>
      <c r="H184" s="11" t="str">
        <f t="shared" si="24"/>
        <v>Dec'23/24</v>
      </c>
      <c r="I184" s="11">
        <f t="shared" si="25"/>
        <v>142.86768213343979</v>
      </c>
    </row>
    <row r="185" spans="2:9" x14ac:dyDescent="0.55000000000000004">
      <c r="B185" s="11">
        <f t="shared" si="26"/>
        <v>10</v>
      </c>
      <c r="C185" s="11">
        <f t="shared" si="27"/>
        <v>4</v>
      </c>
      <c r="D185" s="12">
        <f t="shared" si="20"/>
        <v>13829033.333333334</v>
      </c>
      <c r="E185" s="11" t="str">
        <f t="shared" si="21"/>
        <v>23/24</v>
      </c>
      <c r="F185" s="11" t="str">
        <f t="shared" si="22"/>
        <v>Jan</v>
      </c>
      <c r="G185" s="11" t="str">
        <f t="shared" si="23"/>
        <v>Jan'23/24</v>
      </c>
      <c r="H185" s="11" t="str">
        <f t="shared" si="24"/>
        <v>Jan'23/24</v>
      </c>
      <c r="I185" s="11">
        <f t="shared" si="25"/>
        <v>145.89212882705996</v>
      </c>
    </row>
    <row r="186" spans="2:9" x14ac:dyDescent="0.55000000000000004">
      <c r="B186" s="11">
        <f t="shared" si="26"/>
        <v>10</v>
      </c>
      <c r="C186" s="11">
        <f t="shared" si="27"/>
        <v>5</v>
      </c>
      <c r="D186" s="12">
        <f t="shared" si="20"/>
        <v>12851366.666666668</v>
      </c>
      <c r="E186" s="11" t="str">
        <f t="shared" si="21"/>
        <v>23/24</v>
      </c>
      <c r="F186" s="11" t="str">
        <f t="shared" si="22"/>
        <v>Feb</v>
      </c>
      <c r="G186" s="11" t="str">
        <f t="shared" si="23"/>
        <v>Feb'23/24</v>
      </c>
      <c r="H186" s="11" t="str">
        <f t="shared" si="24"/>
        <v>Feb'23/24</v>
      </c>
      <c r="I186" s="11">
        <f t="shared" si="25"/>
        <v>147.35826367296514</v>
      </c>
    </row>
    <row r="187" spans="2:9" x14ac:dyDescent="0.55000000000000004">
      <c r="B187" s="11">
        <f t="shared" si="26"/>
        <v>10</v>
      </c>
      <c r="C187" s="11">
        <f t="shared" si="27"/>
        <v>6</v>
      </c>
      <c r="D187" s="12">
        <f t="shared" si="20"/>
        <v>13485100.000000002</v>
      </c>
      <c r="E187" s="11" t="str">
        <f t="shared" si="21"/>
        <v>23/24</v>
      </c>
      <c r="F187" s="11" t="str">
        <f t="shared" si="22"/>
        <v>Mar</v>
      </c>
      <c r="G187" s="11" t="str">
        <f t="shared" si="23"/>
        <v>Mar'23/24</v>
      </c>
      <c r="H187" s="11" t="str">
        <f t="shared" si="24"/>
        <v>Mar'23/24</v>
      </c>
      <c r="I187" s="11">
        <f t="shared" si="25"/>
        <v>147.99462134930604</v>
      </c>
    </row>
    <row r="188" spans="2:9" x14ac:dyDescent="0.55000000000000004">
      <c r="B188" s="11">
        <f t="shared" si="26"/>
        <v>10</v>
      </c>
      <c r="C188" s="11">
        <f t="shared" si="27"/>
        <v>7</v>
      </c>
      <c r="D188" s="12">
        <f t="shared" si="20"/>
        <v>14038250</v>
      </c>
      <c r="E188" s="11" t="str">
        <f t="shared" si="21"/>
        <v>23/24</v>
      </c>
      <c r="F188" s="11" t="str">
        <f t="shared" si="22"/>
        <v>Apr</v>
      </c>
      <c r="G188" s="11" t="str">
        <f t="shared" si="23"/>
        <v>Apr'23/24</v>
      </c>
      <c r="H188" s="11" t="str">
        <f t="shared" si="24"/>
        <v>Apr'23/24</v>
      </c>
      <c r="I188" s="11">
        <f t="shared" si="25"/>
        <v>150.02172962432505</v>
      </c>
    </row>
    <row r="189" spans="2:9" x14ac:dyDescent="0.55000000000000004">
      <c r="B189" s="11">
        <f t="shared" si="26"/>
        <v>10</v>
      </c>
      <c r="C189" s="11">
        <f t="shared" si="27"/>
        <v>8</v>
      </c>
      <c r="D189" s="12">
        <f t="shared" si="20"/>
        <v>13329833.333333334</v>
      </c>
      <c r="E189" s="11" t="str">
        <f t="shared" si="21"/>
        <v>23/24</v>
      </c>
      <c r="F189" s="11" t="str">
        <f t="shared" si="22"/>
        <v>May</v>
      </c>
      <c r="G189" s="11" t="str">
        <f t="shared" si="23"/>
        <v>May'23/24</v>
      </c>
      <c r="H189" s="11" t="str">
        <f t="shared" si="24"/>
        <v>May'23/24</v>
      </c>
      <c r="I189" s="11">
        <f t="shared" si="25"/>
        <v>151.34400703069764</v>
      </c>
    </row>
    <row r="190" spans="2:9" x14ac:dyDescent="0.55000000000000004">
      <c r="B190" s="11">
        <f t="shared" si="26"/>
        <v>10</v>
      </c>
      <c r="C190" s="11">
        <f t="shared" si="27"/>
        <v>9</v>
      </c>
      <c r="D190" s="12">
        <f t="shared" si="20"/>
        <v>12012066.666666668</v>
      </c>
      <c r="E190" s="11" t="str">
        <f t="shared" si="21"/>
        <v>23/24</v>
      </c>
      <c r="F190" s="11" t="str">
        <f t="shared" si="22"/>
        <v>Jun</v>
      </c>
      <c r="G190" s="11" t="str">
        <f t="shared" si="23"/>
        <v>Jun'23/24</v>
      </c>
      <c r="H190" s="11" t="str">
        <f t="shared" si="24"/>
        <v>Jun'23/24</v>
      </c>
      <c r="I190" s="11">
        <f t="shared" si="25"/>
        <v>151.241350814301</v>
      </c>
    </row>
    <row r="191" spans="2:9" x14ac:dyDescent="0.55000000000000004">
      <c r="B191" s="11">
        <f t="shared" si="26"/>
        <v>10</v>
      </c>
      <c r="C191" s="11">
        <f t="shared" si="27"/>
        <v>10</v>
      </c>
      <c r="D191" s="12">
        <f t="shared" si="20"/>
        <v>12524250.000000002</v>
      </c>
      <c r="E191" s="11" t="str">
        <f t="shared" si="21"/>
        <v>23/24</v>
      </c>
      <c r="F191" s="11" t="str">
        <f t="shared" si="22"/>
        <v>Jul</v>
      </c>
      <c r="G191" s="11" t="str">
        <f t="shared" si="23"/>
        <v>Jul'23/24</v>
      </c>
      <c r="H191" s="11" t="str">
        <f t="shared" si="24"/>
        <v>Jul'23/24</v>
      </c>
      <c r="I191" s="11">
        <f t="shared" si="25"/>
        <v>151.33315247745392</v>
      </c>
    </row>
    <row r="192" spans="2:9" x14ac:dyDescent="0.55000000000000004">
      <c r="B192" s="11">
        <f t="shared" si="26"/>
        <v>10</v>
      </c>
      <c r="C192" s="11">
        <f t="shared" si="27"/>
        <v>11</v>
      </c>
      <c r="D192" s="12">
        <f t="shared" si="20"/>
        <v>12108166.666666668</v>
      </c>
      <c r="E192" s="11" t="str">
        <f t="shared" si="21"/>
        <v>23/24</v>
      </c>
      <c r="F192" s="11" t="str">
        <f t="shared" si="22"/>
        <v>Aug</v>
      </c>
      <c r="G192" s="11" t="str">
        <f t="shared" si="23"/>
        <v>Aug'23/24</v>
      </c>
      <c r="H192" s="11" t="str">
        <f t="shared" si="24"/>
        <v>Aug'23/24</v>
      </c>
      <c r="I192" s="11">
        <f t="shared" si="25"/>
        <v>151.29683895170706</v>
      </c>
    </row>
    <row r="193" spans="2:9" x14ac:dyDescent="0.55000000000000004">
      <c r="B193" s="11">
        <f t="shared" si="26"/>
        <v>10</v>
      </c>
      <c r="C193" s="11">
        <f t="shared" si="27"/>
        <v>12</v>
      </c>
      <c r="D193" s="12">
        <f t="shared" si="20"/>
        <v>11953750</v>
      </c>
      <c r="E193" s="11" t="str">
        <f t="shared" si="21"/>
        <v>23/24</v>
      </c>
      <c r="F193" s="11" t="str">
        <f t="shared" si="22"/>
        <v>Sep</v>
      </c>
      <c r="G193" s="11" t="str">
        <f t="shared" si="23"/>
        <v>Sep'23/24</v>
      </c>
      <c r="H193" s="11" t="str">
        <f t="shared" si="24"/>
        <v>Sep'23/24</v>
      </c>
      <c r="I193" s="11">
        <f t="shared" si="25"/>
        <v>153.28233249658743</v>
      </c>
    </row>
    <row r="194" spans="2:9" x14ac:dyDescent="0.55000000000000004">
      <c r="B194" s="11">
        <f t="shared" si="26"/>
        <v>11</v>
      </c>
      <c r="C194" s="11">
        <f t="shared" si="27"/>
        <v>1</v>
      </c>
      <c r="D194" s="12">
        <f t="shared" si="20"/>
        <v>12596066.333333334</v>
      </c>
      <c r="E194" s="11" t="str">
        <f t="shared" si="21"/>
        <v>24/25</v>
      </c>
      <c r="F194" s="11" t="str">
        <f t="shared" si="22"/>
        <v>Oct</v>
      </c>
      <c r="G194" s="11" t="str">
        <f t="shared" si="23"/>
        <v>Oct'24/25</v>
      </c>
      <c r="H194" s="11" t="str">
        <f t="shared" si="24"/>
        <v>Oct'24/25</v>
      </c>
      <c r="I194" s="11">
        <f t="shared" si="25"/>
        <v>154.90522166099319</v>
      </c>
    </row>
    <row r="195" spans="2:9" x14ac:dyDescent="0.55000000000000004">
      <c r="B195" s="11">
        <f t="shared" si="26"/>
        <v>11</v>
      </c>
      <c r="C195" s="11">
        <f t="shared" si="27"/>
        <v>2</v>
      </c>
      <c r="D195" s="12">
        <f t="shared" si="20"/>
        <v>11889966.666666666</v>
      </c>
      <c r="E195" s="11" t="str">
        <f t="shared" si="21"/>
        <v>24/25</v>
      </c>
      <c r="F195" s="11" t="str">
        <f t="shared" si="22"/>
        <v>Nov</v>
      </c>
      <c r="G195" s="11" t="str">
        <f t="shared" si="23"/>
        <v>Nov'24/25</v>
      </c>
      <c r="H195" s="11" t="str">
        <f t="shared" si="24"/>
        <v>Nov'24/25</v>
      </c>
      <c r="I195" s="11">
        <f t="shared" si="25"/>
        <v>154.16882476360243</v>
      </c>
    </row>
    <row r="196" spans="2:9" x14ac:dyDescent="0.55000000000000004">
      <c r="B196" s="11">
        <f t="shared" si="26"/>
        <v>11</v>
      </c>
      <c r="C196" s="11">
        <f t="shared" si="27"/>
        <v>3</v>
      </c>
      <c r="D196" s="12">
        <f t="shared" si="20"/>
        <v>11809533.333333334</v>
      </c>
      <c r="E196" s="11" t="str">
        <f t="shared" si="21"/>
        <v>24/25</v>
      </c>
      <c r="F196" s="11" t="str">
        <f t="shared" si="22"/>
        <v>Dec</v>
      </c>
      <c r="G196" s="11" t="str">
        <f t="shared" si="23"/>
        <v>Dec'24/25</v>
      </c>
      <c r="H196" s="11" t="str">
        <f t="shared" si="24"/>
        <v>Dec'24/25</v>
      </c>
      <c r="I196" s="11">
        <f t="shared" si="25"/>
        <v>152.42738299999999</v>
      </c>
    </row>
    <row r="197" spans="2:9" x14ac:dyDescent="0.55000000000000004">
      <c r="B197" s="11">
        <f t="shared" si="26"/>
        <v>11</v>
      </c>
      <c r="C197" s="11">
        <f t="shared" si="27"/>
        <v>4</v>
      </c>
      <c r="D197" s="12">
        <f t="shared" si="20"/>
        <v>13087433.333333336</v>
      </c>
      <c r="E197" s="11" t="str">
        <f t="shared" si="21"/>
        <v>24/25</v>
      </c>
      <c r="F197" s="11" t="str">
        <f t="shared" si="22"/>
        <v>Jan</v>
      </c>
      <c r="G197" s="11" t="str">
        <f t="shared" si="23"/>
        <v>Jan'24/25</v>
      </c>
      <c r="H197" s="11" t="str">
        <f t="shared" si="24"/>
        <v>Jan'24/25</v>
      </c>
      <c r="I197" s="11">
        <f t="shared" si="25"/>
        <v>151.68578300000004</v>
      </c>
    </row>
    <row r="198" spans="2:9" x14ac:dyDescent="0.55000000000000004">
      <c r="B198" s="11">
        <f t="shared" si="26"/>
        <v>11</v>
      </c>
      <c r="C198" s="11">
        <f t="shared" si="27"/>
        <v>5</v>
      </c>
      <c r="D198" s="12">
        <f t="shared" si="20"/>
        <v>12776266.666666668</v>
      </c>
      <c r="E198" s="11" t="str">
        <f t="shared" si="21"/>
        <v>24/25</v>
      </c>
      <c r="F198" s="11" t="str">
        <f t="shared" si="22"/>
        <v>Feb</v>
      </c>
      <c r="G198" s="11" t="str">
        <f t="shared" si="23"/>
        <v>Feb'24/25</v>
      </c>
      <c r="H198" s="11" t="str">
        <f t="shared" si="24"/>
        <v>Feb'24/25</v>
      </c>
      <c r="I198" s="11">
        <f t="shared" si="25"/>
        <v>151.61068299999999</v>
      </c>
    </row>
    <row r="199" spans="2:9" x14ac:dyDescent="0.55000000000000004">
      <c r="B199" s="11">
        <f t="shared" si="26"/>
        <v>11</v>
      </c>
      <c r="C199" s="11">
        <f t="shared" si="27"/>
        <v>6</v>
      </c>
      <c r="D199" s="12">
        <f t="shared" si="20"/>
        <v>14938466.666666668</v>
      </c>
      <c r="E199" s="11" t="str">
        <f t="shared" si="21"/>
        <v>24/25</v>
      </c>
      <c r="F199" s="11" t="str">
        <f t="shared" si="22"/>
        <v>Mar</v>
      </c>
      <c r="G199" s="11" t="str">
        <f t="shared" si="23"/>
        <v>Mar'24/25</v>
      </c>
      <c r="H199" s="11" t="str">
        <f t="shared" si="24"/>
        <v>Mar'24/25</v>
      </c>
      <c r="I199" s="11">
        <f t="shared" si="25"/>
        <v>153.06404966666665</v>
      </c>
    </row>
    <row r="200" spans="2:9" x14ac:dyDescent="0.55000000000000004">
      <c r="B200" s="11">
        <f t="shared" si="26"/>
        <v>11</v>
      </c>
      <c r="C200" s="11">
        <f t="shared" si="27"/>
        <v>7</v>
      </c>
      <c r="D200" s="12">
        <f t="shared" si="20"/>
        <v>13238250</v>
      </c>
      <c r="E200" s="11" t="str">
        <f t="shared" si="21"/>
        <v>24/25</v>
      </c>
      <c r="F200" s="11" t="str">
        <f t="shared" si="22"/>
        <v>Apr</v>
      </c>
      <c r="G200" s="11" t="str">
        <f t="shared" si="23"/>
        <v>Apr'24/25</v>
      </c>
      <c r="H200" s="11" t="str">
        <f t="shared" si="24"/>
        <v>Apr'24/25</v>
      </c>
      <c r="I200" s="11">
        <f t="shared" si="25"/>
        <v>152.26404966666669</v>
      </c>
    </row>
    <row r="201" spans="2:9" x14ac:dyDescent="0.55000000000000004">
      <c r="B201" s="11">
        <f t="shared" si="26"/>
        <v>11</v>
      </c>
      <c r="C201" s="11">
        <f t="shared" si="27"/>
        <v>8</v>
      </c>
      <c r="D201" s="12">
        <f t="shared" si="20"/>
        <v>13465616.666666668</v>
      </c>
      <c r="E201" s="11" t="str">
        <f t="shared" si="21"/>
        <v>24/25</v>
      </c>
      <c r="F201" s="11" t="str">
        <f t="shared" si="22"/>
        <v>May</v>
      </c>
      <c r="G201" s="11" t="str">
        <f t="shared" si="23"/>
        <v>May'24/25</v>
      </c>
      <c r="H201" s="11" t="str">
        <f t="shared" si="24"/>
        <v>May'24/25</v>
      </c>
      <c r="I201" s="11">
        <f t="shared" si="25"/>
        <v>152.399833</v>
      </c>
    </row>
    <row r="202" spans="2:9" x14ac:dyDescent="0.55000000000000004">
      <c r="B202" s="11">
        <f t="shared" si="26"/>
        <v>11</v>
      </c>
      <c r="C202" s="11">
        <f t="shared" si="27"/>
        <v>9</v>
      </c>
      <c r="D202" s="12">
        <f t="shared" si="20"/>
        <v>11940616.666666668</v>
      </c>
      <c r="E202" s="11" t="str">
        <f t="shared" si="21"/>
        <v>24/25</v>
      </c>
      <c r="F202" s="11" t="str">
        <f t="shared" si="22"/>
        <v>Jun</v>
      </c>
      <c r="G202" s="11" t="str">
        <f t="shared" si="23"/>
        <v>Jun'24/25</v>
      </c>
      <c r="H202" s="11" t="str">
        <f t="shared" si="24"/>
        <v>Jun'24/25</v>
      </c>
      <c r="I202" s="11">
        <f t="shared" si="25"/>
        <v>152.328383</v>
      </c>
    </row>
    <row r="203" spans="2:9" x14ac:dyDescent="0.55000000000000004">
      <c r="B203" s="11">
        <f t="shared" si="26"/>
        <v>11</v>
      </c>
      <c r="C203" s="11">
        <f t="shared" si="27"/>
        <v>10</v>
      </c>
      <c r="D203" s="12">
        <f t="shared" ref="D203:D229" si="28">INDEX($C$7:$N$19,MATCH(B203,$A$7:$A$19),MATCH(C203,$C$4:$N$4))</f>
        <v>12149850</v>
      </c>
      <c r="E203" s="11" t="str">
        <f t="shared" ref="E203:E229" si="29">_xlfn.XLOOKUP(B203,$A$7:$A$19,$B$7:$B$19)</f>
        <v>24/25</v>
      </c>
      <c r="F203" s="11" t="str">
        <f t="shared" ref="F203:F229" si="30">_xlfn.XLOOKUP(C203,$C$4:$N$4,$C$6:$N$6)</f>
        <v>Jul</v>
      </c>
      <c r="G203" s="11" t="str">
        <f t="shared" ref="G203:G229" si="31">_xlfn.CONCAT(F203,"'",E203)</f>
        <v>Jul'24/25</v>
      </c>
      <c r="H203" s="11" t="str">
        <f t="shared" si="24"/>
        <v>Jul'24/25</v>
      </c>
      <c r="I203" s="11">
        <f t="shared" si="25"/>
        <v>151.95398300000002</v>
      </c>
    </row>
    <row r="204" spans="2:9" x14ac:dyDescent="0.55000000000000004">
      <c r="B204" s="11">
        <f t="shared" si="26"/>
        <v>11</v>
      </c>
      <c r="C204" s="11">
        <f t="shared" si="27"/>
        <v>11</v>
      </c>
      <c r="D204" s="12">
        <f t="shared" si="28"/>
        <v>10918183</v>
      </c>
      <c r="E204" s="11" t="str">
        <f t="shared" si="29"/>
        <v>24/25</v>
      </c>
      <c r="F204" s="11" t="str">
        <f t="shared" si="30"/>
        <v>Aug</v>
      </c>
      <c r="G204" s="11" t="str">
        <f t="shared" si="31"/>
        <v>Aug'24/25</v>
      </c>
      <c r="H204" s="11" t="str">
        <f t="shared" si="24"/>
        <v>Aug'24/25</v>
      </c>
      <c r="I204" s="11">
        <f t="shared" si="25"/>
        <v>150.76399933333337</v>
      </c>
    </row>
    <row r="205" spans="2:9" x14ac:dyDescent="0.55000000000000004">
      <c r="B205" s="11">
        <f t="shared" si="26"/>
        <v>11</v>
      </c>
      <c r="C205" s="11">
        <f t="shared" si="27"/>
        <v>12</v>
      </c>
      <c r="D205" s="12">
        <f t="shared" si="28"/>
        <v>11755966.666666668</v>
      </c>
      <c r="E205" s="11" t="str">
        <f t="shared" si="29"/>
        <v>24/25</v>
      </c>
      <c r="F205" s="11" t="str">
        <f t="shared" si="30"/>
        <v>Sep</v>
      </c>
      <c r="G205" s="11" t="str">
        <f t="shared" si="31"/>
        <v>Sep'24/25</v>
      </c>
      <c r="H205" s="11" t="str">
        <f t="shared" si="24"/>
        <v>Sep'24/25</v>
      </c>
      <c r="I205" s="11">
        <f t="shared" si="25"/>
        <v>150.56621600000003</v>
      </c>
    </row>
    <row r="206" spans="2:9" x14ac:dyDescent="0.55000000000000004">
      <c r="B206" s="11">
        <f t="shared" si="26"/>
        <v>12</v>
      </c>
      <c r="C206" s="11">
        <f t="shared" si="27"/>
        <v>1</v>
      </c>
      <c r="D206" s="12">
        <f t="shared" si="28"/>
        <v>10567150</v>
      </c>
      <c r="E206" s="11" t="str">
        <f t="shared" si="29"/>
        <v>25/26</v>
      </c>
      <c r="F206" s="11" t="str">
        <f t="shared" si="30"/>
        <v>Oct</v>
      </c>
      <c r="G206" s="11" t="str">
        <f t="shared" si="31"/>
        <v>Oct'25/26</v>
      </c>
      <c r="H206" s="11" t="str">
        <f t="shared" si="24"/>
        <v>Oct'25/26</v>
      </c>
      <c r="I206" s="11">
        <f t="shared" si="25"/>
        <v>148.53729966666668</v>
      </c>
    </row>
    <row r="207" spans="2:9" x14ac:dyDescent="0.55000000000000004">
      <c r="B207" s="11">
        <f t="shared" si="26"/>
        <v>12</v>
      </c>
      <c r="C207" s="11">
        <f t="shared" si="27"/>
        <v>2</v>
      </c>
      <c r="D207" s="12">
        <f t="shared" si="28"/>
        <v>8871933.2524816655</v>
      </c>
      <c r="E207" s="11" t="str">
        <f t="shared" si="29"/>
        <v>25/26</v>
      </c>
      <c r="F207" s="11" t="str">
        <f t="shared" si="30"/>
        <v>Nov</v>
      </c>
      <c r="G207" s="11" t="str">
        <f t="shared" si="31"/>
        <v>Nov'25/26</v>
      </c>
      <c r="H207" s="11" t="str">
        <f t="shared" si="24"/>
        <v>Nov'25/26</v>
      </c>
      <c r="I207" s="11">
        <f t="shared" si="25"/>
        <v>145.51926625248169</v>
      </c>
    </row>
    <row r="208" spans="2:9" x14ac:dyDescent="0.55000000000000004">
      <c r="B208" s="11">
        <f t="shared" si="26"/>
        <v>12</v>
      </c>
      <c r="C208" s="11">
        <f t="shared" si="27"/>
        <v>3</v>
      </c>
      <c r="D208" s="12">
        <f t="shared" si="28"/>
        <v>9594239.5027983338</v>
      </c>
      <c r="E208" s="11" t="str">
        <f t="shared" si="29"/>
        <v>25/26</v>
      </c>
      <c r="F208" s="11" t="str">
        <f t="shared" si="30"/>
        <v>Dec</v>
      </c>
      <c r="G208" s="11" t="str">
        <f t="shared" si="31"/>
        <v>Dec'25/26</v>
      </c>
      <c r="H208" s="11" t="str">
        <f t="shared" si="24"/>
        <v>Dec'25/26</v>
      </c>
      <c r="I208" s="11">
        <f t="shared" si="25"/>
        <v>143.3039724219467</v>
      </c>
    </row>
    <row r="209" spans="2:9" x14ac:dyDescent="0.55000000000000004">
      <c r="B209" s="11">
        <f t="shared" si="26"/>
        <v>12</v>
      </c>
      <c r="C209" s="11">
        <f t="shared" si="27"/>
        <v>4</v>
      </c>
      <c r="D209" s="12">
        <f t="shared" si="28"/>
        <v>9591414</v>
      </c>
      <c r="E209" s="11" t="str">
        <f t="shared" si="29"/>
        <v>25/26</v>
      </c>
      <c r="F209" s="11" t="str">
        <f t="shared" si="30"/>
        <v>Jan</v>
      </c>
      <c r="G209" s="11" t="str">
        <f t="shared" si="31"/>
        <v>Jan'25/26</v>
      </c>
      <c r="H209" s="11" t="str">
        <f t="shared" si="24"/>
        <v>Jan'25/26</v>
      </c>
      <c r="I209" s="11">
        <f t="shared" si="25"/>
        <v>139.80795308861335</v>
      </c>
    </row>
    <row r="210" spans="2:9" x14ac:dyDescent="0.55000000000000004">
      <c r="B210" s="11">
        <f t="shared" si="26"/>
        <v>12</v>
      </c>
      <c r="C210" s="11">
        <f t="shared" si="27"/>
        <v>5</v>
      </c>
      <c r="D210" s="12">
        <f t="shared" si="28"/>
        <v>8393792.333333334</v>
      </c>
      <c r="E210" s="11" t="str">
        <f t="shared" si="29"/>
        <v>25/26</v>
      </c>
      <c r="F210" s="11" t="str">
        <f t="shared" si="30"/>
        <v>Feb</v>
      </c>
      <c r="G210" s="11" t="str">
        <f t="shared" si="31"/>
        <v>Feb'25/26</v>
      </c>
      <c r="H210" s="11" t="str">
        <f t="shared" si="24"/>
        <v>Feb'25/26</v>
      </c>
      <c r="I210" s="11">
        <f t="shared" si="25"/>
        <v>135.42547875528001</v>
      </c>
    </row>
    <row r="211" spans="2:9" x14ac:dyDescent="0.55000000000000004">
      <c r="B211" s="11">
        <f t="shared" si="26"/>
        <v>12</v>
      </c>
      <c r="C211" s="11">
        <f t="shared" si="27"/>
        <v>6</v>
      </c>
      <c r="D211" s="12">
        <f t="shared" si="28"/>
        <v>9569299.3333333321</v>
      </c>
      <c r="E211" s="11" t="str">
        <f t="shared" si="29"/>
        <v>25/26</v>
      </c>
      <c r="F211" s="11" t="str">
        <f t="shared" si="30"/>
        <v>Mar</v>
      </c>
      <c r="G211" s="11" t="str">
        <f t="shared" si="31"/>
        <v>Mar'25/26</v>
      </c>
      <c r="H211" s="11" t="str">
        <f t="shared" si="24"/>
        <v>Mar'25/26</v>
      </c>
      <c r="I211" s="11">
        <f t="shared" si="25"/>
        <v>130.05631142194665</v>
      </c>
    </row>
    <row r="212" spans="2:9" x14ac:dyDescent="0.55000000000000004">
      <c r="B212" s="11">
        <f t="shared" si="26"/>
        <v>12</v>
      </c>
      <c r="C212" s="11">
        <f t="shared" si="27"/>
        <v>7</v>
      </c>
      <c r="D212" s="12">
        <f t="shared" si="28"/>
        <v>9619436</v>
      </c>
      <c r="E212" s="11" t="str">
        <f t="shared" si="29"/>
        <v>25/26</v>
      </c>
      <c r="F212" s="11" t="str">
        <f t="shared" si="30"/>
        <v>Apr</v>
      </c>
      <c r="G212" s="11" t="str">
        <f t="shared" si="31"/>
        <v>Apr'25/26</v>
      </c>
      <c r="H212" s="11" t="str">
        <f t="shared" si="24"/>
        <v>Apr'25/26</v>
      </c>
      <c r="I212" s="11">
        <f t="shared" si="25"/>
        <v>126.43749742194666</v>
      </c>
    </row>
    <row r="213" spans="2:9" x14ac:dyDescent="0.55000000000000004">
      <c r="B213" s="11">
        <f t="shared" si="26"/>
        <v>12</v>
      </c>
      <c r="C213" s="11">
        <f t="shared" si="27"/>
        <v>8</v>
      </c>
      <c r="D213" s="12" t="e">
        <f t="shared" si="28"/>
        <v>#N/A</v>
      </c>
      <c r="E213" s="11" t="str">
        <f t="shared" si="29"/>
        <v>25/26</v>
      </c>
      <c r="F213" s="11" t="str">
        <f t="shared" si="30"/>
        <v>May</v>
      </c>
      <c r="G213" s="11" t="str">
        <f t="shared" si="31"/>
        <v>May'25/26</v>
      </c>
      <c r="H213" s="11" t="str">
        <f t="shared" si="24"/>
        <v>May'25/26</v>
      </c>
      <c r="I213" s="11" t="e">
        <f t="shared" si="25"/>
        <v>#N/A</v>
      </c>
    </row>
    <row r="214" spans="2:9" x14ac:dyDescent="0.55000000000000004">
      <c r="B214" s="11">
        <f t="shared" si="26"/>
        <v>12</v>
      </c>
      <c r="C214" s="11">
        <f t="shared" si="27"/>
        <v>9</v>
      </c>
      <c r="D214" s="12" t="e">
        <f t="shared" si="28"/>
        <v>#N/A</v>
      </c>
      <c r="E214" s="11" t="str">
        <f t="shared" si="29"/>
        <v>25/26</v>
      </c>
      <c r="F214" s="11" t="str">
        <f t="shared" si="30"/>
        <v>Jun</v>
      </c>
      <c r="G214" s="11" t="str">
        <f t="shared" si="31"/>
        <v>Jun'25/26</v>
      </c>
      <c r="H214" s="11" t="str">
        <f t="shared" ref="H214:H229" si="32">G214</f>
        <v>Jun'25/26</v>
      </c>
      <c r="I214" s="11" t="e">
        <f t="shared" ref="I214:I229" si="33">SUM(D203:D214)/1000000</f>
        <v>#N/A</v>
      </c>
    </row>
    <row r="215" spans="2:9" x14ac:dyDescent="0.55000000000000004">
      <c r="B215" s="11">
        <f t="shared" ref="B215:B229" si="34">B203+1</f>
        <v>12</v>
      </c>
      <c r="C215" s="11">
        <f t="shared" ref="C215:C229" si="35">C203</f>
        <v>10</v>
      </c>
      <c r="D215" s="12" t="e">
        <f t="shared" si="28"/>
        <v>#N/A</v>
      </c>
      <c r="E215" s="11" t="str">
        <f t="shared" si="29"/>
        <v>25/26</v>
      </c>
      <c r="F215" s="11" t="str">
        <f t="shared" si="30"/>
        <v>Jul</v>
      </c>
      <c r="G215" s="11" t="str">
        <f t="shared" si="31"/>
        <v>Jul'25/26</v>
      </c>
      <c r="H215" s="11" t="str">
        <f t="shared" si="32"/>
        <v>Jul'25/26</v>
      </c>
      <c r="I215" s="11" t="e">
        <f t="shared" si="33"/>
        <v>#N/A</v>
      </c>
    </row>
    <row r="216" spans="2:9" x14ac:dyDescent="0.55000000000000004">
      <c r="B216" s="11">
        <f t="shared" si="34"/>
        <v>12</v>
      </c>
      <c r="C216" s="11">
        <f t="shared" si="35"/>
        <v>11</v>
      </c>
      <c r="D216" s="12" t="e">
        <f t="shared" si="28"/>
        <v>#N/A</v>
      </c>
      <c r="E216" s="11" t="str">
        <f t="shared" si="29"/>
        <v>25/26</v>
      </c>
      <c r="F216" s="11" t="str">
        <f t="shared" si="30"/>
        <v>Aug</v>
      </c>
      <c r="G216" s="11" t="str">
        <f t="shared" si="31"/>
        <v>Aug'25/26</v>
      </c>
      <c r="H216" s="11" t="str">
        <f t="shared" si="32"/>
        <v>Aug'25/26</v>
      </c>
      <c r="I216" s="11" t="e">
        <f t="shared" si="33"/>
        <v>#N/A</v>
      </c>
    </row>
    <row r="217" spans="2:9" x14ac:dyDescent="0.55000000000000004">
      <c r="B217" s="11">
        <f t="shared" si="34"/>
        <v>12</v>
      </c>
      <c r="C217" s="11">
        <f t="shared" si="35"/>
        <v>12</v>
      </c>
      <c r="D217" s="12" t="e">
        <f t="shared" si="28"/>
        <v>#N/A</v>
      </c>
      <c r="E217" s="11" t="str">
        <f t="shared" si="29"/>
        <v>25/26</v>
      </c>
      <c r="F217" s="11" t="str">
        <f t="shared" si="30"/>
        <v>Sep</v>
      </c>
      <c r="G217" s="11" t="str">
        <f t="shared" si="31"/>
        <v>Sep'25/26</v>
      </c>
      <c r="H217" s="11" t="str">
        <f t="shared" si="32"/>
        <v>Sep'25/26</v>
      </c>
      <c r="I217" s="11" t="e">
        <f t="shared" si="33"/>
        <v>#N/A</v>
      </c>
    </row>
    <row r="218" spans="2:9" x14ac:dyDescent="0.55000000000000004">
      <c r="B218" s="11">
        <f t="shared" si="34"/>
        <v>13</v>
      </c>
      <c r="C218" s="11">
        <f t="shared" si="35"/>
        <v>1</v>
      </c>
      <c r="D218" s="12" t="e">
        <f t="shared" si="28"/>
        <v>#N/A</v>
      </c>
      <c r="E218" s="11" t="str">
        <f t="shared" si="29"/>
        <v>26/27</v>
      </c>
      <c r="F218" s="11" t="str">
        <f t="shared" si="30"/>
        <v>Oct</v>
      </c>
      <c r="G218" s="11" t="str">
        <f t="shared" si="31"/>
        <v>Oct'26/27</v>
      </c>
      <c r="H218" s="11" t="str">
        <f t="shared" si="32"/>
        <v>Oct'26/27</v>
      </c>
      <c r="I218" s="11" t="e">
        <f t="shared" si="33"/>
        <v>#N/A</v>
      </c>
    </row>
    <row r="219" spans="2:9" x14ac:dyDescent="0.55000000000000004">
      <c r="B219" s="11">
        <f t="shared" si="34"/>
        <v>13</v>
      </c>
      <c r="C219" s="11">
        <f t="shared" si="35"/>
        <v>2</v>
      </c>
      <c r="D219" s="12" t="e">
        <f t="shared" si="28"/>
        <v>#N/A</v>
      </c>
      <c r="E219" s="11" t="str">
        <f t="shared" si="29"/>
        <v>26/27</v>
      </c>
      <c r="F219" s="11" t="str">
        <f t="shared" si="30"/>
        <v>Nov</v>
      </c>
      <c r="G219" s="11" t="str">
        <f t="shared" si="31"/>
        <v>Nov'26/27</v>
      </c>
      <c r="H219" s="11" t="str">
        <f t="shared" si="32"/>
        <v>Nov'26/27</v>
      </c>
      <c r="I219" s="11" t="e">
        <f t="shared" si="33"/>
        <v>#N/A</v>
      </c>
    </row>
    <row r="220" spans="2:9" x14ac:dyDescent="0.55000000000000004">
      <c r="B220" s="11">
        <f t="shared" si="34"/>
        <v>13</v>
      </c>
      <c r="C220" s="11">
        <f t="shared" si="35"/>
        <v>3</v>
      </c>
      <c r="D220" s="12" t="e">
        <f t="shared" si="28"/>
        <v>#N/A</v>
      </c>
      <c r="E220" s="11" t="str">
        <f t="shared" si="29"/>
        <v>26/27</v>
      </c>
      <c r="F220" s="11" t="str">
        <f t="shared" si="30"/>
        <v>Dec</v>
      </c>
      <c r="G220" s="11" t="str">
        <f t="shared" si="31"/>
        <v>Dec'26/27</v>
      </c>
      <c r="H220" s="11" t="str">
        <f t="shared" si="32"/>
        <v>Dec'26/27</v>
      </c>
      <c r="I220" s="11" t="e">
        <f t="shared" si="33"/>
        <v>#N/A</v>
      </c>
    </row>
    <row r="221" spans="2:9" x14ac:dyDescent="0.55000000000000004">
      <c r="B221" s="11">
        <f t="shared" si="34"/>
        <v>13</v>
      </c>
      <c r="C221" s="11">
        <f t="shared" si="35"/>
        <v>4</v>
      </c>
      <c r="D221" s="12" t="e">
        <f t="shared" si="28"/>
        <v>#N/A</v>
      </c>
      <c r="E221" s="11" t="str">
        <f t="shared" si="29"/>
        <v>26/27</v>
      </c>
      <c r="F221" s="11" t="str">
        <f t="shared" si="30"/>
        <v>Jan</v>
      </c>
      <c r="G221" s="11" t="str">
        <f t="shared" si="31"/>
        <v>Jan'26/27</v>
      </c>
      <c r="H221" s="11" t="str">
        <f t="shared" si="32"/>
        <v>Jan'26/27</v>
      </c>
      <c r="I221" s="11" t="e">
        <f t="shared" si="33"/>
        <v>#N/A</v>
      </c>
    </row>
    <row r="222" spans="2:9" x14ac:dyDescent="0.55000000000000004">
      <c r="B222" s="11">
        <f t="shared" si="34"/>
        <v>13</v>
      </c>
      <c r="C222" s="11">
        <f t="shared" si="35"/>
        <v>5</v>
      </c>
      <c r="D222" s="12" t="e">
        <f t="shared" si="28"/>
        <v>#N/A</v>
      </c>
      <c r="E222" s="11" t="str">
        <f t="shared" si="29"/>
        <v>26/27</v>
      </c>
      <c r="F222" s="11" t="str">
        <f t="shared" si="30"/>
        <v>Feb</v>
      </c>
      <c r="G222" s="11" t="str">
        <f t="shared" si="31"/>
        <v>Feb'26/27</v>
      </c>
      <c r="H222" s="11" t="str">
        <f t="shared" si="32"/>
        <v>Feb'26/27</v>
      </c>
      <c r="I222" s="11" t="e">
        <f t="shared" si="33"/>
        <v>#N/A</v>
      </c>
    </row>
    <row r="223" spans="2:9" x14ac:dyDescent="0.55000000000000004">
      <c r="B223" s="11">
        <f t="shared" si="34"/>
        <v>13</v>
      </c>
      <c r="C223" s="11">
        <f t="shared" si="35"/>
        <v>6</v>
      </c>
      <c r="D223" s="12" t="e">
        <f t="shared" si="28"/>
        <v>#N/A</v>
      </c>
      <c r="E223" s="11" t="str">
        <f t="shared" si="29"/>
        <v>26/27</v>
      </c>
      <c r="F223" s="11" t="str">
        <f t="shared" si="30"/>
        <v>Mar</v>
      </c>
      <c r="G223" s="11" t="str">
        <f t="shared" si="31"/>
        <v>Mar'26/27</v>
      </c>
      <c r="H223" s="11" t="str">
        <f t="shared" si="32"/>
        <v>Mar'26/27</v>
      </c>
      <c r="I223" s="11" t="e">
        <f t="shared" si="33"/>
        <v>#N/A</v>
      </c>
    </row>
    <row r="224" spans="2:9" x14ac:dyDescent="0.55000000000000004">
      <c r="B224" s="11">
        <f t="shared" si="34"/>
        <v>13</v>
      </c>
      <c r="C224" s="11">
        <f t="shared" si="35"/>
        <v>7</v>
      </c>
      <c r="D224" s="12" t="e">
        <f t="shared" si="28"/>
        <v>#N/A</v>
      </c>
      <c r="E224" s="11" t="str">
        <f t="shared" si="29"/>
        <v>26/27</v>
      </c>
      <c r="F224" s="11" t="str">
        <f t="shared" si="30"/>
        <v>Apr</v>
      </c>
      <c r="G224" s="11" t="str">
        <f t="shared" si="31"/>
        <v>Apr'26/27</v>
      </c>
      <c r="H224" s="11" t="str">
        <f t="shared" si="32"/>
        <v>Apr'26/27</v>
      </c>
      <c r="I224" s="11" t="e">
        <f t="shared" si="33"/>
        <v>#N/A</v>
      </c>
    </row>
    <row r="225" spans="2:9" x14ac:dyDescent="0.55000000000000004">
      <c r="B225" s="11">
        <f t="shared" si="34"/>
        <v>13</v>
      </c>
      <c r="C225" s="11">
        <f t="shared" si="35"/>
        <v>8</v>
      </c>
      <c r="D225" s="12" t="e">
        <f t="shared" si="28"/>
        <v>#N/A</v>
      </c>
      <c r="E225" s="11" t="str">
        <f t="shared" si="29"/>
        <v>26/27</v>
      </c>
      <c r="F225" s="11" t="str">
        <f t="shared" si="30"/>
        <v>May</v>
      </c>
      <c r="G225" s="11" t="str">
        <f t="shared" si="31"/>
        <v>May'26/27</v>
      </c>
      <c r="H225" s="11" t="str">
        <f t="shared" si="32"/>
        <v>May'26/27</v>
      </c>
      <c r="I225" s="11" t="e">
        <f t="shared" si="33"/>
        <v>#N/A</v>
      </c>
    </row>
    <row r="226" spans="2:9" x14ac:dyDescent="0.55000000000000004">
      <c r="B226" s="11">
        <f t="shared" si="34"/>
        <v>13</v>
      </c>
      <c r="C226" s="11">
        <f t="shared" si="35"/>
        <v>9</v>
      </c>
      <c r="D226" s="12" t="e">
        <f t="shared" si="28"/>
        <v>#N/A</v>
      </c>
      <c r="E226" s="11" t="str">
        <f t="shared" si="29"/>
        <v>26/27</v>
      </c>
      <c r="F226" s="11" t="str">
        <f t="shared" si="30"/>
        <v>Jun</v>
      </c>
      <c r="G226" s="11" t="str">
        <f t="shared" si="31"/>
        <v>Jun'26/27</v>
      </c>
      <c r="H226" s="11" t="str">
        <f t="shared" si="32"/>
        <v>Jun'26/27</v>
      </c>
      <c r="I226" s="11" t="e">
        <f t="shared" si="33"/>
        <v>#N/A</v>
      </c>
    </row>
    <row r="227" spans="2:9" x14ac:dyDescent="0.55000000000000004">
      <c r="B227" s="11">
        <f t="shared" si="34"/>
        <v>13</v>
      </c>
      <c r="C227" s="11">
        <f t="shared" si="35"/>
        <v>10</v>
      </c>
      <c r="D227" s="12" t="e">
        <f t="shared" si="28"/>
        <v>#N/A</v>
      </c>
      <c r="E227" s="11" t="str">
        <f t="shared" si="29"/>
        <v>26/27</v>
      </c>
      <c r="F227" s="11" t="str">
        <f t="shared" si="30"/>
        <v>Jul</v>
      </c>
      <c r="G227" s="11" t="str">
        <f t="shared" si="31"/>
        <v>Jul'26/27</v>
      </c>
      <c r="H227" s="11" t="str">
        <f t="shared" si="32"/>
        <v>Jul'26/27</v>
      </c>
      <c r="I227" s="11" t="e">
        <f t="shared" si="33"/>
        <v>#N/A</v>
      </c>
    </row>
    <row r="228" spans="2:9" x14ac:dyDescent="0.55000000000000004">
      <c r="B228" s="11">
        <f t="shared" si="34"/>
        <v>13</v>
      </c>
      <c r="C228" s="11">
        <f t="shared" si="35"/>
        <v>11</v>
      </c>
      <c r="D228" s="12" t="e">
        <f t="shared" si="28"/>
        <v>#N/A</v>
      </c>
      <c r="E228" s="11" t="str">
        <f t="shared" si="29"/>
        <v>26/27</v>
      </c>
      <c r="F228" s="11" t="str">
        <f t="shared" si="30"/>
        <v>Aug</v>
      </c>
      <c r="G228" s="11" t="str">
        <f t="shared" si="31"/>
        <v>Aug'26/27</v>
      </c>
      <c r="H228" s="11" t="str">
        <f t="shared" si="32"/>
        <v>Aug'26/27</v>
      </c>
      <c r="I228" s="11" t="e">
        <f t="shared" si="33"/>
        <v>#N/A</v>
      </c>
    </row>
    <row r="229" spans="2:9" x14ac:dyDescent="0.55000000000000004">
      <c r="B229" s="11">
        <f t="shared" si="34"/>
        <v>13</v>
      </c>
      <c r="C229" s="11">
        <f t="shared" si="35"/>
        <v>12</v>
      </c>
      <c r="D229" s="12" t="e">
        <f t="shared" si="28"/>
        <v>#N/A</v>
      </c>
      <c r="E229" s="11" t="str">
        <f t="shared" si="29"/>
        <v>26/27</v>
      </c>
      <c r="F229" s="11" t="str">
        <f t="shared" si="30"/>
        <v>Sep</v>
      </c>
      <c r="G229" s="11" t="str">
        <f t="shared" si="31"/>
        <v>Sep'26/27</v>
      </c>
      <c r="H229" s="11" t="str">
        <f t="shared" si="32"/>
        <v>Sep'26/27</v>
      </c>
      <c r="I229" s="11" t="e">
        <f t="shared" si="33"/>
        <v>#N/A</v>
      </c>
    </row>
  </sheetData>
  <mergeCells count="6">
    <mergeCell ref="A1:Y2"/>
    <mergeCell ref="C5:N5"/>
    <mergeCell ref="S6:U6"/>
    <mergeCell ref="N74:Y74"/>
    <mergeCell ref="P131:R131"/>
    <mergeCell ref="B58:M58"/>
  </mergeCells>
  <conditionalFormatting sqref="C7:N19">
    <cfRule type="cellIs" dxfId="21" priority="4" operator="greaterThanOrEqual">
      <formula>0</formula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137">
    <cfRule type="cellIs" dxfId="20" priority="2" operator="greaterThanOrEqual">
      <formula>0</formula>
    </cfRule>
    <cfRule type="colorScale" priority="3">
      <colorScale>
        <cfvo type="min"/>
        <cfvo type="max"/>
        <color rgb="FFFCFCFF"/>
        <color rgb="FF63BE7B"/>
      </colorScale>
    </cfRule>
  </conditionalFormatting>
  <conditionalFormatting sqref="Q8:Q1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{5399E058-7416-4B42-AB2E-088E780E1B47}</x14:id>
        </ext>
      </extLst>
    </cfRule>
  </conditionalFormatting>
  <conditionalFormatting sqref="Q1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{AB3E3DC6-87D7-4FB9-AEA4-6384F2D25E91}</x14:id>
        </ext>
      </extLst>
    </cfRule>
  </conditionalFormatting>
  <conditionalFormatting sqref="T7:T1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7:T19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{F205EA65-03AE-4C2E-8154-4BA93371A630}</x14:id>
        </ext>
      </extLst>
    </cfRule>
  </conditionalFormatting>
  <conditionalFormatting sqref="U1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{43BEE0AE-050D-4CA0-8A1C-F120897F26FC}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99E058-7416-4B42-AB2E-088E780E1B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Q8:Q18</xm:sqref>
        </x14:conditionalFormatting>
        <x14:conditionalFormatting xmlns:xm="http://schemas.microsoft.com/office/excel/2006/main">
          <x14:cfRule type="dataBar" id="{AB3E3DC6-87D7-4FB9-AEA4-6384F2D25E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F205EA65-03AE-4C2E-8154-4BA93371A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43BEE0AE-050D-4CA0-8A1C-F120897F2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58B4-A3AB-4213-99EA-5A5B77D55AB6}">
  <sheetPr codeName="Sheet22"/>
  <dimension ref="B7:P144"/>
  <sheetViews>
    <sheetView zoomScale="70" zoomScaleNormal="70" workbookViewId="0">
      <selection activeCell="D60" sqref="D60"/>
    </sheetView>
  </sheetViews>
  <sheetFormatPr defaultRowHeight="14.4" x14ac:dyDescent="0.55000000000000004"/>
  <cols>
    <col min="3" max="3" width="5.41796875" bestFit="1" customWidth="1"/>
    <col min="4" max="15" width="12.15625" bestFit="1" customWidth="1"/>
  </cols>
  <sheetData>
    <row r="7" spans="2:15" ht="15.6" x14ac:dyDescent="0.6">
      <c r="C7" s="11"/>
      <c r="D7" s="59" t="s">
        <v>1</v>
      </c>
      <c r="E7" s="59" t="s">
        <v>2</v>
      </c>
      <c r="F7" s="59" t="s">
        <v>3</v>
      </c>
      <c r="G7" s="59" t="s">
        <v>4</v>
      </c>
      <c r="H7" s="59" t="s">
        <v>5</v>
      </c>
      <c r="I7" s="59" t="s">
        <v>6</v>
      </c>
      <c r="J7" s="59" t="s">
        <v>7</v>
      </c>
      <c r="K7" s="59" t="s">
        <v>8</v>
      </c>
      <c r="L7" s="59" t="s">
        <v>9</v>
      </c>
      <c r="M7" s="59" t="s">
        <v>10</v>
      </c>
      <c r="N7" s="59" t="s">
        <v>11</v>
      </c>
      <c r="O7" s="59" t="s">
        <v>12</v>
      </c>
    </row>
    <row r="8" spans="2:15" x14ac:dyDescent="0.55000000000000004">
      <c r="C8" s="11" t="s">
        <v>17</v>
      </c>
      <c r="D8" s="60">
        <v>9003483.333333334</v>
      </c>
      <c r="E8" s="60">
        <v>9124466.6666666679</v>
      </c>
      <c r="F8" s="60">
        <v>10191050</v>
      </c>
      <c r="G8" s="60">
        <v>8744183.333333334</v>
      </c>
      <c r="H8" s="60">
        <v>8882583.333333334</v>
      </c>
      <c r="I8" s="60">
        <v>10657183.333333334</v>
      </c>
      <c r="J8" s="60">
        <v>9207983.333333334</v>
      </c>
      <c r="K8" s="60">
        <v>10248000</v>
      </c>
      <c r="L8" s="60">
        <v>9513283.333333334</v>
      </c>
      <c r="M8" s="60">
        <v>9364916.6666666679</v>
      </c>
      <c r="N8" s="60">
        <v>9653016.6666666679</v>
      </c>
      <c r="O8" s="60">
        <v>8965316.6666666679</v>
      </c>
    </row>
    <row r="9" spans="2:15" x14ac:dyDescent="0.55000000000000004">
      <c r="C9" s="11" t="s">
        <v>18</v>
      </c>
      <c r="D9" s="60">
        <v>9075233.333333334</v>
      </c>
      <c r="E9" s="60">
        <v>9114483.333333334</v>
      </c>
      <c r="F9" s="60">
        <v>8609816.6666666679</v>
      </c>
      <c r="G9" s="60">
        <v>9294016.6666666679</v>
      </c>
      <c r="H9" s="60">
        <v>8985750</v>
      </c>
      <c r="I9" s="60">
        <v>9728583.333333334</v>
      </c>
      <c r="J9" s="60">
        <v>9396500</v>
      </c>
      <c r="K9" s="60">
        <v>9301300</v>
      </c>
      <c r="L9" s="60">
        <v>9551416.6666666679</v>
      </c>
      <c r="M9" s="60">
        <v>8372466.666666667</v>
      </c>
      <c r="N9" s="60">
        <v>9232516.6666666679</v>
      </c>
      <c r="O9" s="60">
        <v>9167066.6666666679</v>
      </c>
    </row>
    <row r="10" spans="2:15" x14ac:dyDescent="0.55000000000000004">
      <c r="C10" s="11" t="s">
        <v>19</v>
      </c>
      <c r="D10" s="60">
        <v>9929800</v>
      </c>
      <c r="E10" s="60">
        <v>10413233.333333334</v>
      </c>
      <c r="F10" s="60">
        <v>10222200</v>
      </c>
      <c r="G10" s="60">
        <v>10065750</v>
      </c>
      <c r="H10" s="60">
        <v>10525033.333333334</v>
      </c>
      <c r="I10" s="60">
        <v>11086733.333333334</v>
      </c>
      <c r="J10" s="60">
        <v>10359700</v>
      </c>
      <c r="K10" s="60">
        <v>11541350</v>
      </c>
      <c r="L10" s="60">
        <v>10179416.666666668</v>
      </c>
      <c r="M10" s="60">
        <v>11009716.666666668</v>
      </c>
      <c r="N10" s="60">
        <v>10192300</v>
      </c>
      <c r="O10" s="60">
        <v>10067466.666666668</v>
      </c>
    </row>
    <row r="11" spans="2:15" x14ac:dyDescent="0.55000000000000004">
      <c r="C11" s="11" t="s">
        <v>20</v>
      </c>
      <c r="D11" s="60">
        <v>10158533.333333334</v>
      </c>
      <c r="E11" s="60">
        <v>9687900</v>
      </c>
      <c r="F11" s="60">
        <v>9698716.6666666679</v>
      </c>
      <c r="G11" s="60">
        <v>9405900</v>
      </c>
      <c r="H11" s="60">
        <v>9501916.6666666679</v>
      </c>
      <c r="I11" s="60">
        <v>10558450</v>
      </c>
      <c r="J11" s="60">
        <v>10155133.333333334</v>
      </c>
      <c r="K11" s="60">
        <v>10285900</v>
      </c>
      <c r="L11" s="60">
        <v>9635700</v>
      </c>
      <c r="M11" s="60">
        <v>10312950</v>
      </c>
      <c r="N11" s="60">
        <v>9482650</v>
      </c>
      <c r="O11" s="60">
        <v>10254750</v>
      </c>
    </row>
    <row r="12" spans="2:15" x14ac:dyDescent="0.55000000000000004">
      <c r="C12" s="11" t="s">
        <v>21</v>
      </c>
      <c r="D12" s="60">
        <v>10033733.333333334</v>
      </c>
      <c r="E12" s="60">
        <v>10721633.333333334</v>
      </c>
      <c r="F12" s="60">
        <v>11089700</v>
      </c>
      <c r="G12" s="60">
        <v>9900050</v>
      </c>
      <c r="H12" s="60">
        <v>10270216.666666668</v>
      </c>
      <c r="I12" s="60">
        <v>12337400</v>
      </c>
      <c r="J12" s="60">
        <v>11152483.333333334</v>
      </c>
      <c r="K12" s="60">
        <v>10197933.333333334</v>
      </c>
      <c r="L12" s="60">
        <v>10595183.333333334</v>
      </c>
      <c r="M12" s="60">
        <v>10268583.333333334</v>
      </c>
      <c r="N12" s="60">
        <v>10122500</v>
      </c>
      <c r="O12" s="60">
        <v>10187833.333333334</v>
      </c>
    </row>
    <row r="13" spans="2:15" x14ac:dyDescent="0.55000000000000004">
      <c r="B13" t="s">
        <v>90</v>
      </c>
      <c r="C13" s="11" t="s">
        <v>22</v>
      </c>
      <c r="D13" s="60">
        <v>9908950</v>
      </c>
      <c r="E13" s="60">
        <v>9932933.333333334</v>
      </c>
      <c r="F13" s="60">
        <v>10625383.333333334</v>
      </c>
      <c r="G13" s="60">
        <v>10109716.666666668</v>
      </c>
      <c r="H13" s="60">
        <v>10756483.333333334</v>
      </c>
      <c r="I13" s="60">
        <v>11964783.333333334</v>
      </c>
      <c r="J13" s="60">
        <v>10091933.333333334</v>
      </c>
      <c r="K13" s="60">
        <v>9986716.6666666679</v>
      </c>
      <c r="L13" s="60">
        <v>11263666.666666668</v>
      </c>
      <c r="M13" s="60">
        <v>11988700</v>
      </c>
      <c r="N13" s="60">
        <v>9992350</v>
      </c>
      <c r="O13" s="60">
        <v>10181866.666666668</v>
      </c>
    </row>
    <row r="14" spans="2:15" x14ac:dyDescent="0.55000000000000004">
      <c r="C14" s="11" t="s">
        <v>23</v>
      </c>
      <c r="D14" s="60">
        <v>9995200</v>
      </c>
      <c r="E14" s="60">
        <v>10153416.666666668</v>
      </c>
      <c r="F14" s="60">
        <v>9254250</v>
      </c>
      <c r="G14" s="60">
        <v>18381516.666666668</v>
      </c>
      <c r="H14" s="60">
        <v>17358500</v>
      </c>
      <c r="I14" s="60">
        <v>20666350</v>
      </c>
      <c r="J14" s="60">
        <v>17833666.666666668</v>
      </c>
      <c r="K14" s="60">
        <v>19742900</v>
      </c>
      <c r="L14" s="60">
        <v>19269516.666666668</v>
      </c>
      <c r="M14" s="60">
        <v>18194550</v>
      </c>
      <c r="N14" s="60">
        <v>19656116.666666668</v>
      </c>
      <c r="O14" s="60">
        <v>18864266.666666668</v>
      </c>
    </row>
    <row r="15" spans="2:15" x14ac:dyDescent="0.55000000000000004">
      <c r="C15" s="11" t="s">
        <v>24</v>
      </c>
      <c r="D15" s="60">
        <v>20424533.333333336</v>
      </c>
      <c r="E15" s="60">
        <v>20423216.666666668</v>
      </c>
      <c r="F15" s="60">
        <v>19893700</v>
      </c>
      <c r="G15" s="60">
        <v>9857933.333333334</v>
      </c>
      <c r="H15" s="60">
        <v>10174966.666666668</v>
      </c>
      <c r="I15" s="60">
        <v>10335566.666666668</v>
      </c>
      <c r="J15" s="60">
        <v>11503700</v>
      </c>
      <c r="K15" s="60">
        <v>12007200</v>
      </c>
      <c r="L15" s="60">
        <v>10842033.333333334</v>
      </c>
      <c r="M15" s="60">
        <v>11241216.666666668</v>
      </c>
      <c r="N15" s="60">
        <v>10837933.333333334</v>
      </c>
      <c r="O15" s="60">
        <v>11163783.333333334</v>
      </c>
    </row>
    <row r="16" spans="2:15" x14ac:dyDescent="0.55000000000000004">
      <c r="C16" s="11" t="s">
        <v>25</v>
      </c>
      <c r="D16" s="60">
        <v>11862733.333333334</v>
      </c>
      <c r="E16" s="60">
        <v>10839650</v>
      </c>
      <c r="F16" s="60">
        <v>9709533.333333334</v>
      </c>
      <c r="G16" s="60">
        <v>10854016.666666668</v>
      </c>
      <c r="H16" s="60">
        <v>9945733.333333334</v>
      </c>
      <c r="I16" s="60">
        <v>11919883.333333334</v>
      </c>
      <c r="J16" s="60">
        <v>10461483.333333334</v>
      </c>
      <c r="K16" s="60">
        <v>10986250</v>
      </c>
      <c r="L16" s="60">
        <v>9974233.333333334</v>
      </c>
      <c r="M16" s="60">
        <v>10450200</v>
      </c>
      <c r="N16" s="60">
        <v>9517150</v>
      </c>
      <c r="O16" s="60">
        <v>10404316.666666668</v>
      </c>
    </row>
    <row r="17" spans="2:15" x14ac:dyDescent="0.55000000000000004">
      <c r="C17" s="11" t="s">
        <v>26</v>
      </c>
      <c r="D17" s="60">
        <v>9428550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</row>
    <row r="20" spans="2:15" x14ac:dyDescent="0.55000000000000004">
      <c r="C20" t="s">
        <v>17</v>
      </c>
      <c r="D20" s="61">
        <v>1950616.6666666667</v>
      </c>
      <c r="E20" s="61">
        <v>1909633.3333333335</v>
      </c>
      <c r="F20" s="61">
        <v>2461166.666666667</v>
      </c>
      <c r="G20" s="61">
        <v>3081950</v>
      </c>
      <c r="H20" s="61">
        <v>2798000</v>
      </c>
      <c r="I20" s="61">
        <v>3100166.666666667</v>
      </c>
      <c r="J20" s="61">
        <v>2393333.3333333335</v>
      </c>
      <c r="K20" s="61">
        <v>2128150</v>
      </c>
      <c r="L20" s="61">
        <v>2027766.6666666667</v>
      </c>
      <c r="M20" s="61">
        <v>1680183.3333333335</v>
      </c>
      <c r="N20" s="61">
        <v>1583034.6475507766</v>
      </c>
      <c r="O20" s="61">
        <v>1325000</v>
      </c>
    </row>
    <row r="21" spans="2:15" x14ac:dyDescent="0.55000000000000004">
      <c r="C21" t="s">
        <v>18</v>
      </c>
      <c r="D21" s="61">
        <v>1321033.3333333335</v>
      </c>
      <c r="E21" s="61">
        <v>1745867.9446219383</v>
      </c>
      <c r="F21" s="61">
        <v>2732283.3333333335</v>
      </c>
      <c r="G21" s="61">
        <v>3606450</v>
      </c>
      <c r="H21" s="61">
        <v>2274600</v>
      </c>
      <c r="I21" s="61">
        <v>3508750</v>
      </c>
      <c r="J21" s="61">
        <v>2726150</v>
      </c>
      <c r="K21" s="61">
        <v>2588700</v>
      </c>
      <c r="L21" s="61">
        <v>2597683.3333333335</v>
      </c>
      <c r="M21" s="61">
        <v>2243533.3333333335</v>
      </c>
      <c r="N21" s="61">
        <v>2551583.3333333335</v>
      </c>
      <c r="O21" s="61">
        <v>2010700</v>
      </c>
    </row>
    <row r="22" spans="2:15" x14ac:dyDescent="0.55000000000000004">
      <c r="C22" t="s">
        <v>19</v>
      </c>
      <c r="D22" s="61">
        <v>2295166.666666667</v>
      </c>
      <c r="E22" s="61">
        <v>2321833.3333333335</v>
      </c>
      <c r="F22" s="61">
        <v>2557650</v>
      </c>
      <c r="G22" s="61">
        <v>3360700</v>
      </c>
      <c r="H22" s="61">
        <v>1906966.6666666667</v>
      </c>
      <c r="I22" s="61">
        <v>2863783.3333333335</v>
      </c>
      <c r="J22" s="61">
        <v>2394016.666666667</v>
      </c>
      <c r="K22" s="61">
        <v>2418216.666666667</v>
      </c>
      <c r="L22" s="61">
        <v>2404583.3333333335</v>
      </c>
      <c r="M22" s="61">
        <v>2354700</v>
      </c>
      <c r="N22" s="61">
        <v>1902000</v>
      </c>
      <c r="O22" s="61">
        <v>1538416.6666666667</v>
      </c>
    </row>
    <row r="23" spans="2:15" x14ac:dyDescent="0.55000000000000004">
      <c r="B23" t="s">
        <v>89</v>
      </c>
      <c r="C23" t="s">
        <v>20</v>
      </c>
      <c r="D23" s="61">
        <v>1485116.6666666667</v>
      </c>
      <c r="E23" s="61">
        <v>1867916.6666666667</v>
      </c>
      <c r="F23" s="61">
        <v>3129716.666666667</v>
      </c>
      <c r="G23" s="61">
        <v>2424483.3333333335</v>
      </c>
      <c r="H23" s="61">
        <v>3108966.666666667</v>
      </c>
      <c r="I23" s="61">
        <v>3061633.3333333335</v>
      </c>
      <c r="J23" s="61">
        <v>2784300</v>
      </c>
      <c r="K23" s="61">
        <v>2168933.3333333335</v>
      </c>
      <c r="L23" s="61">
        <v>2127900</v>
      </c>
      <c r="M23" s="61">
        <v>1833750</v>
      </c>
      <c r="N23" s="61">
        <v>1669200</v>
      </c>
      <c r="O23" s="61">
        <v>1662166.6666666667</v>
      </c>
    </row>
    <row r="24" spans="2:15" x14ac:dyDescent="0.55000000000000004">
      <c r="C24" t="s">
        <v>21</v>
      </c>
      <c r="D24" s="61">
        <v>1533600</v>
      </c>
      <c r="E24" s="61">
        <v>1395633.3333333335</v>
      </c>
      <c r="F24" s="61">
        <v>2317433.3333333335</v>
      </c>
      <c r="G24" s="61">
        <v>2676516.666666667</v>
      </c>
      <c r="H24" s="61">
        <v>2050750</v>
      </c>
      <c r="I24" s="61">
        <v>2826833.3333333335</v>
      </c>
      <c r="J24" s="61">
        <v>2200616.666666667</v>
      </c>
      <c r="K24" s="61">
        <v>2170783.3333333335</v>
      </c>
      <c r="L24" s="61">
        <v>2133316.666666667</v>
      </c>
      <c r="M24" s="61">
        <v>2035450</v>
      </c>
      <c r="N24" s="61">
        <v>1861616.6666666667</v>
      </c>
      <c r="O24" s="61">
        <v>1672333.3333333335</v>
      </c>
    </row>
    <row r="25" spans="2:15" x14ac:dyDescent="0.55000000000000004">
      <c r="C25" t="s">
        <v>22</v>
      </c>
      <c r="D25" s="61">
        <v>1654150</v>
      </c>
      <c r="E25" s="61">
        <v>1791216.6666666667</v>
      </c>
      <c r="F25" s="61">
        <v>2822483.3333333335</v>
      </c>
      <c r="G25" s="61">
        <v>3857783.3333333335</v>
      </c>
      <c r="H25" s="61">
        <v>2330200</v>
      </c>
      <c r="I25" s="61">
        <v>3510000</v>
      </c>
      <c r="J25" s="61">
        <v>2620583.3333333335</v>
      </c>
      <c r="K25" s="61">
        <v>2373666.666666667</v>
      </c>
      <c r="L25" s="61">
        <v>2289133.3333333335</v>
      </c>
      <c r="M25" s="61">
        <v>1897533.3333333335</v>
      </c>
      <c r="N25" s="61">
        <v>1875516.6666666667</v>
      </c>
      <c r="O25" s="61">
        <v>1542500</v>
      </c>
    </row>
    <row r="26" spans="2:15" x14ac:dyDescent="0.55000000000000004">
      <c r="C26" t="s">
        <v>23</v>
      </c>
      <c r="D26" s="61">
        <v>1330550</v>
      </c>
      <c r="E26" s="61">
        <v>2140050</v>
      </c>
      <c r="F26" s="61">
        <v>3284616.7</v>
      </c>
      <c r="G26" s="61">
        <v>2798175.3341989308</v>
      </c>
      <c r="H26" s="61">
        <v>2889494.8064211528</v>
      </c>
      <c r="I26" s="61">
        <v>3563541.6944444445</v>
      </c>
      <c r="J26" s="61">
        <v>2790325.027777778</v>
      </c>
      <c r="K26" s="61">
        <v>2533780.3320561945</v>
      </c>
      <c r="L26" s="61">
        <v>2406991.6944444445</v>
      </c>
      <c r="M26" s="61">
        <v>1995386.2104717472</v>
      </c>
      <c r="N26" s="61">
        <v>1563541.6944444445</v>
      </c>
      <c r="O26" s="61">
        <v>912991.6944444445</v>
      </c>
    </row>
    <row r="27" spans="2:15" x14ac:dyDescent="0.55000000000000004">
      <c r="C27" t="s">
        <v>24</v>
      </c>
      <c r="D27" s="61">
        <v>728750</v>
      </c>
      <c r="E27" s="61">
        <v>1988283.3333333335</v>
      </c>
      <c r="F27" s="61">
        <v>3460216.666666667</v>
      </c>
      <c r="G27" s="61">
        <v>3971100</v>
      </c>
      <c r="H27" s="61">
        <v>2676400</v>
      </c>
      <c r="I27" s="61">
        <v>3149533.3333333335</v>
      </c>
      <c r="J27" s="61">
        <v>2534550</v>
      </c>
      <c r="K27" s="61">
        <v>1322633.3333333335</v>
      </c>
      <c r="L27" s="61">
        <v>1170033.3333333335</v>
      </c>
      <c r="M27" s="61">
        <v>1283033.3333333335</v>
      </c>
      <c r="N27" s="61">
        <v>1270233.3333333335</v>
      </c>
      <c r="O27" s="61">
        <v>789966.66666666674</v>
      </c>
    </row>
    <row r="28" spans="2:15" x14ac:dyDescent="0.55000000000000004">
      <c r="C28" t="s">
        <v>25</v>
      </c>
      <c r="D28" s="61">
        <v>733333</v>
      </c>
      <c r="E28" s="61">
        <v>1050316.6666666667</v>
      </c>
      <c r="F28" s="61">
        <v>2100000</v>
      </c>
      <c r="G28" s="61">
        <v>2233416.666666667</v>
      </c>
      <c r="H28" s="61">
        <v>2830533.3333333335</v>
      </c>
      <c r="I28" s="61">
        <v>3018583.3333333335</v>
      </c>
      <c r="J28" s="61">
        <v>2776766.666666667</v>
      </c>
      <c r="K28" s="61">
        <v>2479366.666666667</v>
      </c>
      <c r="L28" s="61">
        <v>1966383.3333333335</v>
      </c>
      <c r="M28" s="61">
        <v>1699650</v>
      </c>
      <c r="N28" s="61">
        <v>1401033</v>
      </c>
      <c r="O28" s="61">
        <v>1351650</v>
      </c>
    </row>
    <row r="29" spans="2:15" x14ac:dyDescent="0.55000000000000004">
      <c r="C29" t="s">
        <v>26</v>
      </c>
      <c r="D29" s="61">
        <v>1138600</v>
      </c>
      <c r="E29" s="61">
        <v>1480200</v>
      </c>
      <c r="F29" s="61">
        <v>2537266.666666667</v>
      </c>
      <c r="G29" s="61"/>
      <c r="H29" s="61"/>
      <c r="I29" s="61"/>
      <c r="J29" s="61"/>
      <c r="K29" s="61"/>
      <c r="L29" s="61"/>
      <c r="M29" s="61"/>
      <c r="N29" s="61"/>
      <c r="O29" s="61"/>
    </row>
    <row r="32" spans="2:15" ht="15.6" x14ac:dyDescent="0.6">
      <c r="C32" s="11"/>
      <c r="D32" s="59" t="s">
        <v>1</v>
      </c>
      <c r="E32" s="59" t="s">
        <v>2</v>
      </c>
      <c r="F32" s="59" t="s">
        <v>3</v>
      </c>
      <c r="G32" s="59" t="s">
        <v>4</v>
      </c>
      <c r="H32" s="59" t="s">
        <v>5</v>
      </c>
      <c r="I32" s="59" t="s">
        <v>6</v>
      </c>
      <c r="J32" s="59" t="s">
        <v>7</v>
      </c>
      <c r="K32" s="59" t="s">
        <v>8</v>
      </c>
      <c r="L32" s="59" t="s">
        <v>9</v>
      </c>
      <c r="M32" s="59" t="s">
        <v>10</v>
      </c>
      <c r="N32" s="59" t="s">
        <v>11</v>
      </c>
      <c r="O32" s="59" t="s">
        <v>12</v>
      </c>
    </row>
    <row r="33" spans="2:15" x14ac:dyDescent="0.55000000000000004">
      <c r="C33" s="11" t="s">
        <v>17</v>
      </c>
      <c r="D33" s="60">
        <f t="shared" ref="D33:O33" si="0">D8+D20</f>
        <v>10954100</v>
      </c>
      <c r="E33" s="60">
        <f t="shared" si="0"/>
        <v>11034100.000000002</v>
      </c>
      <c r="F33" s="60">
        <f t="shared" si="0"/>
        <v>12652216.666666668</v>
      </c>
      <c r="G33" s="60">
        <f t="shared" si="0"/>
        <v>11826133.333333334</v>
      </c>
      <c r="H33" s="60">
        <f t="shared" si="0"/>
        <v>11680583.333333334</v>
      </c>
      <c r="I33" s="60">
        <f t="shared" si="0"/>
        <v>13757350</v>
      </c>
      <c r="J33" s="60">
        <f t="shared" si="0"/>
        <v>11601316.666666668</v>
      </c>
      <c r="K33" s="60">
        <f t="shared" si="0"/>
        <v>12376150</v>
      </c>
      <c r="L33" s="60">
        <f t="shared" si="0"/>
        <v>11541050</v>
      </c>
      <c r="M33" s="60">
        <f t="shared" si="0"/>
        <v>11045100.000000002</v>
      </c>
      <c r="N33" s="60">
        <f t="shared" si="0"/>
        <v>11236051.314217445</v>
      </c>
      <c r="O33" s="60">
        <f t="shared" si="0"/>
        <v>10290316.666666668</v>
      </c>
    </row>
    <row r="34" spans="2:15" x14ac:dyDescent="0.55000000000000004">
      <c r="C34" s="11" t="s">
        <v>18</v>
      </c>
      <c r="D34" s="60">
        <f t="shared" ref="D34:O34" si="1">D9+D21</f>
        <v>10396266.666666668</v>
      </c>
      <c r="E34" s="60">
        <f t="shared" si="1"/>
        <v>10860351.277955271</v>
      </c>
      <c r="F34" s="60">
        <f t="shared" si="1"/>
        <v>11342100.000000002</v>
      </c>
      <c r="G34" s="60">
        <f t="shared" si="1"/>
        <v>12900466.666666668</v>
      </c>
      <c r="H34" s="60">
        <f t="shared" si="1"/>
        <v>11260350</v>
      </c>
      <c r="I34" s="60">
        <f t="shared" si="1"/>
        <v>13237333.333333334</v>
      </c>
      <c r="J34" s="60">
        <f t="shared" si="1"/>
        <v>12122650</v>
      </c>
      <c r="K34" s="60">
        <f t="shared" si="1"/>
        <v>11890000</v>
      </c>
      <c r="L34" s="60">
        <f t="shared" si="1"/>
        <v>12149100.000000002</v>
      </c>
      <c r="M34" s="60">
        <f t="shared" si="1"/>
        <v>10616000</v>
      </c>
      <c r="N34" s="60">
        <f t="shared" si="1"/>
        <v>11784100.000000002</v>
      </c>
      <c r="O34" s="60">
        <f t="shared" si="1"/>
        <v>11177766.666666668</v>
      </c>
    </row>
    <row r="35" spans="2:15" x14ac:dyDescent="0.55000000000000004">
      <c r="C35" s="11" t="s">
        <v>19</v>
      </c>
      <c r="D35" s="60">
        <f t="shared" ref="D35:O35" si="2">D10+D22</f>
        <v>12224966.666666668</v>
      </c>
      <c r="E35" s="60">
        <f t="shared" si="2"/>
        <v>12735066.666666668</v>
      </c>
      <c r="F35" s="60">
        <f t="shared" si="2"/>
        <v>12779850</v>
      </c>
      <c r="G35" s="60">
        <f t="shared" si="2"/>
        <v>13426450</v>
      </c>
      <c r="H35" s="60">
        <f t="shared" si="2"/>
        <v>12432000</v>
      </c>
      <c r="I35" s="60">
        <f t="shared" si="2"/>
        <v>13950516.666666668</v>
      </c>
      <c r="J35" s="60">
        <f t="shared" si="2"/>
        <v>12753716.666666668</v>
      </c>
      <c r="K35" s="60">
        <f t="shared" si="2"/>
        <v>13959566.666666668</v>
      </c>
      <c r="L35" s="60">
        <f t="shared" si="2"/>
        <v>12584000.000000002</v>
      </c>
      <c r="M35" s="60">
        <f t="shared" si="2"/>
        <v>13364416.666666668</v>
      </c>
      <c r="N35" s="60">
        <f t="shared" si="2"/>
        <v>12094300</v>
      </c>
      <c r="O35" s="60">
        <f t="shared" si="2"/>
        <v>11605883.333333334</v>
      </c>
    </row>
    <row r="36" spans="2:15" x14ac:dyDescent="0.55000000000000004">
      <c r="C36" s="11" t="s">
        <v>20</v>
      </c>
      <c r="D36" s="60">
        <f t="shared" ref="D36:O36" si="3">D11+D23</f>
        <v>11643650</v>
      </c>
      <c r="E36" s="60">
        <f t="shared" si="3"/>
        <v>11555816.666666666</v>
      </c>
      <c r="F36" s="60">
        <f t="shared" si="3"/>
        <v>12828433.333333336</v>
      </c>
      <c r="G36" s="60">
        <f t="shared" si="3"/>
        <v>11830383.333333334</v>
      </c>
      <c r="H36" s="60">
        <f t="shared" si="3"/>
        <v>12610883.333333336</v>
      </c>
      <c r="I36" s="60">
        <f t="shared" si="3"/>
        <v>13620083.333333334</v>
      </c>
      <c r="J36" s="60">
        <f t="shared" si="3"/>
        <v>12939433.333333334</v>
      </c>
      <c r="K36" s="60">
        <f t="shared" si="3"/>
        <v>12454833.333333334</v>
      </c>
      <c r="L36" s="60">
        <f t="shared" si="3"/>
        <v>11763600</v>
      </c>
      <c r="M36" s="60">
        <f t="shared" si="3"/>
        <v>12146700</v>
      </c>
      <c r="N36" s="60">
        <f t="shared" si="3"/>
        <v>11151850</v>
      </c>
      <c r="O36" s="60">
        <f t="shared" si="3"/>
        <v>11916916.666666666</v>
      </c>
    </row>
    <row r="37" spans="2:15" x14ac:dyDescent="0.55000000000000004">
      <c r="B37" t="s">
        <v>91</v>
      </c>
      <c r="C37" s="11" t="s">
        <v>21</v>
      </c>
      <c r="D37" s="60">
        <f t="shared" ref="D37:O37" si="4">D12+D24</f>
        <v>11567333.333333334</v>
      </c>
      <c r="E37" s="60">
        <f t="shared" si="4"/>
        <v>12117266.666666668</v>
      </c>
      <c r="F37" s="60">
        <f t="shared" si="4"/>
        <v>13407133.333333334</v>
      </c>
      <c r="G37" s="60">
        <f t="shared" si="4"/>
        <v>12576566.666666668</v>
      </c>
      <c r="H37" s="60">
        <f t="shared" si="4"/>
        <v>12320966.666666668</v>
      </c>
      <c r="I37" s="60">
        <f t="shared" si="4"/>
        <v>15164233.333333334</v>
      </c>
      <c r="J37" s="60">
        <f t="shared" si="4"/>
        <v>13353100</v>
      </c>
      <c r="K37" s="60">
        <f t="shared" si="4"/>
        <v>12368716.666666668</v>
      </c>
      <c r="L37" s="60">
        <f t="shared" si="4"/>
        <v>12728500</v>
      </c>
      <c r="M37" s="60">
        <f t="shared" si="4"/>
        <v>12304033.333333334</v>
      </c>
      <c r="N37" s="60">
        <f t="shared" si="4"/>
        <v>11984116.666666666</v>
      </c>
      <c r="O37" s="60">
        <f t="shared" si="4"/>
        <v>11860166.666666668</v>
      </c>
    </row>
    <row r="38" spans="2:15" x14ac:dyDescent="0.55000000000000004">
      <c r="C38" s="11" t="s">
        <v>22</v>
      </c>
      <c r="D38" s="60">
        <f t="shared" ref="D38:O38" si="5">D13+D25</f>
        <v>11563100</v>
      </c>
      <c r="E38" s="60">
        <f t="shared" si="5"/>
        <v>11724150</v>
      </c>
      <c r="F38" s="60">
        <f t="shared" si="5"/>
        <v>13447866.666666668</v>
      </c>
      <c r="G38" s="60">
        <f t="shared" si="5"/>
        <v>13967500.000000002</v>
      </c>
      <c r="H38" s="60">
        <f t="shared" si="5"/>
        <v>13086683.333333334</v>
      </c>
      <c r="I38" s="60">
        <f t="shared" si="5"/>
        <v>15474783.333333334</v>
      </c>
      <c r="J38" s="60">
        <f t="shared" si="5"/>
        <v>12712516.666666668</v>
      </c>
      <c r="K38" s="60">
        <f t="shared" si="5"/>
        <v>12360383.333333336</v>
      </c>
      <c r="L38" s="60">
        <f t="shared" si="5"/>
        <v>13552800.000000002</v>
      </c>
      <c r="M38" s="60">
        <f t="shared" si="5"/>
        <v>13886233.333333334</v>
      </c>
      <c r="N38" s="60">
        <f t="shared" si="5"/>
        <v>11867866.666666666</v>
      </c>
      <c r="O38" s="60">
        <f t="shared" si="5"/>
        <v>11724366.666666668</v>
      </c>
    </row>
    <row r="39" spans="2:15" x14ac:dyDescent="0.55000000000000004">
      <c r="C39" s="11" t="s">
        <v>23</v>
      </c>
      <c r="D39" s="60">
        <f t="shared" ref="D39:O39" si="6">D14+D26</f>
        <v>11325750</v>
      </c>
      <c r="E39" s="60">
        <f t="shared" si="6"/>
        <v>12293466.666666668</v>
      </c>
      <c r="F39" s="60">
        <f t="shared" si="6"/>
        <v>12538866.699999999</v>
      </c>
      <c r="G39" s="60">
        <f t="shared" si="6"/>
        <v>21179692.000865597</v>
      </c>
      <c r="H39" s="60">
        <f t="shared" si="6"/>
        <v>20247994.806421153</v>
      </c>
      <c r="I39" s="60">
        <f t="shared" si="6"/>
        <v>24229891.694444444</v>
      </c>
      <c r="J39" s="60">
        <f t="shared" si="6"/>
        <v>20623991.694444448</v>
      </c>
      <c r="K39" s="60">
        <f t="shared" si="6"/>
        <v>22276680.332056195</v>
      </c>
      <c r="L39" s="60">
        <f t="shared" si="6"/>
        <v>21676508.361111112</v>
      </c>
      <c r="M39" s="60">
        <f t="shared" si="6"/>
        <v>20189936.210471746</v>
      </c>
      <c r="N39" s="60">
        <f t="shared" si="6"/>
        <v>21219658.361111112</v>
      </c>
      <c r="O39" s="60">
        <f t="shared" si="6"/>
        <v>19777258.361111112</v>
      </c>
    </row>
    <row r="40" spans="2:15" x14ac:dyDescent="0.55000000000000004">
      <c r="C40" s="11" t="s">
        <v>24</v>
      </c>
      <c r="D40" s="60">
        <f t="shared" ref="D40:O40" si="7">D15+D27</f>
        <v>21153283.333333336</v>
      </c>
      <c r="E40" s="60">
        <f t="shared" si="7"/>
        <v>22411500</v>
      </c>
      <c r="F40" s="60">
        <f t="shared" si="7"/>
        <v>23353916.666666668</v>
      </c>
      <c r="G40" s="60">
        <f t="shared" si="7"/>
        <v>13829033.333333334</v>
      </c>
      <c r="H40" s="60">
        <f t="shared" si="7"/>
        <v>12851366.666666668</v>
      </c>
      <c r="I40" s="60">
        <f t="shared" si="7"/>
        <v>13485100.000000002</v>
      </c>
      <c r="J40" s="60">
        <f t="shared" si="7"/>
        <v>14038250</v>
      </c>
      <c r="K40" s="60">
        <f t="shared" si="7"/>
        <v>13329833.333333334</v>
      </c>
      <c r="L40" s="60">
        <f t="shared" si="7"/>
        <v>12012066.666666668</v>
      </c>
      <c r="M40" s="60">
        <f t="shared" si="7"/>
        <v>12524250.000000002</v>
      </c>
      <c r="N40" s="60">
        <f t="shared" si="7"/>
        <v>12108166.666666668</v>
      </c>
      <c r="O40" s="60">
        <f t="shared" si="7"/>
        <v>11953750</v>
      </c>
    </row>
    <row r="41" spans="2:15" x14ac:dyDescent="0.55000000000000004">
      <c r="C41" s="11" t="s">
        <v>25</v>
      </c>
      <c r="D41" s="60">
        <f t="shared" ref="D41:O41" si="8">D16+D28</f>
        <v>12596066.333333334</v>
      </c>
      <c r="E41" s="60">
        <f t="shared" si="8"/>
        <v>11889966.666666666</v>
      </c>
      <c r="F41" s="60">
        <f t="shared" si="8"/>
        <v>11809533.333333334</v>
      </c>
      <c r="G41" s="60">
        <f t="shared" si="8"/>
        <v>13087433.333333336</v>
      </c>
      <c r="H41" s="60">
        <f t="shared" si="8"/>
        <v>12776266.666666668</v>
      </c>
      <c r="I41" s="60">
        <f t="shared" si="8"/>
        <v>14938466.666666668</v>
      </c>
      <c r="J41" s="60">
        <f t="shared" si="8"/>
        <v>13238250</v>
      </c>
      <c r="K41" s="60">
        <f t="shared" si="8"/>
        <v>13465616.666666668</v>
      </c>
      <c r="L41" s="60">
        <f t="shared" si="8"/>
        <v>11940616.666666668</v>
      </c>
      <c r="M41" s="60">
        <f t="shared" si="8"/>
        <v>12149850</v>
      </c>
      <c r="N41" s="60">
        <f t="shared" si="8"/>
        <v>10918183</v>
      </c>
      <c r="O41" s="60">
        <f t="shared" si="8"/>
        <v>11755966.666666668</v>
      </c>
    </row>
    <row r="42" spans="2:15" x14ac:dyDescent="0.55000000000000004">
      <c r="C42" s="11" t="s">
        <v>26</v>
      </c>
      <c r="D42" s="60">
        <f>D17+D29</f>
        <v>10567150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</row>
    <row r="45" spans="2:15" x14ac:dyDescent="0.55000000000000004">
      <c r="C45" t="s">
        <v>18</v>
      </c>
      <c r="D45">
        <v>7786276.909808334</v>
      </c>
      <c r="E45">
        <v>8577446.3008452728</v>
      </c>
      <c r="F45">
        <v>9539526.3782900013</v>
      </c>
      <c r="G45">
        <v>9810956.6111916676</v>
      </c>
      <c r="H45">
        <v>8597343.7614233345</v>
      </c>
      <c r="I45">
        <v>9526847.272003334</v>
      </c>
      <c r="J45">
        <v>8666045.731591668</v>
      </c>
      <c r="K45">
        <v>8218553.1779899988</v>
      </c>
      <c r="L45">
        <v>8482591.4801066667</v>
      </c>
      <c r="M45">
        <v>8295286.2246350003</v>
      </c>
      <c r="N45">
        <v>9350969.3015000019</v>
      </c>
      <c r="O45">
        <v>8823046.9180283323</v>
      </c>
    </row>
    <row r="46" spans="2:15" x14ac:dyDescent="0.55000000000000004">
      <c r="C46" t="s">
        <v>19</v>
      </c>
      <c r="D46">
        <v>9860270.667406667</v>
      </c>
      <c r="E46">
        <v>9674323.3074249998</v>
      </c>
      <c r="F46">
        <v>10034335.653255001</v>
      </c>
      <c r="G46">
        <v>10231726.949831666</v>
      </c>
      <c r="H46">
        <v>8854355.4134966675</v>
      </c>
      <c r="I46">
        <v>9562093.2281249985</v>
      </c>
      <c r="J46">
        <v>8828496.4217516668</v>
      </c>
      <c r="K46">
        <v>9676456.7126283348</v>
      </c>
      <c r="L46">
        <v>8881595.0505366679</v>
      </c>
      <c r="M46">
        <v>9229902.9430466667</v>
      </c>
      <c r="N46">
        <v>8907822.4692633338</v>
      </c>
      <c r="O46">
        <v>8507275.1591950003</v>
      </c>
    </row>
    <row r="47" spans="2:15" x14ac:dyDescent="0.55000000000000004">
      <c r="C47" t="s">
        <v>20</v>
      </c>
      <c r="D47">
        <v>8912990.4883500002</v>
      </c>
      <c r="E47">
        <v>8651562.7243766673</v>
      </c>
      <c r="F47">
        <v>9682259.1444899999</v>
      </c>
      <c r="G47">
        <v>9136271.3801899999</v>
      </c>
      <c r="H47">
        <v>9561644.5348433349</v>
      </c>
      <c r="I47">
        <v>10069077.740941668</v>
      </c>
      <c r="J47">
        <v>9289163.8479833361</v>
      </c>
      <c r="K47">
        <v>8344654.844833334</v>
      </c>
      <c r="L47">
        <v>8267565.1899533337</v>
      </c>
      <c r="M47">
        <v>8735440.7720899992</v>
      </c>
      <c r="N47">
        <v>8488994.6754283328</v>
      </c>
      <c r="O47">
        <v>9253891.6813483331</v>
      </c>
    </row>
    <row r="48" spans="2:15" x14ac:dyDescent="0.55000000000000004">
      <c r="B48" t="s">
        <v>92</v>
      </c>
      <c r="C48" t="s">
        <v>21</v>
      </c>
      <c r="D48">
        <v>8906947.5005083345</v>
      </c>
      <c r="E48">
        <v>9414183.3512033336</v>
      </c>
      <c r="F48">
        <v>10619967.298315</v>
      </c>
      <c r="G48">
        <v>9581099.0225366671</v>
      </c>
      <c r="H48">
        <v>9543095.324755</v>
      </c>
      <c r="I48">
        <v>10481680.140018333</v>
      </c>
      <c r="J48">
        <v>9355817.4226999991</v>
      </c>
      <c r="K48">
        <v>7596084.0650800001</v>
      </c>
      <c r="L48">
        <v>8991112.5362916682</v>
      </c>
      <c r="M48">
        <v>8851147.7400866672</v>
      </c>
      <c r="N48">
        <v>8433987.9994600005</v>
      </c>
      <c r="O48">
        <v>8666624.2942033336</v>
      </c>
    </row>
    <row r="49" spans="2:15" x14ac:dyDescent="0.55000000000000004">
      <c r="B49" s="62" t="s">
        <v>93</v>
      </c>
      <c r="C49" t="s">
        <v>22</v>
      </c>
      <c r="D49">
        <v>8714128.4579799995</v>
      </c>
      <c r="E49">
        <v>8784803.2838816661</v>
      </c>
      <c r="F49">
        <v>10732451.82811</v>
      </c>
      <c r="G49">
        <v>11026763.995128332</v>
      </c>
      <c r="H49">
        <v>9514232.6324183326</v>
      </c>
      <c r="I49">
        <v>11227008.798551667</v>
      </c>
      <c r="J49">
        <v>8811105.438583333</v>
      </c>
      <c r="K49">
        <v>8691944.8311933354</v>
      </c>
      <c r="L49">
        <v>9029889.6194383334</v>
      </c>
      <c r="M49">
        <v>8346158.2422949998</v>
      </c>
      <c r="N49">
        <v>8479472.3018700015</v>
      </c>
      <c r="O49">
        <v>8648643.0149466656</v>
      </c>
    </row>
    <row r="50" spans="2:15" x14ac:dyDescent="0.55000000000000004">
      <c r="C50" t="s">
        <v>23</v>
      </c>
      <c r="D50">
        <v>8311515.0996566657</v>
      </c>
      <c r="E50">
        <v>8941209.2610716689</v>
      </c>
      <c r="F50">
        <v>9314815.0272150002</v>
      </c>
      <c r="G50">
        <v>8514876.313430598</v>
      </c>
      <c r="H50">
        <v>8458347.9845378194</v>
      </c>
      <c r="I50">
        <v>9854369.5384427793</v>
      </c>
      <c r="J50">
        <v>8283852.2732077781</v>
      </c>
      <c r="K50">
        <v>8600166.4748495277</v>
      </c>
      <c r="L50">
        <v>8467434.7226394452</v>
      </c>
      <c r="M50">
        <v>8463236.9976034146</v>
      </c>
      <c r="N50">
        <v>8907229.4584877789</v>
      </c>
      <c r="O50">
        <v>7437109.6429811111</v>
      </c>
    </row>
    <row r="51" spans="2:15" x14ac:dyDescent="0.55000000000000004">
      <c r="C51" t="s">
        <v>24</v>
      </c>
      <c r="D51">
        <v>8373416.4453466665</v>
      </c>
      <c r="E51">
        <v>9578483.4775200244</v>
      </c>
      <c r="F51">
        <v>10646679.744766667</v>
      </c>
      <c r="G51">
        <v>10879312.941100001</v>
      </c>
      <c r="H51">
        <v>9751992.3264194187</v>
      </c>
      <c r="I51">
        <v>10901364.090103332</v>
      </c>
      <c r="J51">
        <v>9633841.8499250002</v>
      </c>
      <c r="K51">
        <v>9720769.5348716658</v>
      </c>
      <c r="L51">
        <v>8788031.1087166686</v>
      </c>
      <c r="M51">
        <v>9523905.633078333</v>
      </c>
      <c r="N51">
        <v>9110027.186658334</v>
      </c>
      <c r="O51">
        <v>9019039.654068334</v>
      </c>
    </row>
    <row r="52" spans="2:15" x14ac:dyDescent="0.55000000000000004">
      <c r="C52" t="s">
        <v>25</v>
      </c>
      <c r="D52">
        <v>9329042.2113883328</v>
      </c>
      <c r="E52">
        <v>8570094.640933333</v>
      </c>
      <c r="F52">
        <v>10081728.640791668</v>
      </c>
      <c r="G52">
        <v>9219043.8173116669</v>
      </c>
      <c r="H52">
        <v>9842163.3706966676</v>
      </c>
      <c r="I52">
        <v>10658045.336606666</v>
      </c>
      <c r="J52">
        <v>9429610.9980966672</v>
      </c>
      <c r="K52">
        <v>9743869.7045233343</v>
      </c>
      <c r="L52">
        <v>9325956.2980666682</v>
      </c>
      <c r="M52">
        <v>9206222.3318499997</v>
      </c>
      <c r="N52">
        <v>9038449.6403316688</v>
      </c>
      <c r="O52">
        <v>9430343.4291537255</v>
      </c>
    </row>
    <row r="53" spans="2:15" x14ac:dyDescent="0.55000000000000004">
      <c r="D53">
        <v>9222961.333333334</v>
      </c>
    </row>
    <row r="55" spans="2:15" ht="15.6" x14ac:dyDescent="0.6">
      <c r="D55" s="59" t="s">
        <v>1</v>
      </c>
      <c r="E55" s="59" t="s">
        <v>2</v>
      </c>
      <c r="F55" s="59" t="s">
        <v>3</v>
      </c>
      <c r="G55" s="59" t="s">
        <v>4</v>
      </c>
      <c r="H55" s="59" t="s">
        <v>5</v>
      </c>
      <c r="I55" s="59" t="s">
        <v>6</v>
      </c>
      <c r="J55" s="59" t="s">
        <v>7</v>
      </c>
      <c r="K55" s="59" t="s">
        <v>8</v>
      </c>
      <c r="L55" s="59" t="s">
        <v>9</v>
      </c>
      <c r="M55" s="59" t="s">
        <v>10</v>
      </c>
      <c r="N55" s="59" t="s">
        <v>11</v>
      </c>
      <c r="O55" s="59" t="s">
        <v>12</v>
      </c>
    </row>
    <row r="56" spans="2:15" x14ac:dyDescent="0.55000000000000004">
      <c r="C56" t="s">
        <v>18</v>
      </c>
      <c r="D56" s="63">
        <v>0.74894932570105288</v>
      </c>
      <c r="E56" s="63">
        <v>0.78979455464355741</v>
      </c>
      <c r="F56" s="63">
        <v>0.8410723215533279</v>
      </c>
      <c r="G56" s="63">
        <v>0.76051176013206245</v>
      </c>
      <c r="H56" s="63">
        <v>0.76350590891254133</v>
      </c>
      <c r="I56" s="63">
        <v>0.71969535193417611</v>
      </c>
      <c r="J56" s="63">
        <v>0.71486397211762021</v>
      </c>
      <c r="K56" s="63">
        <v>0.69121557426324631</v>
      </c>
      <c r="L56" s="63">
        <v>0.69820739644143726</v>
      </c>
      <c r="M56" s="63">
        <v>0.78139470842454783</v>
      </c>
      <c r="N56" s="63">
        <v>0.79352426587520475</v>
      </c>
      <c r="O56" s="63">
        <v>0.78933897809297004</v>
      </c>
    </row>
    <row r="57" spans="2:15" x14ac:dyDescent="0.55000000000000004">
      <c r="C57" t="s">
        <v>19</v>
      </c>
      <c r="D57" s="63">
        <v>0.8065683069952474</v>
      </c>
      <c r="E57" s="63">
        <v>0.75966020128869882</v>
      </c>
      <c r="F57" s="63">
        <v>0.78516849988497528</v>
      </c>
      <c r="G57" s="63">
        <v>0.76205750215668822</v>
      </c>
      <c r="H57" s="63">
        <v>0.71222292579606394</v>
      </c>
      <c r="I57" s="63">
        <v>0.68542932542223634</v>
      </c>
      <c r="J57" s="63">
        <v>0.69222930479755573</v>
      </c>
      <c r="K57" s="63">
        <v>0.69317744194268216</v>
      </c>
      <c r="L57" s="63">
        <v>0.70578473065294556</v>
      </c>
      <c r="M57" s="63">
        <v>0.69063268328559035</v>
      </c>
      <c r="N57" s="63">
        <v>0.73653063585848988</v>
      </c>
      <c r="O57" s="63">
        <v>0.73301401667214761</v>
      </c>
    </row>
    <row r="58" spans="2:15" x14ac:dyDescent="0.55000000000000004">
      <c r="C58" t="s">
        <v>20</v>
      </c>
      <c r="D58" s="63">
        <v>0.76548079754630205</v>
      </c>
      <c r="E58" s="63">
        <v>0.74867601087273516</v>
      </c>
      <c r="F58" s="63">
        <v>0.75474992876422931</v>
      </c>
      <c r="G58" s="63">
        <v>0.7722717956608901</v>
      </c>
      <c r="H58" s="63">
        <v>0.7582057721182629</v>
      </c>
      <c r="I58" s="63">
        <v>0.73928165448877581</v>
      </c>
      <c r="J58" s="63">
        <v>0.71789572299533999</v>
      </c>
      <c r="K58" s="63">
        <v>0.66999329669873808</v>
      </c>
      <c r="L58" s="63">
        <v>0.7028091052019223</v>
      </c>
      <c r="M58" s="63">
        <v>0.71916164654515213</v>
      </c>
      <c r="N58" s="63">
        <v>0.76121851311023125</v>
      </c>
      <c r="O58" s="63">
        <v>0.77653405995804281</v>
      </c>
    </row>
    <row r="59" spans="2:15" x14ac:dyDescent="0.55000000000000004">
      <c r="B59" t="s">
        <v>92</v>
      </c>
      <c r="C59" t="s">
        <v>21</v>
      </c>
      <c r="D59" s="63">
        <v>0.77000871712077124</v>
      </c>
      <c r="E59" s="63">
        <v>0.77692301491562998</v>
      </c>
      <c r="F59" s="63">
        <v>0.7921132008071573</v>
      </c>
      <c r="G59" s="63">
        <v>0.76182151110689977</v>
      </c>
      <c r="H59" s="63">
        <v>0.77454112026559052</v>
      </c>
      <c r="I59" s="63">
        <v>0.6912106869905501</v>
      </c>
      <c r="J59" s="63">
        <v>0.70064759664048037</v>
      </c>
      <c r="K59" s="63">
        <v>0.61413679929715148</v>
      </c>
      <c r="L59" s="63">
        <v>0.70637644155176715</v>
      </c>
      <c r="M59" s="63">
        <v>0.71936961647427267</v>
      </c>
      <c r="N59" s="63">
        <v>0.70376384293043437</v>
      </c>
      <c r="O59" s="63">
        <v>0.73073376941330215</v>
      </c>
    </row>
    <row r="60" spans="2:15" x14ac:dyDescent="0.55000000000000004">
      <c r="B60" t="s">
        <v>93</v>
      </c>
      <c r="C60" t="s">
        <v>22</v>
      </c>
      <c r="D60" s="63">
        <v>0.75361524660168977</v>
      </c>
      <c r="E60" s="63">
        <v>0.74929127347241942</v>
      </c>
      <c r="F60" s="63">
        <v>0.79807839370631273</v>
      </c>
      <c r="G60" s="63">
        <v>0.78945867156816396</v>
      </c>
      <c r="H60" s="63">
        <v>0.7270163409688728</v>
      </c>
      <c r="I60" s="63">
        <v>0.72550345660531601</v>
      </c>
      <c r="J60" s="63">
        <v>0.693104730528049</v>
      </c>
      <c r="K60" s="63">
        <v>0.70320997308821331</v>
      </c>
      <c r="L60" s="63">
        <v>0.66627483763047723</v>
      </c>
      <c r="M60" s="63">
        <v>0.60103831197048874</v>
      </c>
      <c r="N60" s="63">
        <v>0.71449002082963542</v>
      </c>
      <c r="O60" s="63">
        <v>0.73766398312460357</v>
      </c>
    </row>
    <row r="61" spans="2:15" x14ac:dyDescent="0.55000000000000004">
      <c r="C61" t="s">
        <v>23</v>
      </c>
      <c r="D61" s="63">
        <v>0.73386001807003209</v>
      </c>
      <c r="E61" s="63">
        <v>0.72731390611856173</v>
      </c>
      <c r="F61" s="63">
        <v>0.74287535309829877</v>
      </c>
      <c r="G61" s="63">
        <v>0.78807978475858254</v>
      </c>
      <c r="H61" s="63">
        <v>0.74292277203470281</v>
      </c>
      <c r="I61" s="63">
        <v>0.76695207127762033</v>
      </c>
      <c r="J61" s="63">
        <v>0.68968067007142575</v>
      </c>
      <c r="K61" s="63">
        <v>0.71622955805181487</v>
      </c>
      <c r="L61" s="63">
        <v>0.69893754932497609</v>
      </c>
      <c r="M61" s="63">
        <v>0.68073775722197838</v>
      </c>
      <c r="N61" s="63">
        <v>0.73343851011853012</v>
      </c>
      <c r="O61" s="63">
        <v>0.74607928442304983</v>
      </c>
    </row>
    <row r="62" spans="2:15" x14ac:dyDescent="0.55000000000000004">
      <c r="C62" t="s">
        <v>24</v>
      </c>
      <c r="D62" s="63">
        <v>0.76308040200584915</v>
      </c>
      <c r="E62" s="63">
        <v>0.75860982688526712</v>
      </c>
      <c r="F62" s="63">
        <v>0.78567628296905012</v>
      </c>
      <c r="G62" s="63">
        <v>0.78670089794900111</v>
      </c>
      <c r="H62" s="63">
        <v>0.75882920310053281</v>
      </c>
      <c r="I62" s="63">
        <v>0.80840068594992476</v>
      </c>
      <c r="J62" s="63">
        <v>0.68625660961480239</v>
      </c>
      <c r="K62" s="63">
        <v>0.72924914301541643</v>
      </c>
      <c r="L62" s="63">
        <v>0.73160026101947495</v>
      </c>
      <c r="M62" s="63">
        <v>0.76043720247346802</v>
      </c>
      <c r="N62" s="63">
        <v>0.75238699940742471</v>
      </c>
      <c r="O62" s="63">
        <v>0.75449458572149608</v>
      </c>
    </row>
    <row r="63" spans="2:15" x14ac:dyDescent="0.55000000000000004">
      <c r="C63" t="s">
        <v>25</v>
      </c>
      <c r="D63" s="63">
        <v>0.74063139749436058</v>
      </c>
      <c r="E63" s="63">
        <v>0.72078373987031086</v>
      </c>
      <c r="F63" s="63">
        <v>0.85369407547503995</v>
      </c>
      <c r="G63" s="63">
        <v>0.70441954373368332</v>
      </c>
      <c r="H63" s="63">
        <v>0.77034736574299223</v>
      </c>
      <c r="I63" s="63">
        <v>0.71346314012192225</v>
      </c>
      <c r="J63" s="63">
        <v>0.71230041720746073</v>
      </c>
      <c r="K63" s="63">
        <v>0.72361110120145511</v>
      </c>
      <c r="L63" s="63">
        <v>0.78102802882039879</v>
      </c>
      <c r="M63" s="63">
        <v>0.75772312677522768</v>
      </c>
      <c r="N63" s="63">
        <v>0.82783459851622465</v>
      </c>
      <c r="O63" s="63">
        <v>0.80217507386210052</v>
      </c>
    </row>
    <row r="64" spans="2:15" x14ac:dyDescent="0.55000000000000004">
      <c r="D64" s="63">
        <v>0.74</v>
      </c>
    </row>
    <row r="66" spans="2:15" ht="15.6" x14ac:dyDescent="0.6">
      <c r="C66" s="11"/>
      <c r="D66" s="59" t="s">
        <v>1</v>
      </c>
      <c r="E66" s="59" t="s">
        <v>2</v>
      </c>
      <c r="F66" s="59" t="s">
        <v>3</v>
      </c>
      <c r="G66" s="59" t="s">
        <v>4</v>
      </c>
      <c r="H66" s="59" t="s">
        <v>5</v>
      </c>
      <c r="I66" s="59" t="s">
        <v>6</v>
      </c>
      <c r="J66" s="59" t="s">
        <v>7</v>
      </c>
      <c r="K66" s="59" t="s">
        <v>8</v>
      </c>
      <c r="L66" s="59" t="s">
        <v>9</v>
      </c>
      <c r="M66" s="59" t="s">
        <v>10</v>
      </c>
      <c r="N66" s="59" t="s">
        <v>11</v>
      </c>
      <c r="O66" s="59" t="s">
        <v>12</v>
      </c>
    </row>
    <row r="67" spans="2:15" x14ac:dyDescent="0.55000000000000004">
      <c r="C67" s="11" t="s">
        <v>17</v>
      </c>
      <c r="D67" s="60">
        <v>10954100</v>
      </c>
      <c r="E67" s="60">
        <v>11034100.000000002</v>
      </c>
      <c r="F67" s="60">
        <v>12652216.666666668</v>
      </c>
      <c r="G67" s="60">
        <v>11826133.333333334</v>
      </c>
      <c r="H67" s="60">
        <v>11680583.333333334</v>
      </c>
      <c r="I67" s="60">
        <v>13757350</v>
      </c>
      <c r="J67" s="60">
        <v>11601316.666666668</v>
      </c>
      <c r="K67" s="60">
        <v>12376150</v>
      </c>
      <c r="L67" s="60">
        <v>11541050</v>
      </c>
      <c r="M67" s="60">
        <v>11045100.000000002</v>
      </c>
      <c r="N67" s="60">
        <v>11236051.314217445</v>
      </c>
      <c r="O67" s="60">
        <v>10290316.666666668</v>
      </c>
    </row>
    <row r="68" spans="2:15" x14ac:dyDescent="0.55000000000000004">
      <c r="C68" s="11" t="s">
        <v>18</v>
      </c>
      <c r="D68" s="60">
        <v>10396266.666666668</v>
      </c>
      <c r="E68" s="60">
        <v>10860351.277955271</v>
      </c>
      <c r="F68" s="60">
        <v>11342100.000000002</v>
      </c>
      <c r="G68" s="60">
        <v>12900466.666666668</v>
      </c>
      <c r="H68" s="60">
        <v>11260350</v>
      </c>
      <c r="I68" s="60">
        <v>13237333.333333334</v>
      </c>
      <c r="J68" s="60">
        <v>12122650</v>
      </c>
      <c r="K68" s="60">
        <v>11890000</v>
      </c>
      <c r="L68" s="60">
        <v>12149100.000000002</v>
      </c>
      <c r="M68" s="60">
        <v>10616000</v>
      </c>
      <c r="N68" s="60">
        <v>11784100.000000002</v>
      </c>
      <c r="O68" s="60">
        <v>11177766.666666668</v>
      </c>
    </row>
    <row r="69" spans="2:15" x14ac:dyDescent="0.55000000000000004">
      <c r="C69" s="11" t="s">
        <v>19</v>
      </c>
      <c r="D69" s="60">
        <v>12224966.666666668</v>
      </c>
      <c r="E69" s="60">
        <v>12735066.666666668</v>
      </c>
      <c r="F69" s="60">
        <v>12779850</v>
      </c>
      <c r="G69" s="60">
        <v>13426450</v>
      </c>
      <c r="H69" s="60">
        <v>12432000</v>
      </c>
      <c r="I69" s="60">
        <v>13950516.666666668</v>
      </c>
      <c r="J69" s="60">
        <v>12753716.666666668</v>
      </c>
      <c r="K69" s="60">
        <v>13959566.666666668</v>
      </c>
      <c r="L69" s="60">
        <v>12584000.000000002</v>
      </c>
      <c r="M69" s="60">
        <v>13364416.666666668</v>
      </c>
      <c r="N69" s="60">
        <v>12094300</v>
      </c>
      <c r="O69" s="60">
        <v>11605883.333333334</v>
      </c>
    </row>
    <row r="70" spans="2:15" x14ac:dyDescent="0.55000000000000004">
      <c r="C70" s="11" t="s">
        <v>20</v>
      </c>
      <c r="D70" s="60">
        <v>11643650</v>
      </c>
      <c r="E70" s="60">
        <v>11555816.666666666</v>
      </c>
      <c r="F70" s="60">
        <v>12828433.333333336</v>
      </c>
      <c r="G70" s="60">
        <v>11830383.333333334</v>
      </c>
      <c r="H70" s="60">
        <v>12610883.333333336</v>
      </c>
      <c r="I70" s="60">
        <v>13620083.333333334</v>
      </c>
      <c r="J70" s="60">
        <v>12939433.333333334</v>
      </c>
      <c r="K70" s="60">
        <v>12454833.333333334</v>
      </c>
      <c r="L70" s="60">
        <v>11763600</v>
      </c>
      <c r="M70" s="60">
        <v>12146700</v>
      </c>
      <c r="N70" s="60">
        <v>11151850</v>
      </c>
      <c r="O70" s="60">
        <v>11916916.666666666</v>
      </c>
    </row>
    <row r="71" spans="2:15" x14ac:dyDescent="0.55000000000000004">
      <c r="B71" t="s">
        <v>91</v>
      </c>
      <c r="C71" s="11" t="s">
        <v>21</v>
      </c>
      <c r="D71" s="60">
        <v>11567333.333333334</v>
      </c>
      <c r="E71" s="60">
        <v>12117266.666666668</v>
      </c>
      <c r="F71" s="60">
        <v>13407133.333333334</v>
      </c>
      <c r="G71" s="60">
        <v>12576566.666666668</v>
      </c>
      <c r="H71" s="60">
        <v>12320966.666666668</v>
      </c>
      <c r="I71" s="60">
        <v>15164233.333333334</v>
      </c>
      <c r="J71" s="60">
        <v>13353100</v>
      </c>
      <c r="K71" s="60">
        <v>12368716.666666668</v>
      </c>
      <c r="L71" s="60">
        <v>12728500</v>
      </c>
      <c r="M71" s="60">
        <v>12304033.333333334</v>
      </c>
      <c r="N71" s="60">
        <v>11984116.666666666</v>
      </c>
      <c r="O71" s="60">
        <v>11860166.666666668</v>
      </c>
    </row>
    <row r="72" spans="2:15" x14ac:dyDescent="0.55000000000000004">
      <c r="C72" s="11" t="s">
        <v>22</v>
      </c>
      <c r="D72" s="60">
        <v>11563100</v>
      </c>
      <c r="E72" s="60">
        <v>11724150</v>
      </c>
      <c r="F72" s="60">
        <v>13447866.666666668</v>
      </c>
      <c r="G72" s="60">
        <v>13967500.000000002</v>
      </c>
      <c r="H72" s="60">
        <v>13086683.333333334</v>
      </c>
      <c r="I72" s="60">
        <v>15474783.333333334</v>
      </c>
      <c r="J72" s="60">
        <v>12712516.666666668</v>
      </c>
      <c r="K72" s="60">
        <v>12360383.333333336</v>
      </c>
      <c r="L72" s="60">
        <v>13552800.000000002</v>
      </c>
      <c r="M72" s="60">
        <v>13886233.333333334</v>
      </c>
      <c r="N72" s="60">
        <v>11867866.666666666</v>
      </c>
      <c r="O72" s="60">
        <v>11724366.666666668</v>
      </c>
    </row>
    <row r="73" spans="2:15" x14ac:dyDescent="0.55000000000000004">
      <c r="C73" s="11" t="s">
        <v>23</v>
      </c>
      <c r="D73" s="60">
        <v>11325750</v>
      </c>
      <c r="E73" s="60">
        <v>12293466.666666668</v>
      </c>
      <c r="F73" s="60">
        <v>12538866.699999999</v>
      </c>
      <c r="G73" s="60">
        <v>10804586.639713153</v>
      </c>
      <c r="H73" s="60">
        <v>11385231.820761472</v>
      </c>
      <c r="I73" s="60">
        <v>12848742.323659111</v>
      </c>
      <c r="J73" s="60">
        <v>12011141.72498103</v>
      </c>
      <c r="K73" s="60">
        <v>12007555.926960722</v>
      </c>
      <c r="L73" s="60">
        <v>12114722.883063262</v>
      </c>
      <c r="M73" s="60">
        <v>12432448.336847106</v>
      </c>
      <c r="N73" s="60">
        <v>12144480.192413529</v>
      </c>
      <c r="O73" s="60">
        <v>9968256.4551196434</v>
      </c>
    </row>
    <row r="74" spans="2:15" x14ac:dyDescent="0.55000000000000004">
      <c r="C74" s="11" t="s">
        <v>24</v>
      </c>
      <c r="D74" s="60">
        <v>10973177.168927584</v>
      </c>
      <c r="E74" s="60">
        <v>12626363.564057395</v>
      </c>
      <c r="F74" s="60">
        <v>13550975.096935781</v>
      </c>
      <c r="G74" s="60">
        <v>13829033.333333334</v>
      </c>
      <c r="H74" s="60">
        <v>12851366.666666668</v>
      </c>
      <c r="I74" s="60">
        <v>13485100.000000002</v>
      </c>
      <c r="J74" s="60">
        <v>14038250</v>
      </c>
      <c r="K74" s="60">
        <v>13329833.333333334</v>
      </c>
      <c r="L74" s="60">
        <v>12012066.666666668</v>
      </c>
      <c r="M74" s="60">
        <v>12524250.000000002</v>
      </c>
      <c r="N74" s="60">
        <v>12108166.666666668</v>
      </c>
      <c r="O74" s="60">
        <v>11953750</v>
      </c>
    </row>
    <row r="75" spans="2:15" x14ac:dyDescent="0.55000000000000004">
      <c r="C75" s="11" t="s">
        <v>25</v>
      </c>
      <c r="D75" s="60">
        <v>12596066.333333334</v>
      </c>
      <c r="E75" s="60">
        <v>11889966.666666666</v>
      </c>
      <c r="F75" s="60">
        <v>11809533.333333334</v>
      </c>
      <c r="G75" s="60">
        <v>13087433.333333336</v>
      </c>
      <c r="H75" s="60">
        <v>12776266.666666668</v>
      </c>
      <c r="I75" s="60">
        <v>14938466.666666668</v>
      </c>
      <c r="J75" s="60">
        <v>13238250</v>
      </c>
      <c r="K75" s="60">
        <v>13465616.666666668</v>
      </c>
      <c r="L75" s="60">
        <v>11940616.666666668</v>
      </c>
      <c r="M75" s="60">
        <v>12149850</v>
      </c>
      <c r="N75" s="60">
        <v>10918183</v>
      </c>
      <c r="O75" s="60">
        <v>11755966.666666668</v>
      </c>
    </row>
    <row r="76" spans="2:15" x14ac:dyDescent="0.55000000000000004">
      <c r="C76" s="11" t="s">
        <v>26</v>
      </c>
      <c r="D76" s="60">
        <v>10567150</v>
      </c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</row>
    <row r="79" spans="2:15" ht="15.6" x14ac:dyDescent="0.6">
      <c r="C79" s="11"/>
      <c r="D79" s="59" t="s">
        <v>1</v>
      </c>
      <c r="E79" s="59" t="s">
        <v>2</v>
      </c>
      <c r="F79" s="59" t="s">
        <v>3</v>
      </c>
      <c r="G79" s="59" t="s">
        <v>4</v>
      </c>
      <c r="H79" s="59" t="s">
        <v>5</v>
      </c>
      <c r="I79" s="59" t="s">
        <v>6</v>
      </c>
      <c r="J79" s="59" t="s">
        <v>7</v>
      </c>
      <c r="K79" s="59" t="s">
        <v>8</v>
      </c>
      <c r="L79" s="59" t="s">
        <v>9</v>
      </c>
      <c r="M79" s="59" t="s">
        <v>10</v>
      </c>
      <c r="N79" s="59" t="s">
        <v>11</v>
      </c>
      <c r="O79" s="59" t="s">
        <v>12</v>
      </c>
    </row>
    <row r="80" spans="2:15" x14ac:dyDescent="0.55000000000000004">
      <c r="C80" s="11" t="s">
        <v>17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</row>
    <row r="81" spans="2:16" x14ac:dyDescent="0.55000000000000004">
      <c r="C81" s="11" t="s">
        <v>18</v>
      </c>
      <c r="D81" s="60">
        <f>D45/D56</f>
        <v>10396266.666666668</v>
      </c>
      <c r="E81" s="60">
        <f t="shared" ref="E81:O81" si="9">E45/E56</f>
        <v>10860351.277955271</v>
      </c>
      <c r="F81" s="60">
        <f t="shared" si="9"/>
        <v>11342100.000000002</v>
      </c>
      <c r="G81" s="60">
        <f t="shared" si="9"/>
        <v>12900466.666666668</v>
      </c>
      <c r="H81" s="60">
        <f t="shared" si="9"/>
        <v>11260350</v>
      </c>
      <c r="I81" s="60">
        <f t="shared" si="9"/>
        <v>13237333.333333334</v>
      </c>
      <c r="J81" s="60">
        <f t="shared" si="9"/>
        <v>12122650</v>
      </c>
      <c r="K81" s="60">
        <f t="shared" si="9"/>
        <v>11890000</v>
      </c>
      <c r="L81" s="60">
        <f t="shared" si="9"/>
        <v>12149100.000000002</v>
      </c>
      <c r="M81" s="60">
        <f t="shared" si="9"/>
        <v>10616000</v>
      </c>
      <c r="N81" s="60">
        <f t="shared" si="9"/>
        <v>11784100.000000002</v>
      </c>
      <c r="O81" s="60">
        <f t="shared" si="9"/>
        <v>11177766.666666668</v>
      </c>
      <c r="P81" s="60"/>
    </row>
    <row r="82" spans="2:16" x14ac:dyDescent="0.55000000000000004">
      <c r="C82" s="11" t="s">
        <v>19</v>
      </c>
      <c r="D82" s="60">
        <f t="shared" ref="D82:O82" si="10">D46/D57</f>
        <v>12224966.666666668</v>
      </c>
      <c r="E82" s="60">
        <f t="shared" si="10"/>
        <v>12735066.666666668</v>
      </c>
      <c r="F82" s="60">
        <f t="shared" si="10"/>
        <v>12779850</v>
      </c>
      <c r="G82" s="60">
        <f t="shared" si="10"/>
        <v>13426450</v>
      </c>
      <c r="H82" s="60">
        <f t="shared" si="10"/>
        <v>12432000</v>
      </c>
      <c r="I82" s="60">
        <f t="shared" si="10"/>
        <v>13950516.666666666</v>
      </c>
      <c r="J82" s="60">
        <f t="shared" si="10"/>
        <v>12753716.666666668</v>
      </c>
      <c r="K82" s="60">
        <f t="shared" si="10"/>
        <v>13959566.666666668</v>
      </c>
      <c r="L82" s="60">
        <f t="shared" si="10"/>
        <v>12584000.000000002</v>
      </c>
      <c r="M82" s="60">
        <f t="shared" si="10"/>
        <v>13364416.66666667</v>
      </c>
      <c r="N82" s="60">
        <f t="shared" si="10"/>
        <v>12094300</v>
      </c>
      <c r="O82" s="60">
        <f t="shared" si="10"/>
        <v>11605883.333333334</v>
      </c>
    </row>
    <row r="83" spans="2:16" x14ac:dyDescent="0.55000000000000004">
      <c r="C83" s="11" t="s">
        <v>20</v>
      </c>
      <c r="D83" s="60">
        <f t="shared" ref="D83:O83" si="11">D47/D58</f>
        <v>11643650</v>
      </c>
      <c r="E83" s="60">
        <f t="shared" si="11"/>
        <v>11555816.666666666</v>
      </c>
      <c r="F83" s="60">
        <f t="shared" si="11"/>
        <v>12828433.333333336</v>
      </c>
      <c r="G83" s="60">
        <f t="shared" si="11"/>
        <v>11830383.333333334</v>
      </c>
      <c r="H83" s="60">
        <f t="shared" si="11"/>
        <v>12610883.333333336</v>
      </c>
      <c r="I83" s="60">
        <f t="shared" si="11"/>
        <v>13620083.333333334</v>
      </c>
      <c r="J83" s="60">
        <f t="shared" si="11"/>
        <v>12939433.333333334</v>
      </c>
      <c r="K83" s="60">
        <f t="shared" si="11"/>
        <v>12454833.333333334</v>
      </c>
      <c r="L83" s="60">
        <f t="shared" si="11"/>
        <v>11763600</v>
      </c>
      <c r="M83" s="60">
        <f t="shared" si="11"/>
        <v>12146700</v>
      </c>
      <c r="N83" s="60">
        <f t="shared" si="11"/>
        <v>11151850</v>
      </c>
      <c r="O83" s="60">
        <f t="shared" si="11"/>
        <v>11916916.666666666</v>
      </c>
    </row>
    <row r="84" spans="2:16" x14ac:dyDescent="0.55000000000000004">
      <c r="B84" t="s">
        <v>91</v>
      </c>
      <c r="C84" s="11" t="s">
        <v>21</v>
      </c>
      <c r="D84" s="60">
        <f t="shared" ref="D84:O84" si="12">D48/D59</f>
        <v>11567333.333333334</v>
      </c>
      <c r="E84" s="60">
        <f t="shared" si="12"/>
        <v>12117266.666666668</v>
      </c>
      <c r="F84" s="60">
        <f t="shared" si="12"/>
        <v>13407133.333333334</v>
      </c>
      <c r="G84" s="60">
        <f t="shared" si="12"/>
        <v>12576566.666666668</v>
      </c>
      <c r="H84" s="60">
        <f t="shared" si="12"/>
        <v>12320966.666666668</v>
      </c>
      <c r="I84" s="60">
        <f t="shared" si="12"/>
        <v>15164233.333333334</v>
      </c>
      <c r="J84" s="60">
        <f t="shared" si="12"/>
        <v>13353100</v>
      </c>
      <c r="K84" s="60">
        <f t="shared" si="12"/>
        <v>12368716.666666668</v>
      </c>
      <c r="L84" s="60">
        <f t="shared" si="12"/>
        <v>12728500</v>
      </c>
      <c r="M84" s="60">
        <f t="shared" si="12"/>
        <v>12304033.333333334</v>
      </c>
      <c r="N84" s="60">
        <f t="shared" si="12"/>
        <v>11984116.666666666</v>
      </c>
      <c r="O84" s="60">
        <f t="shared" si="12"/>
        <v>11860166.666666668</v>
      </c>
    </row>
    <row r="85" spans="2:16" x14ac:dyDescent="0.55000000000000004">
      <c r="C85" s="11" t="s">
        <v>22</v>
      </c>
      <c r="D85" s="60">
        <f t="shared" ref="D85:O85" si="13">D49/D60</f>
        <v>11563100</v>
      </c>
      <c r="E85" s="60">
        <f t="shared" si="13"/>
        <v>11724150</v>
      </c>
      <c r="F85" s="60">
        <f t="shared" si="13"/>
        <v>13447866.666666668</v>
      </c>
      <c r="G85" s="60">
        <f t="shared" si="13"/>
        <v>13967500.000000002</v>
      </c>
      <c r="H85" s="60">
        <f t="shared" si="13"/>
        <v>13086683.333333334</v>
      </c>
      <c r="I85" s="60">
        <f t="shared" si="13"/>
        <v>15474783.333333334</v>
      </c>
      <c r="J85" s="60">
        <f t="shared" si="13"/>
        <v>12712516.666666668</v>
      </c>
      <c r="K85" s="60">
        <f t="shared" si="13"/>
        <v>12360383.333333336</v>
      </c>
      <c r="L85" s="60">
        <f t="shared" si="13"/>
        <v>13552800.000000002</v>
      </c>
      <c r="M85" s="60">
        <f t="shared" si="13"/>
        <v>13886233.333333334</v>
      </c>
      <c r="N85" s="60">
        <f t="shared" si="13"/>
        <v>11867866.666666666</v>
      </c>
      <c r="O85" s="60">
        <f t="shared" si="13"/>
        <v>11724366.666666668</v>
      </c>
    </row>
    <row r="86" spans="2:16" x14ac:dyDescent="0.55000000000000004">
      <c r="C86" s="11" t="s">
        <v>23</v>
      </c>
      <c r="D86" s="60">
        <f t="shared" ref="D86:O86" si="14">D50/D61</f>
        <v>11325750</v>
      </c>
      <c r="E86" s="60">
        <f t="shared" si="14"/>
        <v>12293466.666666668</v>
      </c>
      <c r="F86" s="60">
        <f t="shared" si="14"/>
        <v>12538866.699999999</v>
      </c>
      <c r="G86" s="60">
        <f t="shared" si="14"/>
        <v>10804586.639713153</v>
      </c>
      <c r="H86" s="60">
        <f t="shared" si="14"/>
        <v>11385231.820761472</v>
      </c>
      <c r="I86" s="60">
        <f t="shared" si="14"/>
        <v>12848742.323659111</v>
      </c>
      <c r="J86" s="60">
        <f t="shared" si="14"/>
        <v>12011141.72498103</v>
      </c>
      <c r="K86" s="60">
        <f t="shared" si="14"/>
        <v>12007555.926960722</v>
      </c>
      <c r="L86" s="60">
        <f t="shared" si="14"/>
        <v>12114722.883063262</v>
      </c>
      <c r="M86" s="60">
        <f t="shared" si="14"/>
        <v>12432448.336847106</v>
      </c>
      <c r="N86" s="60">
        <f t="shared" si="14"/>
        <v>12144480.192413529</v>
      </c>
      <c r="O86" s="60">
        <f t="shared" si="14"/>
        <v>9968256.4551196434</v>
      </c>
    </row>
    <row r="87" spans="2:16" x14ac:dyDescent="0.55000000000000004">
      <c r="C87" s="11" t="s">
        <v>24</v>
      </c>
      <c r="D87" s="60">
        <f t="shared" ref="D87:O87" si="15">D51/D62</f>
        <v>10973177.168927584</v>
      </c>
      <c r="E87" s="60">
        <f t="shared" si="15"/>
        <v>12626363.564057395</v>
      </c>
      <c r="F87" s="60">
        <f t="shared" si="15"/>
        <v>13550975.096935781</v>
      </c>
      <c r="G87" s="60">
        <f t="shared" si="15"/>
        <v>13829033.333333334</v>
      </c>
      <c r="H87" s="60">
        <f t="shared" si="15"/>
        <v>12851366.666666668</v>
      </c>
      <c r="I87" s="60">
        <f t="shared" si="15"/>
        <v>13485100.000000002</v>
      </c>
      <c r="J87" s="60">
        <f t="shared" si="15"/>
        <v>14038250</v>
      </c>
      <c r="K87" s="60">
        <f t="shared" si="15"/>
        <v>13329833.333333334</v>
      </c>
      <c r="L87" s="60">
        <f t="shared" si="15"/>
        <v>12012066.666666668</v>
      </c>
      <c r="M87" s="60">
        <f t="shared" si="15"/>
        <v>12524250.000000002</v>
      </c>
      <c r="N87" s="60">
        <f t="shared" si="15"/>
        <v>12108166.666666668</v>
      </c>
      <c r="O87" s="60">
        <f t="shared" si="15"/>
        <v>11953750</v>
      </c>
    </row>
    <row r="88" spans="2:16" x14ac:dyDescent="0.55000000000000004">
      <c r="C88" s="11" t="s">
        <v>25</v>
      </c>
      <c r="D88" s="60">
        <f t="shared" ref="D88:O89" si="16">D52/D63</f>
        <v>12596066.333333334</v>
      </c>
      <c r="E88" s="60">
        <f t="shared" si="16"/>
        <v>11889966.666666666</v>
      </c>
      <c r="F88" s="60">
        <f t="shared" si="16"/>
        <v>11809533.333333334</v>
      </c>
      <c r="G88" s="60">
        <f t="shared" si="16"/>
        <v>13087433.333333336</v>
      </c>
      <c r="H88" s="60">
        <f t="shared" si="16"/>
        <v>12776266.666666668</v>
      </c>
      <c r="I88" s="60">
        <f t="shared" si="16"/>
        <v>14938466.66666667</v>
      </c>
      <c r="J88" s="60">
        <f t="shared" si="16"/>
        <v>13238250</v>
      </c>
      <c r="K88" s="60">
        <f t="shared" si="16"/>
        <v>13465616.666666668</v>
      </c>
      <c r="L88" s="60">
        <f t="shared" si="16"/>
        <v>11940616.666666668</v>
      </c>
      <c r="M88" s="60">
        <f t="shared" si="16"/>
        <v>12149850</v>
      </c>
      <c r="N88" s="60">
        <f t="shared" si="16"/>
        <v>10918183</v>
      </c>
      <c r="O88" s="60">
        <f t="shared" si="16"/>
        <v>11755966.666666668</v>
      </c>
    </row>
    <row r="89" spans="2:16" x14ac:dyDescent="0.55000000000000004">
      <c r="C89" s="11" t="s">
        <v>26</v>
      </c>
      <c r="D89" s="60">
        <f t="shared" si="16"/>
        <v>12463461.261261262</v>
      </c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</row>
    <row r="92" spans="2:16" x14ac:dyDescent="0.55000000000000004">
      <c r="D92" t="s">
        <v>1</v>
      </c>
      <c r="E92" t="s">
        <v>2</v>
      </c>
      <c r="F92" t="s">
        <v>3</v>
      </c>
      <c r="G92" t="s">
        <v>4</v>
      </c>
      <c r="H92" t="s">
        <v>5</v>
      </c>
      <c r="I92" t="s">
        <v>6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12</v>
      </c>
    </row>
    <row r="93" spans="2:16" x14ac:dyDescent="0.55000000000000004">
      <c r="C93" t="s">
        <v>18</v>
      </c>
      <c r="D93">
        <v>0.74894932570105288</v>
      </c>
      <c r="E93">
        <v>0.78979455464355741</v>
      </c>
      <c r="F93">
        <v>0.8410723215533279</v>
      </c>
      <c r="G93">
        <v>0.76051176013206245</v>
      </c>
      <c r="H93">
        <v>0.76350590891254133</v>
      </c>
      <c r="I93">
        <v>0.71969535193417611</v>
      </c>
      <c r="J93">
        <v>0.71486397211762021</v>
      </c>
      <c r="K93">
        <v>0.69121557426324631</v>
      </c>
      <c r="L93">
        <v>0.69820739644143726</v>
      </c>
      <c r="M93">
        <v>0.78139470842454783</v>
      </c>
      <c r="N93">
        <v>0.79352426587520475</v>
      </c>
      <c r="O93">
        <v>0.78933897809297004</v>
      </c>
    </row>
    <row r="94" spans="2:16" x14ac:dyDescent="0.55000000000000004">
      <c r="C94" t="s">
        <v>19</v>
      </c>
      <c r="D94">
        <v>0.8065683069952474</v>
      </c>
      <c r="E94">
        <v>0.75966020128869882</v>
      </c>
      <c r="F94">
        <v>0.78516849988497528</v>
      </c>
      <c r="G94">
        <v>0.76205750215668822</v>
      </c>
      <c r="H94">
        <v>0.71222292579606394</v>
      </c>
      <c r="I94">
        <v>0.68542932542223634</v>
      </c>
      <c r="J94">
        <v>0.69222930479755573</v>
      </c>
      <c r="K94">
        <v>0.69317744194268216</v>
      </c>
      <c r="L94">
        <v>0.70578473065294556</v>
      </c>
      <c r="M94">
        <v>0.69063268328559035</v>
      </c>
      <c r="N94">
        <v>0.73653063585848988</v>
      </c>
      <c r="O94">
        <v>0.73301401667214761</v>
      </c>
    </row>
    <row r="95" spans="2:16" x14ac:dyDescent="0.55000000000000004">
      <c r="C95" t="s">
        <v>20</v>
      </c>
      <c r="D95">
        <v>0.76548079754630205</v>
      </c>
      <c r="E95">
        <v>0.74867601087273516</v>
      </c>
      <c r="F95">
        <v>0.75474992876422931</v>
      </c>
      <c r="G95">
        <v>0.7722717956608901</v>
      </c>
      <c r="H95">
        <v>0.7582057721182629</v>
      </c>
      <c r="I95">
        <v>0.73928165448877581</v>
      </c>
      <c r="J95">
        <v>0.71789572299533999</v>
      </c>
      <c r="K95">
        <v>0.66999329669873808</v>
      </c>
      <c r="L95">
        <v>0.7028091052019223</v>
      </c>
      <c r="M95">
        <v>0.71916164654515213</v>
      </c>
      <c r="N95">
        <v>0.76121851311023125</v>
      </c>
      <c r="O95">
        <v>0.77653405995804281</v>
      </c>
    </row>
    <row r="96" spans="2:16" x14ac:dyDescent="0.55000000000000004">
      <c r="C96" t="s">
        <v>21</v>
      </c>
      <c r="D96">
        <v>0.77000871712077124</v>
      </c>
      <c r="E96">
        <v>0.77692301491562998</v>
      </c>
      <c r="F96">
        <v>0.7921132008071573</v>
      </c>
      <c r="G96">
        <v>0.76182151110689977</v>
      </c>
      <c r="H96">
        <v>0.77454112026559052</v>
      </c>
      <c r="I96">
        <v>0.6912106869905501</v>
      </c>
      <c r="J96">
        <v>0.70064759664048037</v>
      </c>
      <c r="K96">
        <v>0.61413679929715148</v>
      </c>
      <c r="L96">
        <v>0.70637644155176715</v>
      </c>
      <c r="M96">
        <v>0.71936961647427267</v>
      </c>
      <c r="N96">
        <v>0.70376384293043437</v>
      </c>
      <c r="O96">
        <v>0.73073376941330215</v>
      </c>
    </row>
    <row r="97" spans="3:15" x14ac:dyDescent="0.55000000000000004">
      <c r="C97" t="s">
        <v>22</v>
      </c>
      <c r="D97">
        <v>0.75361524660168977</v>
      </c>
      <c r="E97">
        <v>0.74929127347241942</v>
      </c>
      <c r="F97">
        <v>0.79807839370631273</v>
      </c>
      <c r="G97">
        <v>0.78945867156816396</v>
      </c>
      <c r="H97">
        <v>0.7270163409688728</v>
      </c>
      <c r="I97">
        <v>0.72550345660531601</v>
      </c>
      <c r="J97">
        <v>0.693104730528049</v>
      </c>
      <c r="K97">
        <v>0.70320997308821331</v>
      </c>
      <c r="L97">
        <v>0.66627483763047723</v>
      </c>
      <c r="M97">
        <v>0.60103831197048874</v>
      </c>
      <c r="N97">
        <v>0.71449002082963542</v>
      </c>
      <c r="O97">
        <v>0.73766398312460357</v>
      </c>
    </row>
    <row r="98" spans="3:15" x14ac:dyDescent="0.55000000000000004">
      <c r="C98" t="s">
        <v>23</v>
      </c>
      <c r="D98">
        <v>0.73386001807003209</v>
      </c>
      <c r="E98">
        <v>0.72731390611856173</v>
      </c>
      <c r="F98">
        <v>0.74287535309829877</v>
      </c>
      <c r="G98">
        <v>0.78807978475858254</v>
      </c>
      <c r="H98">
        <v>0.74292277203470281</v>
      </c>
      <c r="I98">
        <v>0.76695207127762033</v>
      </c>
      <c r="J98">
        <v>0.68968067007142575</v>
      </c>
      <c r="K98">
        <v>0.71622955805181487</v>
      </c>
      <c r="L98">
        <v>0.69893754932497609</v>
      </c>
      <c r="M98">
        <v>0.68073775722197838</v>
      </c>
      <c r="N98">
        <v>0.73343851011853012</v>
      </c>
      <c r="O98">
        <v>0.74607928442304983</v>
      </c>
    </row>
    <row r="99" spans="3:15" x14ac:dyDescent="0.55000000000000004">
      <c r="C99" t="s">
        <v>24</v>
      </c>
      <c r="D99">
        <v>0.76308040200584915</v>
      </c>
      <c r="E99">
        <v>0.75860982688526712</v>
      </c>
      <c r="F99">
        <v>0.78567628296905012</v>
      </c>
      <c r="G99">
        <v>0.78670089794900111</v>
      </c>
      <c r="H99">
        <v>0.75882920310053281</v>
      </c>
      <c r="I99">
        <v>0.80840068594992476</v>
      </c>
      <c r="J99">
        <v>0.68625660961480239</v>
      </c>
      <c r="K99">
        <v>0.72924914301541643</v>
      </c>
      <c r="L99">
        <v>0.73160026101947495</v>
      </c>
      <c r="M99">
        <v>0.76043720247346802</v>
      </c>
      <c r="N99">
        <v>0.75238699940742471</v>
      </c>
      <c r="O99">
        <v>0.75449458572149608</v>
      </c>
    </row>
    <row r="100" spans="3:15" x14ac:dyDescent="0.55000000000000004">
      <c r="C100" t="s">
        <v>25</v>
      </c>
      <c r="D100">
        <v>0.74063139749436058</v>
      </c>
      <c r="E100">
        <v>0.72078373987031086</v>
      </c>
      <c r="F100">
        <v>0.85369407547503995</v>
      </c>
      <c r="G100">
        <v>0.70441954373368332</v>
      </c>
      <c r="H100">
        <v>0.77034736574299223</v>
      </c>
      <c r="I100">
        <v>0.71346314012192225</v>
      </c>
      <c r="J100">
        <v>0.71230041720746073</v>
      </c>
      <c r="K100">
        <v>0.72361110120145511</v>
      </c>
      <c r="L100">
        <v>0.78102802882039879</v>
      </c>
      <c r="M100">
        <v>0.75772312677522768</v>
      </c>
      <c r="N100">
        <v>0.82783459851622465</v>
      </c>
      <c r="O100">
        <v>0.80217507386210052</v>
      </c>
    </row>
    <row r="101" spans="3:15" x14ac:dyDescent="0.55000000000000004">
      <c r="D101">
        <v>0.74</v>
      </c>
    </row>
    <row r="103" spans="3:15" x14ac:dyDescent="0.55000000000000004">
      <c r="D103" s="64">
        <f>AVERAGE(D93:D100)</f>
        <v>0.76027427644191314</v>
      </c>
      <c r="E103" s="64">
        <f t="shared" ref="E103:O103" si="17">AVERAGE(E93:E100)</f>
        <v>0.75388156600839751</v>
      </c>
      <c r="F103" s="64">
        <f t="shared" si="17"/>
        <v>0.79417850703229886</v>
      </c>
      <c r="G103" s="64">
        <f t="shared" si="17"/>
        <v>0.76566518338324641</v>
      </c>
      <c r="H103" s="64">
        <f t="shared" si="17"/>
        <v>0.7509489261174449</v>
      </c>
      <c r="I103" s="64">
        <f t="shared" si="17"/>
        <v>0.7312420465988152</v>
      </c>
      <c r="J103" s="64">
        <f t="shared" si="17"/>
        <v>0.70087237799659174</v>
      </c>
      <c r="K103" s="64">
        <f t="shared" si="17"/>
        <v>0.6926028609448398</v>
      </c>
      <c r="L103" s="64">
        <f t="shared" si="17"/>
        <v>0.71137729383042492</v>
      </c>
      <c r="M103" s="64">
        <f t="shared" si="17"/>
        <v>0.71381188164634068</v>
      </c>
      <c r="N103" s="64">
        <f t="shared" si="17"/>
        <v>0.75289842333077184</v>
      </c>
      <c r="O103" s="64">
        <f t="shared" si="17"/>
        <v>0.75875421890846406</v>
      </c>
    </row>
    <row r="108" spans="3:15" x14ac:dyDescent="0.55000000000000004">
      <c r="D108" t="s">
        <v>97</v>
      </c>
    </row>
    <row r="109" spans="3:15" x14ac:dyDescent="0.55000000000000004">
      <c r="D109" t="s">
        <v>1</v>
      </c>
      <c r="E109" t="s">
        <v>2</v>
      </c>
      <c r="F109" t="s">
        <v>3</v>
      </c>
      <c r="G109" t="s">
        <v>4</v>
      </c>
      <c r="H109" t="s">
        <v>5</v>
      </c>
      <c r="I109" t="s">
        <v>6</v>
      </c>
      <c r="J109" t="s">
        <v>7</v>
      </c>
      <c r="K109" t="s">
        <v>8</v>
      </c>
      <c r="L109" t="s">
        <v>9</v>
      </c>
      <c r="M109" t="s">
        <v>10</v>
      </c>
      <c r="N109" t="s">
        <v>11</v>
      </c>
      <c r="O109" t="s">
        <v>12</v>
      </c>
    </row>
    <row r="110" spans="3:15" x14ac:dyDescent="0.55000000000000004">
      <c r="C110" t="s">
        <v>17</v>
      </c>
      <c r="D110" s="61">
        <v>10954100</v>
      </c>
      <c r="E110" s="61">
        <v>11034100.000000002</v>
      </c>
      <c r="F110" s="61">
        <v>12652216.666666668</v>
      </c>
      <c r="G110" s="61">
        <v>11826133.333333334</v>
      </c>
      <c r="H110" s="61">
        <v>11680583.333333334</v>
      </c>
      <c r="I110" s="61">
        <v>13757350</v>
      </c>
      <c r="J110" s="61">
        <v>11601316.666666668</v>
      </c>
      <c r="K110" s="61">
        <v>12376150</v>
      </c>
      <c r="L110" s="61">
        <v>11541050</v>
      </c>
      <c r="M110" s="61">
        <v>11045100.000000002</v>
      </c>
      <c r="N110" s="61">
        <v>11236051.314217445</v>
      </c>
      <c r="O110" s="61">
        <v>10290316.666666668</v>
      </c>
    </row>
    <row r="111" spans="3:15" x14ac:dyDescent="0.55000000000000004">
      <c r="C111" t="s">
        <v>18</v>
      </c>
      <c r="D111" s="61">
        <v>10396266.666666668</v>
      </c>
      <c r="E111" s="61">
        <v>10860351.277955271</v>
      </c>
      <c r="F111" s="61">
        <v>11342100.000000002</v>
      </c>
      <c r="G111" s="61">
        <v>12900466.666666668</v>
      </c>
      <c r="H111" s="61">
        <v>11260350</v>
      </c>
      <c r="I111" s="61">
        <v>13237333.333333334</v>
      </c>
      <c r="J111" s="61">
        <v>12122650</v>
      </c>
      <c r="K111" s="61">
        <v>11890000</v>
      </c>
      <c r="L111" s="61">
        <v>12149100.000000002</v>
      </c>
      <c r="M111" s="61">
        <v>10616000</v>
      </c>
      <c r="N111" s="61">
        <v>11784100.000000002</v>
      </c>
      <c r="O111" s="61">
        <v>11177766.666666668</v>
      </c>
    </row>
    <row r="112" spans="3:15" x14ac:dyDescent="0.55000000000000004">
      <c r="C112" t="s">
        <v>19</v>
      </c>
      <c r="D112" s="61">
        <v>12224966.666666668</v>
      </c>
      <c r="E112" s="61">
        <v>12735066.666666668</v>
      </c>
      <c r="F112" s="61">
        <v>12779850</v>
      </c>
      <c r="G112" s="61">
        <v>13426450</v>
      </c>
      <c r="H112" s="61">
        <v>12432000</v>
      </c>
      <c r="I112" s="61">
        <v>13950516.666666668</v>
      </c>
      <c r="J112" s="61">
        <v>12753716.666666668</v>
      </c>
      <c r="K112" s="61">
        <v>13959566.666666668</v>
      </c>
      <c r="L112" s="61">
        <v>12584000.000000002</v>
      </c>
      <c r="M112" s="61">
        <v>13364416.666666668</v>
      </c>
      <c r="N112" s="61">
        <v>12094300</v>
      </c>
      <c r="O112" s="61">
        <v>11605883.333333334</v>
      </c>
    </row>
    <row r="113" spans="3:15" x14ac:dyDescent="0.55000000000000004">
      <c r="C113" t="s">
        <v>20</v>
      </c>
      <c r="D113" s="61">
        <v>11643650</v>
      </c>
      <c r="E113" s="61">
        <v>11555816.666666666</v>
      </c>
      <c r="F113" s="61">
        <v>12828433.333333336</v>
      </c>
      <c r="G113" s="61">
        <v>11830383.333333334</v>
      </c>
      <c r="H113" s="61">
        <v>12610883.333333336</v>
      </c>
      <c r="I113" s="61">
        <v>13620083.333333334</v>
      </c>
      <c r="J113" s="61">
        <v>12939433.333333334</v>
      </c>
      <c r="K113" s="61">
        <v>12454833.333333334</v>
      </c>
      <c r="L113" s="61">
        <v>11763600</v>
      </c>
      <c r="M113" s="61">
        <v>12146700</v>
      </c>
      <c r="N113" s="61">
        <v>11151850</v>
      </c>
      <c r="O113" s="61">
        <v>11916916.666666666</v>
      </c>
    </row>
    <row r="114" spans="3:15" x14ac:dyDescent="0.55000000000000004">
      <c r="C114" t="s">
        <v>21</v>
      </c>
      <c r="D114" s="61">
        <v>11567333.333333334</v>
      </c>
      <c r="E114" s="61">
        <v>12117266.666666668</v>
      </c>
      <c r="F114" s="61">
        <v>13407133.333333334</v>
      </c>
      <c r="G114" s="61">
        <v>12576566.666666668</v>
      </c>
      <c r="H114" s="61">
        <v>12320966.666666668</v>
      </c>
      <c r="I114" s="61">
        <v>15164233.333333334</v>
      </c>
      <c r="J114" s="61">
        <v>13353100</v>
      </c>
      <c r="K114" s="61">
        <v>12368716.666666668</v>
      </c>
      <c r="L114" s="61">
        <v>12728500</v>
      </c>
      <c r="M114" s="61">
        <v>12304033.333333334</v>
      </c>
      <c r="N114" s="61">
        <v>11984116.666666666</v>
      </c>
      <c r="O114" s="61">
        <v>11860166.666666668</v>
      </c>
    </row>
    <row r="115" spans="3:15" x14ac:dyDescent="0.55000000000000004">
      <c r="C115" t="s">
        <v>22</v>
      </c>
      <c r="D115" s="61">
        <v>11563100</v>
      </c>
      <c r="E115" s="61">
        <v>11724150</v>
      </c>
      <c r="F115" s="61">
        <v>13447866.666666668</v>
      </c>
      <c r="G115" s="61">
        <v>13967500.000000002</v>
      </c>
      <c r="H115" s="61">
        <v>13086683.333333334</v>
      </c>
      <c r="I115" s="61">
        <v>15474783.333333334</v>
      </c>
      <c r="J115" s="61">
        <v>12712516.666666668</v>
      </c>
      <c r="K115" s="61">
        <v>12360383.333333336</v>
      </c>
      <c r="L115" s="61">
        <v>13552800.000000002</v>
      </c>
      <c r="M115" s="61">
        <v>13886233.333333334</v>
      </c>
      <c r="N115" s="61">
        <v>11867866.666666666</v>
      </c>
      <c r="O115" s="61">
        <v>11724366.666666668</v>
      </c>
    </row>
    <row r="116" spans="3:15" x14ac:dyDescent="0.55000000000000004">
      <c r="C116" t="s">
        <v>23</v>
      </c>
      <c r="D116" s="61">
        <v>11325750</v>
      </c>
      <c r="E116" s="61">
        <v>12293466.666666668</v>
      </c>
      <c r="F116" s="61">
        <v>12538866.699999999</v>
      </c>
      <c r="G116" s="61">
        <v>10804586.639713153</v>
      </c>
      <c r="H116" s="61">
        <v>11385231.820761472</v>
      </c>
      <c r="I116" s="61">
        <v>12848742.323659111</v>
      </c>
      <c r="J116" s="61">
        <v>12011141.72498103</v>
      </c>
      <c r="K116" s="61">
        <v>12007555.926960722</v>
      </c>
      <c r="L116" s="61">
        <v>12114722.883063262</v>
      </c>
      <c r="M116" s="61">
        <v>12432448.336847106</v>
      </c>
      <c r="N116" s="61">
        <v>12144480.192413529</v>
      </c>
      <c r="O116" s="61">
        <v>9968256.4551196434</v>
      </c>
    </row>
    <row r="117" spans="3:15" x14ac:dyDescent="0.55000000000000004">
      <c r="C117" t="s">
        <v>24</v>
      </c>
      <c r="D117" s="61">
        <v>10973177.168927584</v>
      </c>
      <c r="E117" s="61">
        <v>12626363.564057395</v>
      </c>
      <c r="F117" s="61">
        <v>13550975.096935781</v>
      </c>
      <c r="G117" s="61">
        <v>13829033.333333334</v>
      </c>
      <c r="H117" s="61">
        <v>12851366.666666668</v>
      </c>
      <c r="I117" s="61">
        <v>13485100.000000002</v>
      </c>
      <c r="J117" s="61">
        <v>14038250</v>
      </c>
      <c r="K117" s="61">
        <v>13329833.333333334</v>
      </c>
      <c r="L117" s="61">
        <v>12012066.666666668</v>
      </c>
      <c r="M117" s="61">
        <v>12524250.000000002</v>
      </c>
      <c r="N117" s="61">
        <v>12108166.666666668</v>
      </c>
      <c r="O117" s="61">
        <v>11953750</v>
      </c>
    </row>
    <row r="118" spans="3:15" x14ac:dyDescent="0.55000000000000004">
      <c r="C118" t="s">
        <v>25</v>
      </c>
      <c r="D118" s="61">
        <v>12596066.333333334</v>
      </c>
      <c r="E118" s="61">
        <v>11889966.666666666</v>
      </c>
      <c r="F118" s="61">
        <v>11809533.333333334</v>
      </c>
      <c r="G118" s="61">
        <v>13087433.333333336</v>
      </c>
      <c r="H118" s="61">
        <v>12776266.666666668</v>
      </c>
      <c r="I118" s="61">
        <v>14938466.666666668</v>
      </c>
      <c r="J118" s="61">
        <v>13238250</v>
      </c>
      <c r="K118" s="61">
        <v>13465616.666666668</v>
      </c>
      <c r="L118" s="61">
        <v>11940616.666666668</v>
      </c>
      <c r="M118" s="61">
        <v>12149850</v>
      </c>
      <c r="N118" s="61">
        <v>10918183</v>
      </c>
      <c r="O118" s="61">
        <v>11755966.666666668</v>
      </c>
    </row>
    <row r="119" spans="3:15" x14ac:dyDescent="0.55000000000000004">
      <c r="C119" t="s">
        <v>26</v>
      </c>
      <c r="D119" s="61">
        <v>10567150</v>
      </c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</row>
    <row r="122" spans="3:15" x14ac:dyDescent="0.55000000000000004">
      <c r="D122" t="s">
        <v>1</v>
      </c>
      <c r="E122" t="s">
        <v>2</v>
      </c>
      <c r="F122" t="s">
        <v>3</v>
      </c>
      <c r="G122" t="s">
        <v>4</v>
      </c>
      <c r="H122" t="s">
        <v>5</v>
      </c>
      <c r="I122" t="s">
        <v>6</v>
      </c>
      <c r="J122" t="s">
        <v>7</v>
      </c>
      <c r="K122" t="s">
        <v>8</v>
      </c>
      <c r="L122" t="s">
        <v>9</v>
      </c>
      <c r="M122" t="s">
        <v>10</v>
      </c>
      <c r="N122" t="s">
        <v>11</v>
      </c>
      <c r="O122" t="s">
        <v>12</v>
      </c>
    </row>
    <row r="123" spans="3:15" x14ac:dyDescent="0.55000000000000004">
      <c r="C123" t="s">
        <v>17</v>
      </c>
      <c r="D123" s="61">
        <v>10954100</v>
      </c>
      <c r="E123" s="61">
        <v>11034100.000000002</v>
      </c>
      <c r="F123" s="61">
        <v>12652216.666666668</v>
      </c>
      <c r="G123" s="61">
        <v>11826133.333333334</v>
      </c>
      <c r="H123" s="61">
        <v>11680583.333333334</v>
      </c>
      <c r="I123" s="61">
        <v>13757350</v>
      </c>
      <c r="J123" s="61">
        <v>11601316.666666668</v>
      </c>
      <c r="K123" s="61">
        <v>12376150</v>
      </c>
      <c r="L123" s="61">
        <v>11541050</v>
      </c>
      <c r="M123" s="61">
        <v>11045100.000000002</v>
      </c>
      <c r="N123" s="61">
        <v>11236051.314217445</v>
      </c>
      <c r="O123" s="61">
        <v>10290316.666666668</v>
      </c>
    </row>
    <row r="124" spans="3:15" x14ac:dyDescent="0.55000000000000004">
      <c r="C124" t="s">
        <v>18</v>
      </c>
      <c r="D124" s="61">
        <v>10241405.175837519</v>
      </c>
      <c r="E124" s="61">
        <v>11377710.621391861</v>
      </c>
      <c r="F124" s="61">
        <v>12011816.353400802</v>
      </c>
      <c r="G124" s="61">
        <v>12813638.159488946</v>
      </c>
      <c r="H124" s="61">
        <v>11448639.797480382</v>
      </c>
      <c r="I124" s="61">
        <v>13028308.911276396</v>
      </c>
      <c r="J124" s="61">
        <v>12364655.825591417</v>
      </c>
      <c r="K124" s="61">
        <v>11866184.275904313</v>
      </c>
      <c r="L124" s="61">
        <v>11924180.81610672</v>
      </c>
      <c r="M124" s="61">
        <v>11621109.760043073</v>
      </c>
      <c r="N124" s="61">
        <v>12419961.327760449</v>
      </c>
      <c r="O124" s="61">
        <v>11628333.257535063</v>
      </c>
    </row>
    <row r="125" spans="3:15" x14ac:dyDescent="0.55000000000000004">
      <c r="C125" t="s">
        <v>19</v>
      </c>
      <c r="D125" s="61">
        <v>12969359.838863384</v>
      </c>
      <c r="E125" s="61">
        <v>12832683.200688897</v>
      </c>
      <c r="F125" s="61">
        <v>12634861.765211318</v>
      </c>
      <c r="G125" s="61">
        <v>13363186.901904972</v>
      </c>
      <c r="H125" s="61">
        <v>11790888.974667616</v>
      </c>
      <c r="I125" s="61">
        <v>13076509.033637524</v>
      </c>
      <c r="J125" s="61">
        <v>12596439.378860211</v>
      </c>
      <c r="K125" s="61">
        <v>13971147.476098841</v>
      </c>
      <c r="L125" s="61">
        <v>12485069.63543009</v>
      </c>
      <c r="M125" s="61">
        <v>12930441.731732951</v>
      </c>
      <c r="N125" s="61">
        <v>11831373.520289401</v>
      </c>
      <c r="O125" s="61">
        <v>11212161.919090847</v>
      </c>
    </row>
    <row r="126" spans="3:15" x14ac:dyDescent="0.55000000000000004">
      <c r="C126" t="s">
        <v>20</v>
      </c>
      <c r="D126" s="61">
        <v>11723388.209400998</v>
      </c>
      <c r="E126" s="61">
        <v>11476023.707787938</v>
      </c>
      <c r="F126" s="61">
        <v>12191540.137079317</v>
      </c>
      <c r="G126" s="61">
        <v>11932462.881255142</v>
      </c>
      <c r="H126" s="61">
        <v>12732749.46177623</v>
      </c>
      <c r="I126" s="61">
        <v>13769828.728770999</v>
      </c>
      <c r="J126" s="61">
        <v>13253716.567538217</v>
      </c>
      <c r="K126" s="61">
        <v>12048253.501941452</v>
      </c>
      <c r="L126" s="61">
        <v>11621913.240211066</v>
      </c>
      <c r="M126" s="61">
        <v>12237735.174626848</v>
      </c>
      <c r="N126" s="61">
        <v>11275086.269770088</v>
      </c>
      <c r="O126" s="61">
        <v>12196165.043617005</v>
      </c>
    </row>
    <row r="127" spans="3:15" x14ac:dyDescent="0.55000000000000004">
      <c r="C127" t="s">
        <v>21</v>
      </c>
      <c r="D127" s="61">
        <v>11715439.778119138</v>
      </c>
      <c r="E127" s="61">
        <v>12487615.79494367</v>
      </c>
      <c r="F127" s="61">
        <v>13372267.323123479</v>
      </c>
      <c r="G127" s="61">
        <v>12513431.75903682</v>
      </c>
      <c r="H127" s="61">
        <v>12708048.434258636</v>
      </c>
      <c r="I127" s="61">
        <v>14334077.462819841</v>
      </c>
      <c r="J127" s="61">
        <v>13348817.440121025</v>
      </c>
      <c r="K127" s="61">
        <v>10967445.405462982</v>
      </c>
      <c r="L127" s="61">
        <v>12639020.972793279</v>
      </c>
      <c r="M127" s="61">
        <v>12399832.459600307</v>
      </c>
      <c r="N127" s="61">
        <v>11202026.379798494</v>
      </c>
      <c r="O127" s="61">
        <v>11422176.085783154</v>
      </c>
    </row>
    <row r="128" spans="3:15" x14ac:dyDescent="0.55000000000000004">
      <c r="C128" t="s">
        <v>22</v>
      </c>
      <c r="D128" s="61">
        <v>11461822.03975407</v>
      </c>
      <c r="E128" s="61">
        <v>11652763.086375576</v>
      </c>
      <c r="F128" s="61">
        <v>13513903.653997421</v>
      </c>
      <c r="G128" s="61">
        <v>14401548.136751296</v>
      </c>
      <c r="H128" s="61">
        <v>12669613.473726908</v>
      </c>
      <c r="I128" s="61">
        <v>15353341.415159617</v>
      </c>
      <c r="J128" s="61">
        <v>12571626.040919792</v>
      </c>
      <c r="K128" s="61">
        <v>12549680.807462877</v>
      </c>
      <c r="L128" s="61">
        <v>12693530.84186412</v>
      </c>
      <c r="M128" s="61">
        <v>11692377.861580789</v>
      </c>
      <c r="N128" s="61">
        <v>11262438.64923689</v>
      </c>
      <c r="O128" s="61">
        <v>11398477.661697241</v>
      </c>
    </row>
    <row r="129" spans="3:15" x14ac:dyDescent="0.55000000000000004">
      <c r="C129" t="s">
        <v>23</v>
      </c>
      <c r="D129" s="61">
        <v>10932258.735037822</v>
      </c>
      <c r="E129" s="61">
        <v>11860230.657201231</v>
      </c>
      <c r="F129" s="61">
        <v>11728868.188617665</v>
      </c>
      <c r="G129" s="61">
        <v>11120887.4299415</v>
      </c>
      <c r="H129" s="61">
        <v>11263546.281728052</v>
      </c>
      <c r="I129" s="61">
        <v>13476207.480515996</v>
      </c>
      <c r="J129" s="61">
        <v>11819344.766998453</v>
      </c>
      <c r="K129" s="61">
        <v>12417168.567737784</v>
      </c>
      <c r="L129" s="61">
        <v>11902874.601249047</v>
      </c>
      <c r="M129" s="61">
        <v>11856396.923631679</v>
      </c>
      <c r="N129" s="61">
        <v>11830585.883129887</v>
      </c>
      <c r="O129" s="61">
        <v>9801737.4502115585</v>
      </c>
    </row>
    <row r="130" spans="3:15" x14ac:dyDescent="0.55000000000000004">
      <c r="C130" t="s">
        <v>24</v>
      </c>
      <c r="D130" s="61">
        <v>11013678.490523566</v>
      </c>
      <c r="E130" s="61">
        <v>12705554.70434905</v>
      </c>
      <c r="F130" s="61">
        <v>13405902.640895408</v>
      </c>
      <c r="G130" s="61">
        <v>14208969.112357385</v>
      </c>
      <c r="H130" s="61">
        <v>12986225.810108226</v>
      </c>
      <c r="I130" s="61">
        <v>14908010.474518295</v>
      </c>
      <c r="J130" s="61">
        <v>13745500.824933136</v>
      </c>
      <c r="K130" s="61">
        <v>14035127.607776148</v>
      </c>
      <c r="L130" s="61">
        <v>12353544.574634008</v>
      </c>
      <c r="M130" s="61">
        <v>13342318.722843798</v>
      </c>
      <c r="N130" s="61">
        <v>12099941.910299385</v>
      </c>
      <c r="O130" s="61">
        <v>11886641.852275999</v>
      </c>
    </row>
    <row r="131" spans="3:15" x14ac:dyDescent="0.55000000000000004">
      <c r="C131" t="s">
        <v>25</v>
      </c>
      <c r="D131" s="61">
        <v>12270627.193975693</v>
      </c>
      <c r="E131" s="61">
        <v>11367958.877559118</v>
      </c>
      <c r="F131" s="61">
        <v>12694537.250152061</v>
      </c>
      <c r="G131" s="61">
        <v>12040568.145694517</v>
      </c>
      <c r="H131" s="61">
        <v>13106301.944637708</v>
      </c>
      <c r="I131" s="61">
        <v>14575263.260885818</v>
      </c>
      <c r="J131" s="61">
        <v>13454105.617702803</v>
      </c>
      <c r="K131" s="61">
        <v>14068480.299418449</v>
      </c>
      <c r="L131" s="61">
        <v>13109718.821430011</v>
      </c>
      <c r="M131" s="61">
        <v>12897266.868991736</v>
      </c>
      <c r="N131" s="61">
        <v>12004872.583403984</v>
      </c>
      <c r="O131" s="61">
        <v>12428719.596077001</v>
      </c>
    </row>
    <row r="132" spans="3:15" x14ac:dyDescent="0.55000000000000004">
      <c r="C132" t="s">
        <v>26</v>
      </c>
      <c r="D132" s="61">
        <v>12131097.446170127</v>
      </c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</row>
    <row r="134" spans="3:15" x14ac:dyDescent="0.55000000000000004">
      <c r="D134" t="s">
        <v>1</v>
      </c>
      <c r="E134" t="s">
        <v>2</v>
      </c>
      <c r="F134" t="s">
        <v>3</v>
      </c>
      <c r="G134" t="s">
        <v>4</v>
      </c>
      <c r="H134" t="s">
        <v>5</v>
      </c>
      <c r="I134" t="s">
        <v>6</v>
      </c>
      <c r="J134" t="s">
        <v>7</v>
      </c>
      <c r="K134" t="s">
        <v>8</v>
      </c>
      <c r="L134" t="s">
        <v>9</v>
      </c>
      <c r="M134" t="s">
        <v>10</v>
      </c>
      <c r="N134" t="s">
        <v>11</v>
      </c>
      <c r="O134" t="s">
        <v>12</v>
      </c>
    </row>
    <row r="135" spans="3:15" x14ac:dyDescent="0.55000000000000004">
      <c r="C135" t="s">
        <v>17</v>
      </c>
      <c r="D135" s="61">
        <f>D123-D110</f>
        <v>0</v>
      </c>
      <c r="E135" s="61">
        <f t="shared" ref="E135:O135" si="18">E123-E110</f>
        <v>0</v>
      </c>
      <c r="F135" s="61">
        <f t="shared" si="18"/>
        <v>0</v>
      </c>
      <c r="G135" s="61">
        <f t="shared" si="18"/>
        <v>0</v>
      </c>
      <c r="H135" s="61">
        <f t="shared" si="18"/>
        <v>0</v>
      </c>
      <c r="I135" s="61">
        <f t="shared" si="18"/>
        <v>0</v>
      </c>
      <c r="J135" s="61">
        <f t="shared" si="18"/>
        <v>0</v>
      </c>
      <c r="K135" s="61">
        <f t="shared" si="18"/>
        <v>0</v>
      </c>
      <c r="L135" s="61">
        <f t="shared" si="18"/>
        <v>0</v>
      </c>
      <c r="M135" s="61">
        <f t="shared" si="18"/>
        <v>0</v>
      </c>
      <c r="N135" s="61">
        <f t="shared" si="18"/>
        <v>0</v>
      </c>
      <c r="O135" s="61">
        <f t="shared" si="18"/>
        <v>0</v>
      </c>
    </row>
    <row r="136" spans="3:15" x14ac:dyDescent="0.55000000000000004">
      <c r="C136" t="s">
        <v>18</v>
      </c>
      <c r="D136" s="61">
        <f t="shared" ref="D136:O136" si="19">D124-D111</f>
        <v>-154861.49082914926</v>
      </c>
      <c r="E136" s="61">
        <f t="shared" si="19"/>
        <v>517359.34343658946</v>
      </c>
      <c r="F136" s="61">
        <f t="shared" si="19"/>
        <v>669716.35340080038</v>
      </c>
      <c r="G136" s="61">
        <f t="shared" si="19"/>
        <v>-86828.507177721709</v>
      </c>
      <c r="H136" s="61">
        <f t="shared" si="19"/>
        <v>188289.79748038203</v>
      </c>
      <c r="I136" s="61">
        <f t="shared" si="19"/>
        <v>-209024.42205693759</v>
      </c>
      <c r="J136" s="61">
        <f t="shared" si="19"/>
        <v>242005.82559141703</v>
      </c>
      <c r="K136" s="61">
        <f t="shared" si="19"/>
        <v>-23815.72409568727</v>
      </c>
      <c r="L136" s="61">
        <f t="shared" si="19"/>
        <v>-224919.18389328197</v>
      </c>
      <c r="M136" s="61">
        <f t="shared" si="19"/>
        <v>1005109.7600430734</v>
      </c>
      <c r="N136" s="61">
        <f t="shared" si="19"/>
        <v>635861.32776044682</v>
      </c>
      <c r="O136" s="61">
        <f t="shared" si="19"/>
        <v>450566.59086839482</v>
      </c>
    </row>
    <row r="137" spans="3:15" x14ac:dyDescent="0.55000000000000004">
      <c r="C137" t="s">
        <v>19</v>
      </c>
      <c r="D137" s="61">
        <f t="shared" ref="D137:O137" si="20">D125-D112</f>
        <v>744393.17219671607</v>
      </c>
      <c r="E137" s="61">
        <f t="shared" si="20"/>
        <v>97616.534022228792</v>
      </c>
      <c r="F137" s="61">
        <f t="shared" si="20"/>
        <v>-144988.23478868231</v>
      </c>
      <c r="G137" s="61">
        <f t="shared" si="20"/>
        <v>-63263.09809502773</v>
      </c>
      <c r="H137" s="61">
        <f t="shared" si="20"/>
        <v>-641111.02533238381</v>
      </c>
      <c r="I137" s="61">
        <f t="shared" si="20"/>
        <v>-874007.63302914426</v>
      </c>
      <c r="J137" s="61">
        <f t="shared" si="20"/>
        <v>-157277.28780645691</v>
      </c>
      <c r="K137" s="61">
        <f t="shared" si="20"/>
        <v>11580.809432173148</v>
      </c>
      <c r="L137" s="61">
        <f t="shared" si="20"/>
        <v>-98930.364569911733</v>
      </c>
      <c r="M137" s="61">
        <f t="shared" si="20"/>
        <v>-433974.93493371643</v>
      </c>
      <c r="N137" s="61">
        <f t="shared" si="20"/>
        <v>-262926.47971059941</v>
      </c>
      <c r="O137" s="61">
        <f t="shared" si="20"/>
        <v>-393721.4142424874</v>
      </c>
    </row>
    <row r="138" spans="3:15" x14ac:dyDescent="0.55000000000000004">
      <c r="C138" t="s">
        <v>20</v>
      </c>
      <c r="D138" s="61">
        <f t="shared" ref="D138:O138" si="21">D126-D113</f>
        <v>79738.209400998428</v>
      </c>
      <c r="E138" s="61">
        <f t="shared" si="21"/>
        <v>-79792.95887872763</v>
      </c>
      <c r="F138" s="61">
        <f t="shared" si="21"/>
        <v>-636893.19625401869</v>
      </c>
      <c r="G138" s="61">
        <f t="shared" si="21"/>
        <v>102079.54792180844</v>
      </c>
      <c r="H138" s="61">
        <f t="shared" si="21"/>
        <v>121866.12844289467</v>
      </c>
      <c r="I138" s="61">
        <f t="shared" si="21"/>
        <v>149745.39543766528</v>
      </c>
      <c r="J138" s="61">
        <f t="shared" si="21"/>
        <v>314283.23420488276</v>
      </c>
      <c r="K138" s="61">
        <f t="shared" si="21"/>
        <v>-406579.83139188215</v>
      </c>
      <c r="L138" s="61">
        <f t="shared" si="21"/>
        <v>-141686.75978893414</v>
      </c>
      <c r="M138" s="61">
        <f t="shared" si="21"/>
        <v>91035.174626847729</v>
      </c>
      <c r="N138" s="61">
        <f t="shared" si="21"/>
        <v>123236.26977008767</v>
      </c>
      <c r="O138" s="61">
        <f t="shared" si="21"/>
        <v>279248.37695033848</v>
      </c>
    </row>
    <row r="139" spans="3:15" x14ac:dyDescent="0.55000000000000004">
      <c r="C139" t="s">
        <v>21</v>
      </c>
      <c r="D139" s="61">
        <f t="shared" ref="D139:O139" si="22">D127-D114</f>
        <v>148106.44478580356</v>
      </c>
      <c r="E139" s="61">
        <f t="shared" si="22"/>
        <v>370349.1282770019</v>
      </c>
      <c r="F139" s="61">
        <f t="shared" si="22"/>
        <v>-34866.010209854692</v>
      </c>
      <c r="G139" s="61">
        <f t="shared" si="22"/>
        <v>-63134.907629847527</v>
      </c>
      <c r="H139" s="61">
        <f t="shared" si="22"/>
        <v>387081.76759196818</v>
      </c>
      <c r="I139" s="61">
        <f t="shared" si="22"/>
        <v>-830155.8705134932</v>
      </c>
      <c r="J139" s="61">
        <f t="shared" si="22"/>
        <v>-4282.559878975153</v>
      </c>
      <c r="K139" s="61">
        <f t="shared" si="22"/>
        <v>-1401271.2612036858</v>
      </c>
      <c r="L139" s="61">
        <f t="shared" si="22"/>
        <v>-89479.027206720784</v>
      </c>
      <c r="M139" s="61">
        <f t="shared" si="22"/>
        <v>95799.126266973093</v>
      </c>
      <c r="N139" s="61">
        <f t="shared" si="22"/>
        <v>-782090.28686817177</v>
      </c>
      <c r="O139" s="61">
        <f t="shared" si="22"/>
        <v>-437990.58088351414</v>
      </c>
    </row>
    <row r="140" spans="3:15" x14ac:dyDescent="0.55000000000000004">
      <c r="C140" t="s">
        <v>22</v>
      </c>
      <c r="D140" s="61">
        <f t="shared" ref="D140:O140" si="23">D128-D115</f>
        <v>-101277.96024592966</v>
      </c>
      <c r="E140" s="61">
        <f t="shared" si="23"/>
        <v>-71386.913624424487</v>
      </c>
      <c r="F140" s="61">
        <f t="shared" si="23"/>
        <v>66036.987330753356</v>
      </c>
      <c r="G140" s="61">
        <f t="shared" si="23"/>
        <v>434048.13675129414</v>
      </c>
      <c r="H140" s="61">
        <f t="shared" si="23"/>
        <v>-417069.85960642621</v>
      </c>
      <c r="I140" s="61">
        <f t="shared" si="23"/>
        <v>-121441.91817371733</v>
      </c>
      <c r="J140" s="61">
        <f t="shared" si="23"/>
        <v>-140890.625746876</v>
      </c>
      <c r="K140" s="61">
        <f t="shared" si="23"/>
        <v>189297.47412954085</v>
      </c>
      <c r="L140" s="61">
        <f t="shared" si="23"/>
        <v>-859269.15813588165</v>
      </c>
      <c r="M140" s="61">
        <f t="shared" si="23"/>
        <v>-2193855.4717525449</v>
      </c>
      <c r="N140" s="61">
        <f t="shared" si="23"/>
        <v>-605428.01742977649</v>
      </c>
      <c r="O140" s="61">
        <f t="shared" si="23"/>
        <v>-325889.00496942736</v>
      </c>
    </row>
    <row r="141" spans="3:15" x14ac:dyDescent="0.55000000000000004">
      <c r="C141" t="s">
        <v>23</v>
      </c>
      <c r="D141" s="61">
        <f t="shared" ref="D141:O141" si="24">D129-D116</f>
        <v>-393491.26496217772</v>
      </c>
      <c r="E141" s="61">
        <f t="shared" si="24"/>
        <v>-433236.00946543738</v>
      </c>
      <c r="F141" s="61">
        <f t="shared" si="24"/>
        <v>-809998.51138233393</v>
      </c>
      <c r="G141" s="61">
        <f t="shared" si="24"/>
        <v>316300.79022834636</v>
      </c>
      <c r="H141" s="61">
        <f t="shared" si="24"/>
        <v>-121685.53903342038</v>
      </c>
      <c r="I141" s="61">
        <f t="shared" si="24"/>
        <v>627465.15685688518</v>
      </c>
      <c r="J141" s="61">
        <f t="shared" si="24"/>
        <v>-191796.95798257738</v>
      </c>
      <c r="K141" s="61">
        <f t="shared" si="24"/>
        <v>409612.64077706262</v>
      </c>
      <c r="L141" s="61">
        <f t="shared" si="24"/>
        <v>-211848.2818142157</v>
      </c>
      <c r="M141" s="61">
        <f t="shared" si="24"/>
        <v>-576051.41321542673</v>
      </c>
      <c r="N141" s="61">
        <f t="shared" si="24"/>
        <v>-313894.3092836421</v>
      </c>
      <c r="O141" s="61">
        <f t="shared" si="24"/>
        <v>-166519.00490808487</v>
      </c>
    </row>
    <row r="142" spans="3:15" x14ac:dyDescent="0.55000000000000004">
      <c r="C142" t="s">
        <v>24</v>
      </c>
      <c r="D142" s="61">
        <f t="shared" ref="D142:O142" si="25">D130-D117</f>
        <v>40501.321595981717</v>
      </c>
      <c r="E142" s="61">
        <f t="shared" si="25"/>
        <v>79191.140291655436</v>
      </c>
      <c r="F142" s="61">
        <f t="shared" si="25"/>
        <v>-145072.45604037307</v>
      </c>
      <c r="G142" s="61">
        <f t="shared" si="25"/>
        <v>379935.7790240515</v>
      </c>
      <c r="H142" s="61">
        <f t="shared" si="25"/>
        <v>134859.14344155788</v>
      </c>
      <c r="I142" s="61">
        <f t="shared" si="25"/>
        <v>1422910.4745182935</v>
      </c>
      <c r="J142" s="61">
        <f t="shared" si="25"/>
        <v>-292749.17506686412</v>
      </c>
      <c r="K142" s="61">
        <f t="shared" si="25"/>
        <v>705294.27444281429</v>
      </c>
      <c r="L142" s="61">
        <f t="shared" si="25"/>
        <v>341477.9079673402</v>
      </c>
      <c r="M142" s="61">
        <f t="shared" si="25"/>
        <v>818068.72284379601</v>
      </c>
      <c r="N142" s="61">
        <f t="shared" si="25"/>
        <v>-8224.7563672829419</v>
      </c>
      <c r="O142" s="61">
        <f t="shared" si="25"/>
        <v>-67108.147724000737</v>
      </c>
    </row>
    <row r="143" spans="3:15" x14ac:dyDescent="0.55000000000000004">
      <c r="C143" t="s">
        <v>25</v>
      </c>
      <c r="D143" s="61">
        <f t="shared" ref="D143:O143" si="26">D131-D118</f>
        <v>-325439.13935764134</v>
      </c>
      <c r="E143" s="61">
        <f t="shared" si="26"/>
        <v>-522007.78910754807</v>
      </c>
      <c r="F143" s="61">
        <f t="shared" si="26"/>
        <v>885003.91681872681</v>
      </c>
      <c r="G143" s="61">
        <f t="shared" si="26"/>
        <v>-1046865.1876388192</v>
      </c>
      <c r="H143" s="61">
        <f t="shared" si="26"/>
        <v>330035.27797104046</v>
      </c>
      <c r="I143" s="61">
        <f t="shared" si="26"/>
        <v>-363203.40578084998</v>
      </c>
      <c r="J143" s="61">
        <f t="shared" si="26"/>
        <v>215855.61770280264</v>
      </c>
      <c r="K143" s="61">
        <f t="shared" si="26"/>
        <v>602863.63275178149</v>
      </c>
      <c r="L143" s="61">
        <f t="shared" si="26"/>
        <v>1169102.1547633428</v>
      </c>
      <c r="M143" s="61">
        <f t="shared" si="26"/>
        <v>747416.86899173632</v>
      </c>
      <c r="N143" s="61">
        <f t="shared" si="26"/>
        <v>1086689.5834039841</v>
      </c>
      <c r="O143" s="61">
        <f t="shared" si="26"/>
        <v>672752.92941033281</v>
      </c>
    </row>
    <row r="144" spans="3:15" x14ac:dyDescent="0.55000000000000004">
      <c r="C144" t="s">
        <v>26</v>
      </c>
      <c r="D144" s="61">
        <f t="shared" ref="D144:O144" si="27">D132-D119</f>
        <v>1563947.446170127</v>
      </c>
      <c r="E144" s="61">
        <f t="shared" si="27"/>
        <v>0</v>
      </c>
      <c r="F144" s="61">
        <f t="shared" si="27"/>
        <v>0</v>
      </c>
      <c r="G144" s="61">
        <f t="shared" si="27"/>
        <v>0</v>
      </c>
      <c r="H144" s="61">
        <f t="shared" si="27"/>
        <v>0</v>
      </c>
      <c r="I144" s="61">
        <f t="shared" si="27"/>
        <v>0</v>
      </c>
      <c r="J144" s="61">
        <f t="shared" si="27"/>
        <v>0</v>
      </c>
      <c r="K144" s="61">
        <f t="shared" si="27"/>
        <v>0</v>
      </c>
      <c r="L144" s="61">
        <f t="shared" si="27"/>
        <v>0</v>
      </c>
      <c r="M144" s="61">
        <f t="shared" si="27"/>
        <v>0</v>
      </c>
      <c r="N144" s="61">
        <f t="shared" si="27"/>
        <v>0</v>
      </c>
      <c r="O144" s="61">
        <f t="shared" si="27"/>
        <v>0</v>
      </c>
    </row>
  </sheetData>
  <conditionalFormatting sqref="D8:O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O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O4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:O5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:O63 D6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:O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0:O80 D81:P81 D82:O8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5:O1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{6B7B10AF-8122-4752-8ECC-8B03DD1021C5}</x14:id>
        </ext>
      </extLst>
    </cfRule>
  </conditionalFormatting>
  <hyperlinks>
    <hyperlink ref="B49" r:id="rId1" xr:uid="{3E57188F-0C58-4502-A17A-0C05B5AE1DFD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7B10AF-8122-4752-8ECC-8B03DD1021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D135:O144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7F80-6DF9-47F9-941C-F7DCF029248C}">
  <sheetPr codeName="Sheet16"/>
  <dimension ref="A1:AJ229"/>
  <sheetViews>
    <sheetView showGridLines="0" zoomScale="70" zoomScaleNormal="70" workbookViewId="0">
      <selection sqref="A1:P2"/>
    </sheetView>
  </sheetViews>
  <sheetFormatPr defaultColWidth="8.83984375" defaultRowHeight="14.4" x14ac:dyDescent="0.55000000000000004"/>
  <cols>
    <col min="1" max="8" width="8.83984375" style="11"/>
    <col min="9" max="9" width="14.26171875" style="11" bestFit="1" customWidth="1"/>
    <col min="10" max="16384" width="8.83984375" style="11"/>
  </cols>
  <sheetData>
    <row r="1" spans="1:36" s="17" customFormat="1" ht="25.9" customHeight="1" x14ac:dyDescent="0.55000000000000004">
      <c r="A1" s="73" t="s">
        <v>74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82" t="s">
        <v>75</v>
      </c>
      <c r="R1" s="82"/>
      <c r="S1" s="82"/>
      <c r="T1" s="29"/>
      <c r="U1" s="29"/>
      <c r="V1" s="29"/>
      <c r="W1" s="29"/>
      <c r="X1" s="29"/>
      <c r="Y1" s="29"/>
      <c r="Z1" s="16"/>
      <c r="AA1" s="16"/>
    </row>
    <row r="2" spans="1:36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82"/>
      <c r="R2" s="82"/>
      <c r="S2" s="82"/>
      <c r="T2" s="29"/>
      <c r="U2" s="29"/>
      <c r="V2" s="29"/>
      <c r="W2" s="29"/>
      <c r="X2" s="29"/>
      <c r="Y2" s="29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Oct-Apr</v>
      </c>
    </row>
    <row r="3" spans="1:36" s="15" customFormat="1" ht="3.6" customHeight="1" x14ac:dyDescent="0.55000000000000004"/>
    <row r="4" spans="1:36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  <c r="P4" s="81"/>
      <c r="Q4" s="81"/>
      <c r="R4" s="81"/>
    </row>
    <row r="5" spans="1:36" ht="11.5" customHeight="1" x14ac:dyDescent="0.55000000000000004">
      <c r="B5" s="2"/>
      <c r="C5" s="74" t="str">
        <f>_xlfn.CONCAT(A1," (Monthly)")</f>
        <v>Robusta + Arabica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6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Oct-Apr</v>
      </c>
      <c r="T6" s="75"/>
      <c r="U6" s="75"/>
    </row>
    <row r="7" spans="1:36" x14ac:dyDescent="0.55000000000000004">
      <c r="A7" s="14">
        <v>1</v>
      </c>
      <c r="B7" s="6" t="s">
        <v>15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6" t="s">
        <v>15</v>
      </c>
      <c r="P7" s="20" t="str">
        <f t="shared" ref="P7:P19" si="0">IF(COUNT(C7:N7)=12,SUM(C7:N7),"")</f>
        <v/>
      </c>
      <c r="Q7" s="2"/>
      <c r="R7" s="2"/>
      <c r="S7" s="6" t="s">
        <v>15</v>
      </c>
      <c r="T7" s="20" t="str">
        <f t="shared" ref="T7:T19" ca="1" si="1">IFERROR(IF(SUM(OFFSET(C7,0,0,1,$C$56))=0,"",SUM(OFFSET(C7,0,0,1,$C$56))),"")</f>
        <v/>
      </c>
      <c r="U7" s="2"/>
    </row>
    <row r="8" spans="1:36" x14ac:dyDescent="0.55000000000000004">
      <c r="A8" s="14">
        <v>2</v>
      </c>
      <c r="B8" s="6" t="s">
        <v>16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6" t="s">
        <v>16</v>
      </c>
      <c r="P8" s="20" t="str">
        <f t="shared" si="0"/>
        <v/>
      </c>
      <c r="Q8" s="7" t="str">
        <f t="shared" ref="Q8:Q16" si="2">IFERROR(P8/P7-1,"")</f>
        <v/>
      </c>
      <c r="R8" s="2"/>
      <c r="S8" s="6" t="s">
        <v>16</v>
      </c>
      <c r="T8" s="20" t="str">
        <f t="shared" ca="1" si="1"/>
        <v/>
      </c>
      <c r="U8" s="7" t="str">
        <f t="shared" ref="U8:U17" ca="1" si="3">IFERROR(T8/T7-1,"")</f>
        <v/>
      </c>
      <c r="AI8" s="11" t="s">
        <v>75</v>
      </c>
      <c r="AJ8" s="11">
        <v>0</v>
      </c>
    </row>
    <row r="9" spans="1:36" x14ac:dyDescent="0.55000000000000004">
      <c r="A9" s="14">
        <v>3</v>
      </c>
      <c r="B9" s="6" t="s">
        <v>17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6" t="s">
        <v>17</v>
      </c>
      <c r="P9" s="20" t="str">
        <f t="shared" si="0"/>
        <v/>
      </c>
      <c r="Q9" s="7" t="str">
        <f t="shared" si="2"/>
        <v/>
      </c>
      <c r="R9" s="2"/>
      <c r="S9" s="6" t="s">
        <v>17</v>
      </c>
      <c r="T9" s="20" t="str">
        <f t="shared" ca="1" si="1"/>
        <v/>
      </c>
      <c r="U9" s="7" t="str">
        <f t="shared" ca="1" si="3"/>
        <v/>
      </c>
      <c r="AI9" s="11" t="s">
        <v>76</v>
      </c>
      <c r="AJ9" s="11">
        <v>1</v>
      </c>
    </row>
    <row r="10" spans="1:36" x14ac:dyDescent="0.55000000000000004">
      <c r="A10" s="14">
        <v>4</v>
      </c>
      <c r="B10" s="6" t="s">
        <v>18</v>
      </c>
      <c r="C10" s="23">
        <f>'S4 Arabica'!C10+'S5 Robusta'!C10</f>
        <v>6833010.1849766672</v>
      </c>
      <c r="D10" s="23">
        <f>'S4 Arabica'!D10+'S5 Robusta'!D10</f>
        <v>7405175.2273936048</v>
      </c>
      <c r="E10" s="23">
        <f>'S4 Arabica'!E10+'S5 Robusta'!E10</f>
        <v>8494818.4449333344</v>
      </c>
      <c r="F10" s="23">
        <f>'S4 Arabica'!F10+'S5 Robusta'!F10</f>
        <v>9291365.9637666661</v>
      </c>
      <c r="G10" s="23">
        <f>'S4 Arabica'!G10+'S5 Robusta'!G10</f>
        <v>7983993.2266833335</v>
      </c>
      <c r="H10" s="23">
        <f>'S4 Arabica'!H10+'S5 Robusta'!H10</f>
        <v>9033040.8784499988</v>
      </c>
      <c r="I10" s="23">
        <f>'S4 Arabica'!I10+'S5 Robusta'!I10</f>
        <v>8026632.7617416671</v>
      </c>
      <c r="J10" s="23">
        <f>'S4 Arabica'!J10+'S5 Robusta'!J10</f>
        <v>7401658.9947500005</v>
      </c>
      <c r="K10" s="23">
        <f>'S4 Arabica'!K10+'S5 Robusta'!K10</f>
        <v>8031457.2746916674</v>
      </c>
      <c r="L10" s="23">
        <f>'S4 Arabica'!L10+'S5 Robusta'!L10</f>
        <v>7459760.7924649995</v>
      </c>
      <c r="M10" s="23">
        <f>'S4 Arabica'!M10+'S5 Robusta'!M10</f>
        <v>8270828.4056966668</v>
      </c>
      <c r="N10" s="23">
        <f>'S4 Arabica'!N10+'S5 Robusta'!N10</f>
        <v>7623555.6203683335</v>
      </c>
      <c r="O10" s="6" t="s">
        <v>18</v>
      </c>
      <c r="P10" s="20">
        <f t="shared" si="0"/>
        <v>95855297.775916934</v>
      </c>
      <c r="Q10" s="7" t="str">
        <f t="shared" si="2"/>
        <v/>
      </c>
      <c r="R10" s="2"/>
      <c r="S10" s="6" t="s">
        <v>18</v>
      </c>
      <c r="T10" s="20">
        <f t="shared" ca="1" si="1"/>
        <v>57068036.687945269</v>
      </c>
      <c r="U10" s="7" t="str">
        <f t="shared" ca="1" si="3"/>
        <v/>
      </c>
    </row>
    <row r="11" spans="1:36" x14ac:dyDescent="0.55000000000000004">
      <c r="A11" s="14">
        <v>5</v>
      </c>
      <c r="B11" s="6" t="s">
        <v>19</v>
      </c>
      <c r="C11" s="23">
        <f>'S4 Arabica'!C11+'S5 Robusta'!C11</f>
        <v>8467730.8975333348</v>
      </c>
      <c r="D11" s="23">
        <f>'S4 Arabica'!D11+'S5 Robusta'!D11</f>
        <v>8939840.3486250006</v>
      </c>
      <c r="E11" s="23">
        <f>'S4 Arabica'!E11+'S5 Robusta'!E11</f>
        <v>9197958.3799433336</v>
      </c>
      <c r="F11" s="23">
        <f>'S4 Arabica'!F11+'S5 Robusta'!F11</f>
        <v>9930162.8854533322</v>
      </c>
      <c r="G11" s="23">
        <f>'S4 Arabica'!G11+'S5 Robusta'!G11</f>
        <v>8710529.6830366664</v>
      </c>
      <c r="H11" s="23">
        <f>'S4 Arabica'!H11+'S5 Robusta'!H11</f>
        <v>9221964.5537883341</v>
      </c>
      <c r="I11" s="23">
        <f>'S4 Arabica'!I11+'S5 Robusta'!I11</f>
        <v>8577485.8043916672</v>
      </c>
      <c r="J11" s="23">
        <f>'S4 Arabica'!J11+'S5 Robusta'!J11</f>
        <v>9360810.2379883341</v>
      </c>
      <c r="K11" s="23">
        <f>'S4 Arabica'!K11+'S5 Robusta'!K11</f>
        <v>8603102.1486566663</v>
      </c>
      <c r="L11" s="23">
        <f>'S4 Arabica'!L11+'S5 Robusta'!L11</f>
        <v>8787174.456956666</v>
      </c>
      <c r="M11" s="23">
        <f>'S4 Arabica'!M11+'S5 Robusta'!M11</f>
        <v>8372723.8241266664</v>
      </c>
      <c r="N11" s="23">
        <f>'S4 Arabica'!N11+'S5 Robusta'!N11</f>
        <v>7813668.6379633341</v>
      </c>
      <c r="O11" s="6" t="s">
        <v>19</v>
      </c>
      <c r="P11" s="20">
        <f t="shared" si="0"/>
        <v>105983151.85846335</v>
      </c>
      <c r="Q11" s="7">
        <f t="shared" si="2"/>
        <v>0.10565773950462831</v>
      </c>
      <c r="R11" s="2"/>
      <c r="S11" s="6" t="s">
        <v>19</v>
      </c>
      <c r="T11" s="20">
        <f t="shared" ca="1" si="1"/>
        <v>63045672.552771673</v>
      </c>
      <c r="U11" s="7">
        <f t="shared" ca="1" si="3"/>
        <v>0.10474577735191448</v>
      </c>
    </row>
    <row r="12" spans="1:36" x14ac:dyDescent="0.55000000000000004">
      <c r="A12" s="14">
        <v>6</v>
      </c>
      <c r="B12" s="6" t="s">
        <v>20</v>
      </c>
      <c r="C12" s="23">
        <f>'S4 Arabica'!C12+'S5 Robusta'!C12</f>
        <v>8093038.9226400005</v>
      </c>
      <c r="D12" s="23">
        <f>'S4 Arabica'!D12+'S5 Robusta'!D12</f>
        <v>8033227.5857683346</v>
      </c>
      <c r="E12" s="23">
        <f>'S4 Arabica'!E12+'S5 Robusta'!E12</f>
        <v>9055351.3365000002</v>
      </c>
      <c r="F12" s="23">
        <f>'S4 Arabica'!F12+'S5 Robusta'!F12</f>
        <v>8962609.9988700002</v>
      </c>
      <c r="G12" s="23">
        <f>'S4 Arabica'!G12+'S5 Robusta'!G12</f>
        <v>9284799.7822066676</v>
      </c>
      <c r="H12" s="23">
        <f>'S4 Arabica'!H12+'S5 Robusta'!H12</f>
        <v>9890221.6159416661</v>
      </c>
      <c r="I12" s="23">
        <f>'S4 Arabica'!I12+'S5 Robusta'!I12</f>
        <v>8779765.0363333337</v>
      </c>
      <c r="J12" s="23">
        <f>'S4 Arabica'!J12+'S5 Robusta'!J12</f>
        <v>8124567.2800000003</v>
      </c>
      <c r="K12" s="23">
        <f>'S4 Arabica'!K12+'S5 Robusta'!K12</f>
        <v>8049321.3439650005</v>
      </c>
      <c r="L12" s="23">
        <f>'S4 Arabica'!L12+'S5 Robusta'!L12</f>
        <v>7921190.3782500001</v>
      </c>
      <c r="M12" s="23">
        <f>'S4 Arabica'!M12+'S5 Robusta'!M12</f>
        <v>7912156.9367933329</v>
      </c>
      <c r="N12" s="23">
        <f>'S4 Arabica'!N12+'S5 Robusta'!N12</f>
        <v>8307500.6855000006</v>
      </c>
      <c r="O12" s="6" t="s">
        <v>20</v>
      </c>
      <c r="P12" s="20">
        <f t="shared" si="0"/>
        <v>102413750.90276833</v>
      </c>
      <c r="Q12" s="7">
        <f t="shared" si="2"/>
        <v>-3.3678947012840577E-2</v>
      </c>
      <c r="R12" s="2"/>
      <c r="S12" s="6" t="s">
        <v>20</v>
      </c>
      <c r="T12" s="20">
        <f t="shared" ca="1" si="1"/>
        <v>62099014.278260008</v>
      </c>
      <c r="U12" s="7">
        <f t="shared" ca="1" si="3"/>
        <v>-1.50154362096665E-2</v>
      </c>
      <c r="AI12" s="11">
        <f>_xlfn.XLOOKUP(Q1,$AI$8:$AI$9,AJ8:AJ9)</f>
        <v>0</v>
      </c>
    </row>
    <row r="13" spans="1:36" x14ac:dyDescent="0.55000000000000004">
      <c r="A13" s="14">
        <v>7</v>
      </c>
      <c r="B13" s="6" t="s">
        <v>21</v>
      </c>
      <c r="C13" s="23">
        <f>'S4 Arabica'!C13+'S5 Robusta'!C13</f>
        <v>8453082.9510999992</v>
      </c>
      <c r="D13" s="23">
        <f>'S4 Arabica'!D13+'S5 Robusta'!D13</f>
        <v>8856397.1608333327</v>
      </c>
      <c r="E13" s="23">
        <f>'S4 Arabica'!E13+'S5 Robusta'!E13</f>
        <v>9752196.2788516656</v>
      </c>
      <c r="F13" s="23">
        <f>'S4 Arabica'!F13+'S5 Robusta'!F13</f>
        <v>9270005.2579216659</v>
      </c>
      <c r="G13" s="23">
        <f>'S4 Arabica'!G13+'S5 Robusta'!G13</f>
        <v>9348363.8540916666</v>
      </c>
      <c r="H13" s="23">
        <f>'S4 Arabica'!H13+'S5 Robusta'!H13</f>
        <v>10306913.36603</v>
      </c>
      <c r="I13" s="23">
        <f>'S4 Arabica'!I13+'S5 Robusta'!I13</f>
        <v>9176402.6832616664</v>
      </c>
      <c r="J13" s="23">
        <f>'S4 Arabica'!J13+'S5 Robusta'!J13</f>
        <v>8016814.123368334</v>
      </c>
      <c r="K13" s="23">
        <f>'S4 Arabica'!K13+'S5 Robusta'!K13</f>
        <v>8798996.884610001</v>
      </c>
      <c r="L13" s="23">
        <f>'S4 Arabica'!L13+'S5 Robusta'!L13</f>
        <v>8542223.3836883344</v>
      </c>
      <c r="M13" s="23">
        <f>'S4 Arabica'!M13+'S5 Robusta'!M13</f>
        <v>8072599.475575001</v>
      </c>
      <c r="N13" s="23">
        <f>'S4 Arabica'!N13+'S5 Robusta'!N13</f>
        <v>8075279.7284033336</v>
      </c>
      <c r="O13" s="6" t="s">
        <v>21</v>
      </c>
      <c r="P13" s="20">
        <f t="shared" si="0"/>
        <v>106669275.14773498</v>
      </c>
      <c r="Q13" s="7">
        <f t="shared" si="2"/>
        <v>4.1552274059436067E-2</v>
      </c>
      <c r="R13" s="2"/>
      <c r="S13" s="6" t="s">
        <v>21</v>
      </c>
      <c r="T13" s="20">
        <f t="shared" ca="1" si="1"/>
        <v>65163361.552089989</v>
      </c>
      <c r="U13" s="7">
        <f t="shared" ca="1" si="3"/>
        <v>4.9346150006486678E-2</v>
      </c>
    </row>
    <row r="14" spans="1:36" x14ac:dyDescent="0.55000000000000004">
      <c r="A14" s="14">
        <v>8</v>
      </c>
      <c r="B14" s="6" t="s">
        <v>22</v>
      </c>
      <c r="C14" s="23">
        <f>'S4 Arabica'!C14+'S5 Robusta'!C14</f>
        <v>8118274.1420050003</v>
      </c>
      <c r="D14" s="23">
        <f>'S4 Arabica'!D14+'S5 Robusta'!D14</f>
        <v>8170179.8319033328</v>
      </c>
      <c r="E14" s="23">
        <f>'S4 Arabica'!E14+'S5 Robusta'!E14</f>
        <v>10029930.982786667</v>
      </c>
      <c r="F14" s="23">
        <f>'S4 Arabica'!F14+'S5 Robusta'!F14</f>
        <v>10434924.200631667</v>
      </c>
      <c r="G14" s="23">
        <f>'S4 Arabica'!G14+'S5 Robusta'!G14</f>
        <v>8851085.2033466659</v>
      </c>
      <c r="H14" s="23">
        <f>'S4 Arabica'!H14+'S5 Robusta'!H14</f>
        <v>10788065.706058335</v>
      </c>
      <c r="I14" s="23">
        <f>'S4 Arabica'!I14+'S5 Robusta'!I14</f>
        <v>8566342.746821668</v>
      </c>
      <c r="J14" s="23">
        <f>'S4 Arabica'!J14+'S5 Robusta'!J14</f>
        <v>8456691.8982366659</v>
      </c>
      <c r="K14" s="23">
        <f>'S4 Arabica'!K14+'S5 Robusta'!K14</f>
        <v>8688960.1369550005</v>
      </c>
      <c r="L14" s="23">
        <f>'S4 Arabica'!L14+'S5 Robusta'!L14</f>
        <v>7737422.7524500005</v>
      </c>
      <c r="M14" s="23">
        <f>'S4 Arabica'!M14+'S5 Robusta'!M14</f>
        <v>7851319.8305600006</v>
      </c>
      <c r="N14" s="23">
        <f>'S4 Arabica'!N14+'S5 Robusta'!N14</f>
        <v>7831576.58488</v>
      </c>
      <c r="O14" s="6" t="s">
        <v>22</v>
      </c>
      <c r="P14" s="20">
        <f t="shared" si="0"/>
        <v>105524774.01663502</v>
      </c>
      <c r="Q14" s="7">
        <f t="shared" si="2"/>
        <v>-1.0729435720968961E-2</v>
      </c>
      <c r="R14" s="2"/>
      <c r="S14" s="6" t="s">
        <v>22</v>
      </c>
      <c r="T14" s="20">
        <f t="shared" ca="1" si="1"/>
        <v>64958802.813553348</v>
      </c>
      <c r="U14" s="7">
        <f t="shared" ca="1" si="3"/>
        <v>-3.1391679874145373E-3</v>
      </c>
    </row>
    <row r="15" spans="1:36" x14ac:dyDescent="0.55000000000000004">
      <c r="A15" s="14">
        <v>9</v>
      </c>
      <c r="B15" s="6" t="s">
        <v>23</v>
      </c>
      <c r="C15" s="23">
        <f>'S4 Arabica'!C15+'S5 Robusta'!C15</f>
        <v>7561106.6728833336</v>
      </c>
      <c r="D15" s="23">
        <f>'S4 Arabica'!D15+'S5 Robusta'!D15</f>
        <v>8502755.3513683341</v>
      </c>
      <c r="E15" s="23">
        <f>'S4 Arabica'!E15+'S5 Robusta'!E15</f>
        <v>8925436.7576199993</v>
      </c>
      <c r="F15" s="23">
        <f>'S4 Arabica'!F15+'S5 Robusta'!F15</f>
        <v>8094056.4425105974</v>
      </c>
      <c r="G15" s="23">
        <f>'S4 Arabica'!G15+'S5 Robusta'!G15</f>
        <v>8053002.4846611535</v>
      </c>
      <c r="H15" s="23">
        <f>'S4 Arabica'!H15+'S5 Robusta'!H15</f>
        <v>9588221.4442127794</v>
      </c>
      <c r="I15" s="23">
        <f>'S4 Arabica'!I15+'S5 Robusta'!I15</f>
        <v>8172030.9476461112</v>
      </c>
      <c r="J15" s="23">
        <f>'S4 Arabica'!J15+'S5 Robusta'!J15</f>
        <v>8173643.3860511947</v>
      </c>
      <c r="K15" s="23">
        <f>'S4 Arabica'!K15+'S5 Robusta'!K15</f>
        <v>8117456.0727294441</v>
      </c>
      <c r="L15" s="23">
        <f>'S4 Arabica'!L15+'S5 Robusta'!L15</f>
        <v>8075515.1703317463</v>
      </c>
      <c r="M15" s="23">
        <f>'S4 Arabica'!M15+'S5 Robusta'!M15</f>
        <v>8179577.1481411112</v>
      </c>
      <c r="N15" s="23">
        <f>'S4 Arabica'!N15+'S5 Robusta'!N15</f>
        <v>6682272.4152294453</v>
      </c>
      <c r="O15" s="6" t="s">
        <v>23</v>
      </c>
      <c r="P15" s="20">
        <f t="shared" si="0"/>
        <v>98125074.293385252</v>
      </c>
      <c r="Q15" s="7">
        <f t="shared" si="2"/>
        <v>-7.0122867281225076E-2</v>
      </c>
      <c r="R15" s="2"/>
      <c r="S15" s="6" t="s">
        <v>23</v>
      </c>
      <c r="T15" s="20">
        <f t="shared" ca="1" si="1"/>
        <v>58896610.100902312</v>
      </c>
      <c r="U15" s="7">
        <f t="shared" ca="1" si="3"/>
        <v>-9.3323652069926877E-2</v>
      </c>
    </row>
    <row r="16" spans="1:36" x14ac:dyDescent="0.55000000000000004">
      <c r="A16" s="14">
        <v>10</v>
      </c>
      <c r="B16" s="6" t="s">
        <v>24</v>
      </c>
      <c r="C16" s="23">
        <f>'S4 Arabica'!C16+'S5 Robusta'!C16</f>
        <v>7436082.1541283336</v>
      </c>
      <c r="D16" s="23">
        <f>'S4 Arabica'!D16+'S5 Robusta'!D16</f>
        <v>8816020.2684016917</v>
      </c>
      <c r="E16" s="23">
        <f>'S4 Arabica'!E16+'S5 Robusta'!E16</f>
        <v>9760201.6111366674</v>
      </c>
      <c r="F16" s="23">
        <f>'S4 Arabica'!F16+'S5 Robusta'!F16</f>
        <v>10206682.52228</v>
      </c>
      <c r="G16" s="23">
        <f>'S4 Arabica'!G16+'S5 Robusta'!G16</f>
        <v>9280221.4114227518</v>
      </c>
      <c r="H16" s="23">
        <f>'S4 Arabica'!H16+'S5 Robusta'!H16</f>
        <v>10613252.920188334</v>
      </c>
      <c r="I16" s="23">
        <f>'S4 Arabica'!I16+'S5 Robusta'!I16</f>
        <v>9490552.4017016664</v>
      </c>
      <c r="J16" s="23">
        <f>'S4 Arabica'!J16+'S5 Robusta'!J16</f>
        <v>9285578.6182666663</v>
      </c>
      <c r="K16" s="23">
        <f>'S4 Arabica'!K16+'S5 Robusta'!K16</f>
        <v>8382235.9426283343</v>
      </c>
      <c r="L16" s="23">
        <f>'S4 Arabica'!L16+'S5 Robusta'!L16</f>
        <v>8827525.0727416668</v>
      </c>
      <c r="M16" s="23">
        <f>'S4 Arabica'!M16+'S5 Robusta'!M16</f>
        <v>8543496.0691633336</v>
      </c>
      <c r="N16" s="23">
        <f>'S4 Arabica'!N16+'S5 Robusta'!N16</f>
        <v>8435922.608101666</v>
      </c>
      <c r="O16" s="6" t="s">
        <v>24</v>
      </c>
      <c r="P16" s="20">
        <f t="shared" si="0"/>
        <v>109077771.60016112</v>
      </c>
      <c r="Q16" s="7">
        <f t="shared" si="2"/>
        <v>0.11161976065392087</v>
      </c>
      <c r="R16" s="2"/>
      <c r="S16" s="6" t="s">
        <v>24</v>
      </c>
      <c r="T16" s="20">
        <f t="shared" ca="1" si="1"/>
        <v>65603013.289259441</v>
      </c>
      <c r="U16" s="7">
        <f t="shared" ca="1" si="3"/>
        <v>0.11386738857920076</v>
      </c>
    </row>
    <row r="17" spans="1:21" x14ac:dyDescent="0.55000000000000004">
      <c r="A17" s="14">
        <v>11</v>
      </c>
      <c r="B17" s="6" t="s">
        <v>25</v>
      </c>
      <c r="C17" s="23">
        <f>'S4 Arabica'!C17+'S5 Robusta'!C17</f>
        <v>8837729.3120849989</v>
      </c>
      <c r="D17" s="23">
        <f>'S4 Arabica'!D17+'S5 Robusta'!D17</f>
        <v>8266814.1435533334</v>
      </c>
      <c r="E17" s="23">
        <f>'S4 Arabica'!E17+'S5 Robusta'!E17</f>
        <v>9853980.5902533345</v>
      </c>
      <c r="F17" s="23">
        <f>'S4 Arabica'!F17+'S5 Robusta'!F17</f>
        <v>9137737.3942083344</v>
      </c>
      <c r="G17" s="23">
        <f>'S4 Arabica'!G17+'S5 Robusta'!G17</f>
        <v>9800870.4073216654</v>
      </c>
      <c r="H17" s="23">
        <f>'S4 Arabica'!H17+'S5 Robusta'!H17</f>
        <v>10626759.171869999</v>
      </c>
      <c r="I17" s="23">
        <f>'S4 Arabica'!I17+'S5 Robusta'!I17</f>
        <v>9384016.1674383339</v>
      </c>
      <c r="J17" s="23">
        <f>'S4 Arabica'!J17+'S5 Robusta'!J17</f>
        <v>9626982.2670099996</v>
      </c>
      <c r="K17" s="23">
        <f>'S4 Arabica'!K17+'S5 Robusta'!K17</f>
        <v>9019572.2281750012</v>
      </c>
      <c r="L17" s="23">
        <f>'S4 Arabica'!L17+'S5 Robusta'!L17</f>
        <v>8801469.9126933329</v>
      </c>
      <c r="M17" s="23">
        <f>'S4 Arabica'!M17+'S5 Robusta'!M17</f>
        <v>8538188.1055538896</v>
      </c>
      <c r="N17" s="23">
        <f>'S4 Arabica'!N17+'S5 Robusta'!N17</f>
        <v>8768594.3472370598</v>
      </c>
      <c r="O17" s="6" t="s">
        <v>25</v>
      </c>
      <c r="P17" s="5">
        <f t="shared" si="0"/>
        <v>110662714.0473993</v>
      </c>
      <c r="Q17" s="7"/>
      <c r="R17" s="2"/>
      <c r="S17" s="6" t="s">
        <v>25</v>
      </c>
      <c r="T17" s="20">
        <f t="shared" ca="1" si="1"/>
        <v>65907907.186729997</v>
      </c>
      <c r="U17" s="7">
        <f t="shared" ca="1" si="3"/>
        <v>4.6475593449679664E-3</v>
      </c>
    </row>
    <row r="18" spans="1:21" x14ac:dyDescent="0.55000000000000004">
      <c r="A18" s="14">
        <v>12</v>
      </c>
      <c r="B18" s="6" t="s">
        <v>26</v>
      </c>
      <c r="C18" s="23">
        <f>'S4 Arabica'!C18+'S5 Robusta'!C18</f>
        <v>8608395.8574516661</v>
      </c>
      <c r="D18" s="23">
        <f>'S4 Arabica'!D18+'S5 Robusta'!D18</f>
        <v>8341499.9191483334</v>
      </c>
      <c r="E18" s="23">
        <f>'S4 Arabica'!E18+'S5 Robusta'!E18</f>
        <v>9201239.5027983338</v>
      </c>
      <c r="F18" s="23">
        <f>'S4 Arabica'!F18+'S5 Robusta'!F18</f>
        <v>9401730.666666666</v>
      </c>
      <c r="G18" s="23">
        <f>'S4 Arabica'!G18+'S5 Robusta'!G18</f>
        <v>8318875.666666667</v>
      </c>
      <c r="H18" s="23">
        <f>'S4 Arabica'!H18+'S5 Robusta'!H18</f>
        <v>9517766</v>
      </c>
      <c r="I18" s="23">
        <f>'S4 Arabica'!I18+'S5 Robusta'!I18</f>
        <v>9552886</v>
      </c>
      <c r="J18" s="23" t="e">
        <f>'S4 Arabica'!J18+'S5 Robusta'!J18</f>
        <v>#N/A</v>
      </c>
      <c r="K18" s="23" t="e">
        <f>'S4 Arabica'!K18+'S5 Robusta'!K18</f>
        <v>#N/A</v>
      </c>
      <c r="L18" s="23" t="e">
        <f>'S4 Arabica'!L18+'S5 Robusta'!L18</f>
        <v>#N/A</v>
      </c>
      <c r="M18" s="23" t="e">
        <f>'S4 Arabica'!M18+'S5 Robusta'!M18</f>
        <v>#N/A</v>
      </c>
      <c r="N18" s="23" t="e">
        <f>'S4 Arabica'!N18+'S5 Robusta'!N18</f>
        <v>#N/A</v>
      </c>
      <c r="O18" s="6" t="s">
        <v>26</v>
      </c>
      <c r="P18" s="5" t="str">
        <f t="shared" si="0"/>
        <v/>
      </c>
      <c r="Q18" s="7"/>
      <c r="R18" s="2"/>
      <c r="S18" s="6" t="s">
        <v>26</v>
      </c>
      <c r="T18" s="20">
        <f t="shared" ca="1" si="1"/>
        <v>62942393.612731665</v>
      </c>
      <c r="U18" s="7"/>
    </row>
    <row r="19" spans="1:21" x14ac:dyDescent="0.55000000000000004">
      <c r="A19" s="14">
        <v>13</v>
      </c>
      <c r="B19" s="6" t="s">
        <v>27</v>
      </c>
      <c r="C19" s="23" t="e">
        <f>'S4 Arabica'!C19+'S5 Robusta'!C19</f>
        <v>#N/A</v>
      </c>
      <c r="D19" s="23" t="e">
        <f>'S4 Arabica'!D19+'S5 Robusta'!D19</f>
        <v>#N/A</v>
      </c>
      <c r="E19" s="23" t="e">
        <f>'S4 Arabica'!E19+'S5 Robusta'!E19</f>
        <v>#N/A</v>
      </c>
      <c r="F19" s="23" t="e">
        <f>'S4 Arabica'!F19+'S5 Robusta'!F19</f>
        <v>#N/A</v>
      </c>
      <c r="G19" s="23" t="e">
        <f>'S4 Arabica'!G19+'S5 Robusta'!G19</f>
        <v>#N/A</v>
      </c>
      <c r="H19" s="23" t="e">
        <f>'S4 Arabica'!H19+'S5 Robusta'!H19</f>
        <v>#N/A</v>
      </c>
      <c r="I19" s="23" t="e">
        <f>'S4 Arabica'!I19+'S5 Robusta'!I19</f>
        <v>#N/A</v>
      </c>
      <c r="J19" s="23" t="e">
        <f>'S4 Arabica'!J19+'S5 Robusta'!J19</f>
        <v>#N/A</v>
      </c>
      <c r="K19" s="23" t="e">
        <f>'S4 Arabica'!K19+'S5 Robusta'!K19</f>
        <v>#N/A</v>
      </c>
      <c r="L19" s="23" t="e">
        <f>'S4 Arabica'!L19+'S5 Robusta'!L19</f>
        <v>#N/A</v>
      </c>
      <c r="M19" s="23" t="e">
        <f>'S4 Arabica'!M19+'S5 Robusta'!M19</f>
        <v>#N/A</v>
      </c>
      <c r="N19" s="23" t="e">
        <f>'S4 Arabica'!N19+'S5 Robusta'!N19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t="shared" ca="1" si="1"/>
        <v/>
      </c>
      <c r="U19" s="7"/>
    </row>
    <row r="20" spans="1:21" x14ac:dyDescent="0.55000000000000004">
      <c r="B20" s="8" t="s">
        <v>28</v>
      </c>
      <c r="C20" s="22">
        <f>IFERROR(C18/C17-1,"")</f>
        <v>-2.5949363975171225E-2</v>
      </c>
      <c r="D20" s="22">
        <f t="shared" ref="D20:N20" si="4">IFERROR(D18/D17-1,"")</f>
        <v>9.0344084550686432E-3</v>
      </c>
      <c r="E20" s="22">
        <f t="shared" si="4"/>
        <v>-6.6241361191702874E-2</v>
      </c>
      <c r="F20" s="22">
        <f t="shared" si="4"/>
        <v>2.889044202842328E-2</v>
      </c>
      <c r="G20" s="22">
        <f t="shared" si="4"/>
        <v>-0.15121052305190008</v>
      </c>
      <c r="H20" s="22">
        <f t="shared" si="4"/>
        <v>-0.10435854938781386</v>
      </c>
      <c r="I20" s="22">
        <f t="shared" si="4"/>
        <v>1.7995475449800402E-2</v>
      </c>
      <c r="J20" s="22" t="str">
        <f t="shared" si="4"/>
        <v/>
      </c>
      <c r="K20" s="22" t="str">
        <f t="shared" si="4"/>
        <v/>
      </c>
      <c r="L20" s="22" t="str">
        <f t="shared" si="4"/>
        <v/>
      </c>
      <c r="M20" s="22" t="str">
        <f t="shared" si="4"/>
        <v/>
      </c>
      <c r="N20" s="22" t="str">
        <f t="shared" si="4"/>
        <v/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Robusta + Arabica Exports | YTD : Oct-Apr</v>
      </c>
      <c r="Q27" s="13" t="str">
        <f>_xlfn.CONCAT(A1," | ","Cumulative")</f>
        <v>Robusta + Arabica Exports | Cumulative</v>
      </c>
    </row>
    <row r="56" spans="2:6" x14ac:dyDescent="0.55000000000000004">
      <c r="B56" s="9" t="s">
        <v>29</v>
      </c>
      <c r="C56" s="9">
        <f>COUNT(C18:N18)</f>
        <v>7</v>
      </c>
      <c r="D56" s="25" t="str">
        <f ca="1">OFFSET(B6,0,$C$56,1,1)</f>
        <v>Apr</v>
      </c>
      <c r="E56" s="11" t="str">
        <f>B18</f>
        <v>25/26</v>
      </c>
      <c r="F56" s="11" t="str">
        <f ca="1">_xlfn.CONCAT(D56,"'",E56)</f>
        <v>Apr'25/26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8608395.8574516661</v>
      </c>
      <c r="C66" s="12">
        <f t="shared" ref="C66:M66" si="5">D18</f>
        <v>8341499.9191483334</v>
      </c>
      <c r="D66" s="12">
        <f t="shared" si="5"/>
        <v>9201239.5027983338</v>
      </c>
      <c r="E66" s="12">
        <f t="shared" si="5"/>
        <v>9401730.666666666</v>
      </c>
      <c r="F66" s="12">
        <f t="shared" si="5"/>
        <v>8318875.666666667</v>
      </c>
      <c r="G66" s="12">
        <f t="shared" si="5"/>
        <v>9517766</v>
      </c>
      <c r="H66" s="12">
        <f t="shared" si="5"/>
        <v>9552886</v>
      </c>
      <c r="I66" s="12" t="e">
        <f t="shared" si="5"/>
        <v>#N/A</v>
      </c>
      <c r="J66" s="12" t="e">
        <f t="shared" si="5"/>
        <v>#N/A</v>
      </c>
      <c r="K66" s="12" t="e">
        <f t="shared" si="5"/>
        <v>#N/A</v>
      </c>
      <c r="L66" s="12" t="e">
        <f t="shared" si="5"/>
        <v>#N/A</v>
      </c>
      <c r="M66" s="12" t="e">
        <f t="shared" si="5"/>
        <v>#N/A</v>
      </c>
    </row>
    <row r="67" spans="1:25" x14ac:dyDescent="0.55000000000000004">
      <c r="A67" s="11" t="s">
        <v>30</v>
      </c>
      <c r="B67" s="12">
        <f>MIN(C7:C17)</f>
        <v>6833010.1849766672</v>
      </c>
      <c r="C67" s="12">
        <f t="shared" ref="C67:M67" si="6">MIN(D7:D17)</f>
        <v>7405175.2273936048</v>
      </c>
      <c r="D67" s="12">
        <f t="shared" si="6"/>
        <v>8494818.4449333344</v>
      </c>
      <c r="E67" s="12">
        <f t="shared" si="6"/>
        <v>8094056.4425105974</v>
      </c>
      <c r="F67" s="12">
        <f t="shared" si="6"/>
        <v>7983993.2266833335</v>
      </c>
      <c r="G67" s="12">
        <f t="shared" si="6"/>
        <v>9033040.8784499988</v>
      </c>
      <c r="H67" s="12">
        <f t="shared" si="6"/>
        <v>8026632.7617416671</v>
      </c>
      <c r="I67" s="12">
        <f t="shared" si="6"/>
        <v>7401658.9947500005</v>
      </c>
      <c r="J67" s="12">
        <f t="shared" si="6"/>
        <v>8031457.2746916674</v>
      </c>
      <c r="K67" s="12">
        <f t="shared" si="6"/>
        <v>7459760.7924649995</v>
      </c>
      <c r="L67" s="12">
        <f t="shared" si="6"/>
        <v>7851319.8305600006</v>
      </c>
      <c r="M67" s="12">
        <f t="shared" si="6"/>
        <v>6682272.4152294453</v>
      </c>
      <c r="N67" s="12"/>
    </row>
    <row r="68" spans="1:25" x14ac:dyDescent="0.55000000000000004">
      <c r="A68" s="11" t="s">
        <v>31</v>
      </c>
      <c r="B68" s="12">
        <f>MAX(C7:C17)</f>
        <v>8837729.3120849989</v>
      </c>
      <c r="C68" s="12">
        <f t="shared" ref="C68:M68" si="7">MAX(D7:D17)</f>
        <v>8939840.3486250006</v>
      </c>
      <c r="D68" s="12">
        <f t="shared" si="7"/>
        <v>10029930.982786667</v>
      </c>
      <c r="E68" s="12">
        <f t="shared" si="7"/>
        <v>10434924.200631667</v>
      </c>
      <c r="F68" s="12">
        <f t="shared" si="7"/>
        <v>9800870.4073216654</v>
      </c>
      <c r="G68" s="12">
        <f t="shared" si="7"/>
        <v>10788065.706058335</v>
      </c>
      <c r="H68" s="12">
        <f t="shared" si="7"/>
        <v>9490552.4017016664</v>
      </c>
      <c r="I68" s="12">
        <f t="shared" si="7"/>
        <v>9626982.2670099996</v>
      </c>
      <c r="J68" s="12">
        <f t="shared" si="7"/>
        <v>9019572.2281750012</v>
      </c>
      <c r="K68" s="12">
        <f t="shared" si="7"/>
        <v>8827525.0727416668</v>
      </c>
      <c r="L68" s="12">
        <f t="shared" si="7"/>
        <v>8543496.0691633336</v>
      </c>
      <c r="M68" s="12">
        <f t="shared" si="7"/>
        <v>8768594.3472370598</v>
      </c>
      <c r="N68" s="12"/>
    </row>
    <row r="69" spans="1:25" x14ac:dyDescent="0.55000000000000004">
      <c r="A69" s="11" t="s">
        <v>32</v>
      </c>
      <c r="B69" s="12">
        <f>AVERAGE(C12:C17)</f>
        <v>8083219.0258069439</v>
      </c>
      <c r="C69" s="12">
        <f t="shared" ref="C69:M69" si="8">AVERAGE(D12:D17)</f>
        <v>8440899.0569713917</v>
      </c>
      <c r="D69" s="12">
        <f t="shared" si="8"/>
        <v>9562849.5928580556</v>
      </c>
      <c r="E69" s="12">
        <f t="shared" si="8"/>
        <v>9351002.6360703781</v>
      </c>
      <c r="F69" s="12">
        <f t="shared" si="8"/>
        <v>9103057.1905084271</v>
      </c>
      <c r="G69" s="12">
        <f t="shared" si="8"/>
        <v>10302239.037383521</v>
      </c>
      <c r="H69" s="12">
        <f t="shared" si="8"/>
        <v>8928184.9972004648</v>
      </c>
      <c r="I69" s="12">
        <f t="shared" si="8"/>
        <v>8614046.2621554751</v>
      </c>
      <c r="J69" s="12">
        <f t="shared" si="8"/>
        <v>8509423.7681771293</v>
      </c>
      <c r="K69" s="12">
        <f t="shared" si="8"/>
        <v>8317557.7783591794</v>
      </c>
      <c r="L69" s="12">
        <f t="shared" si="8"/>
        <v>8182889.5942977779</v>
      </c>
      <c r="M69" s="12">
        <f t="shared" si="8"/>
        <v>8016857.7282252507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0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9">INDEX($C$7:$N$19,MATCH(B75,$A$7:$A$19),MATCH(C75,$C$4:$N$4))</f>
        <v>0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9"/>
        <v>0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>
        <f>C7</f>
        <v>0</v>
      </c>
      <c r="O76" s="5">
        <f t="shared" ref="O76:O88" si="13">N76+D7</f>
        <v>0</v>
      </c>
      <c r="P76" s="5">
        <f t="shared" ref="P76:P88" si="14">O76+E7</f>
        <v>0</v>
      </c>
      <c r="Q76" s="5">
        <f t="shared" ref="Q76:Q88" si="15">P76+F7</f>
        <v>0</v>
      </c>
      <c r="R76" s="5">
        <f t="shared" ref="R76:R88" si="16">Q76+G7</f>
        <v>0</v>
      </c>
      <c r="S76" s="5">
        <f t="shared" ref="S76:S88" si="17">R76+H7</f>
        <v>0</v>
      </c>
      <c r="T76" s="5">
        <f t="shared" ref="T76:T88" si="18">S76+I7</f>
        <v>0</v>
      </c>
      <c r="U76" s="5">
        <f t="shared" ref="U76:U88" si="19">T76+J7</f>
        <v>0</v>
      </c>
      <c r="V76" s="5">
        <f t="shared" ref="V76:V88" si="20">U76+K7</f>
        <v>0</v>
      </c>
      <c r="W76" s="5">
        <f t="shared" ref="W76:W88" si="21">V76+L7</f>
        <v>0</v>
      </c>
      <c r="X76" s="5">
        <f t="shared" ref="X76:X88" si="22">W76+M7</f>
        <v>0</v>
      </c>
      <c r="Y76" s="5">
        <f t="shared" ref="Y76:Y88" si="23">X76+N7</f>
        <v>0</v>
      </c>
    </row>
    <row r="77" spans="1:25" x14ac:dyDescent="0.55000000000000004">
      <c r="B77" s="11">
        <v>1</v>
      </c>
      <c r="C77" s="11">
        <v>4</v>
      </c>
      <c r="D77" s="12">
        <f t="shared" si="9"/>
        <v>0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24">C8</f>
        <v>0</v>
      </c>
      <c r="O77" s="5">
        <f t="shared" si="13"/>
        <v>0</v>
      </c>
      <c r="P77" s="5">
        <f t="shared" si="14"/>
        <v>0</v>
      </c>
      <c r="Q77" s="5">
        <f t="shared" si="15"/>
        <v>0</v>
      </c>
      <c r="R77" s="5">
        <f t="shared" si="16"/>
        <v>0</v>
      </c>
      <c r="S77" s="5">
        <f t="shared" si="17"/>
        <v>0</v>
      </c>
      <c r="T77" s="5">
        <f t="shared" si="18"/>
        <v>0</v>
      </c>
      <c r="U77" s="5">
        <f t="shared" si="19"/>
        <v>0</v>
      </c>
      <c r="V77" s="5">
        <f t="shared" si="20"/>
        <v>0</v>
      </c>
      <c r="W77" s="5">
        <f t="shared" si="21"/>
        <v>0</v>
      </c>
      <c r="X77" s="5">
        <f t="shared" si="22"/>
        <v>0</v>
      </c>
      <c r="Y77" s="5">
        <f t="shared" si="23"/>
        <v>0</v>
      </c>
    </row>
    <row r="78" spans="1:25" x14ac:dyDescent="0.55000000000000004">
      <c r="B78" s="11">
        <v>1</v>
      </c>
      <c r="C78" s="11">
        <v>5</v>
      </c>
      <c r="D78" s="12">
        <f t="shared" si="9"/>
        <v>0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24"/>
        <v>0</v>
      </c>
      <c r="O78" s="5">
        <f t="shared" si="13"/>
        <v>0</v>
      </c>
      <c r="P78" s="5">
        <f t="shared" si="14"/>
        <v>0</v>
      </c>
      <c r="Q78" s="5">
        <f t="shared" si="15"/>
        <v>0</v>
      </c>
      <c r="R78" s="5">
        <f t="shared" si="16"/>
        <v>0</v>
      </c>
      <c r="S78" s="5">
        <f t="shared" si="17"/>
        <v>0</v>
      </c>
      <c r="T78" s="5">
        <f t="shared" si="18"/>
        <v>0</v>
      </c>
      <c r="U78" s="5">
        <f t="shared" si="19"/>
        <v>0</v>
      </c>
      <c r="V78" s="5">
        <f t="shared" si="20"/>
        <v>0</v>
      </c>
      <c r="W78" s="5">
        <f t="shared" si="21"/>
        <v>0</v>
      </c>
      <c r="X78" s="5">
        <f t="shared" si="22"/>
        <v>0</v>
      </c>
      <c r="Y78" s="5">
        <f t="shared" si="23"/>
        <v>0</v>
      </c>
    </row>
    <row r="79" spans="1:25" x14ac:dyDescent="0.55000000000000004">
      <c r="B79" s="11">
        <v>1</v>
      </c>
      <c r="C79" s="11">
        <v>6</v>
      </c>
      <c r="D79" s="12">
        <f t="shared" si="9"/>
        <v>0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24"/>
        <v>6833010.1849766672</v>
      </c>
      <c r="O79" s="5">
        <f t="shared" si="13"/>
        <v>14238185.412370272</v>
      </c>
      <c r="P79" s="5">
        <f t="shared" si="14"/>
        <v>22733003.857303604</v>
      </c>
      <c r="Q79" s="5">
        <f t="shared" si="15"/>
        <v>32024369.821070269</v>
      </c>
      <c r="R79" s="5">
        <f t="shared" si="16"/>
        <v>40008363.047753602</v>
      </c>
      <c r="S79" s="5">
        <f t="shared" si="17"/>
        <v>49041403.926203601</v>
      </c>
      <c r="T79" s="5">
        <f t="shared" si="18"/>
        <v>57068036.687945269</v>
      </c>
      <c r="U79" s="5">
        <f t="shared" si="19"/>
        <v>64469695.68269527</v>
      </c>
      <c r="V79" s="5">
        <f t="shared" si="20"/>
        <v>72501152.957386941</v>
      </c>
      <c r="W79" s="5">
        <f t="shared" si="21"/>
        <v>79960913.749851942</v>
      </c>
      <c r="X79" s="5">
        <f t="shared" si="22"/>
        <v>88231742.155548602</v>
      </c>
      <c r="Y79" s="5">
        <f t="shared" si="23"/>
        <v>95855297.775916934</v>
      </c>
    </row>
    <row r="80" spans="1:25" x14ac:dyDescent="0.55000000000000004">
      <c r="B80" s="11">
        <v>1</v>
      </c>
      <c r="C80" s="11">
        <v>7</v>
      </c>
      <c r="D80" s="12">
        <f t="shared" si="9"/>
        <v>0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24"/>
        <v>8467730.8975333348</v>
      </c>
      <c r="O80" s="5">
        <f t="shared" si="13"/>
        <v>17407571.246158335</v>
      </c>
      <c r="P80" s="5">
        <f t="shared" si="14"/>
        <v>26605529.626101669</v>
      </c>
      <c r="Q80" s="5">
        <f t="shared" si="15"/>
        <v>36535692.511555001</v>
      </c>
      <c r="R80" s="5">
        <f t="shared" si="16"/>
        <v>45246222.194591671</v>
      </c>
      <c r="S80" s="5">
        <f t="shared" si="17"/>
        <v>54468186.748380005</v>
      </c>
      <c r="T80" s="5">
        <f t="shared" si="18"/>
        <v>63045672.552771673</v>
      </c>
      <c r="U80" s="5">
        <f t="shared" si="19"/>
        <v>72406482.79076001</v>
      </c>
      <c r="V80" s="5">
        <f t="shared" si="20"/>
        <v>81009584.939416677</v>
      </c>
      <c r="W80" s="5">
        <f t="shared" si="21"/>
        <v>89796759.396373346</v>
      </c>
      <c r="X80" s="5">
        <f t="shared" si="22"/>
        <v>98169483.220500007</v>
      </c>
      <c r="Y80" s="5">
        <f t="shared" si="23"/>
        <v>105983151.85846335</v>
      </c>
    </row>
    <row r="81" spans="2:25" x14ac:dyDescent="0.55000000000000004">
      <c r="B81" s="11">
        <v>1</v>
      </c>
      <c r="C81" s="11">
        <v>8</v>
      </c>
      <c r="D81" s="12">
        <f t="shared" si="9"/>
        <v>0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24"/>
        <v>8093038.9226400005</v>
      </c>
      <c r="O81" s="5">
        <f t="shared" si="13"/>
        <v>16126266.508408334</v>
      </c>
      <c r="P81" s="5">
        <f t="shared" si="14"/>
        <v>25181617.844908334</v>
      </c>
      <c r="Q81" s="5">
        <f t="shared" si="15"/>
        <v>34144227.843778335</v>
      </c>
      <c r="R81" s="5">
        <f t="shared" si="16"/>
        <v>43429027.625985004</v>
      </c>
      <c r="S81" s="5">
        <f t="shared" si="17"/>
        <v>53319249.24192667</v>
      </c>
      <c r="T81" s="5">
        <f t="shared" si="18"/>
        <v>62099014.278260008</v>
      </c>
      <c r="U81" s="5">
        <f t="shared" si="19"/>
        <v>70223581.558260009</v>
      </c>
      <c r="V81" s="5">
        <f t="shared" si="20"/>
        <v>78272902.902225003</v>
      </c>
      <c r="W81" s="5">
        <f t="shared" si="21"/>
        <v>86194093.280475006</v>
      </c>
      <c r="X81" s="5">
        <f t="shared" si="22"/>
        <v>94106250.217268333</v>
      </c>
      <c r="Y81" s="5">
        <f t="shared" si="23"/>
        <v>102413750.90276833</v>
      </c>
    </row>
    <row r="82" spans="2:25" x14ac:dyDescent="0.55000000000000004">
      <c r="B82" s="11">
        <v>1</v>
      </c>
      <c r="C82" s="11">
        <v>9</v>
      </c>
      <c r="D82" s="12">
        <f t="shared" si="9"/>
        <v>0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24"/>
        <v>8453082.9510999992</v>
      </c>
      <c r="O82" s="5">
        <f t="shared" si="13"/>
        <v>17309480.111933332</v>
      </c>
      <c r="P82" s="5">
        <f t="shared" si="14"/>
        <v>27061676.390784997</v>
      </c>
      <c r="Q82" s="5">
        <f t="shared" si="15"/>
        <v>36331681.64870666</v>
      </c>
      <c r="R82" s="5">
        <f t="shared" si="16"/>
        <v>45680045.502798326</v>
      </c>
      <c r="S82" s="5">
        <f t="shared" si="17"/>
        <v>55986958.868828326</v>
      </c>
      <c r="T82" s="5">
        <f t="shared" si="18"/>
        <v>65163361.552089989</v>
      </c>
      <c r="U82" s="5">
        <f t="shared" si="19"/>
        <v>73180175.675458327</v>
      </c>
      <c r="V82" s="5">
        <f t="shared" si="20"/>
        <v>81979172.560068324</v>
      </c>
      <c r="W82" s="5">
        <f t="shared" si="21"/>
        <v>90521395.943756655</v>
      </c>
      <c r="X82" s="5">
        <f t="shared" si="22"/>
        <v>98593995.419331655</v>
      </c>
      <c r="Y82" s="5">
        <f t="shared" si="23"/>
        <v>106669275.14773498</v>
      </c>
    </row>
    <row r="83" spans="2:25" x14ac:dyDescent="0.55000000000000004">
      <c r="B83" s="11">
        <v>1</v>
      </c>
      <c r="C83" s="11">
        <v>10</v>
      </c>
      <c r="D83" s="12">
        <f t="shared" si="9"/>
        <v>0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24"/>
        <v>8118274.1420050003</v>
      </c>
      <c r="O83" s="5">
        <f t="shared" si="13"/>
        <v>16288453.973908333</v>
      </c>
      <c r="P83" s="5">
        <f t="shared" si="14"/>
        <v>26318384.956694998</v>
      </c>
      <c r="Q83" s="5">
        <f t="shared" si="15"/>
        <v>36753309.157326669</v>
      </c>
      <c r="R83" s="5">
        <f t="shared" si="16"/>
        <v>45604394.360673338</v>
      </c>
      <c r="S83" s="5">
        <f t="shared" si="17"/>
        <v>56392460.066731676</v>
      </c>
      <c r="T83" s="5">
        <f t="shared" si="18"/>
        <v>64958802.813553348</v>
      </c>
      <c r="U83" s="5">
        <f t="shared" si="19"/>
        <v>73415494.71179001</v>
      </c>
      <c r="V83" s="5">
        <f t="shared" si="20"/>
        <v>82104454.848745018</v>
      </c>
      <c r="W83" s="5">
        <f t="shared" si="21"/>
        <v>89841877.601195022</v>
      </c>
      <c r="X83" s="5">
        <f t="shared" si="22"/>
        <v>97693197.431755021</v>
      </c>
      <c r="Y83" s="5">
        <f t="shared" si="23"/>
        <v>105524774.01663502</v>
      </c>
    </row>
    <row r="84" spans="2:25" x14ac:dyDescent="0.55000000000000004">
      <c r="B84" s="11">
        <v>1</v>
      </c>
      <c r="C84" s="11">
        <v>11</v>
      </c>
      <c r="D84" s="12">
        <f t="shared" si="9"/>
        <v>0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24"/>
        <v>7561106.6728833336</v>
      </c>
      <c r="O84" s="5">
        <f t="shared" si="13"/>
        <v>16063862.024251668</v>
      </c>
      <c r="P84" s="5">
        <f t="shared" si="14"/>
        <v>24989298.781871669</v>
      </c>
      <c r="Q84" s="5">
        <f t="shared" si="15"/>
        <v>33083355.224382266</v>
      </c>
      <c r="R84" s="5">
        <f t="shared" si="16"/>
        <v>41136357.709043421</v>
      </c>
      <c r="S84" s="5">
        <f t="shared" si="17"/>
        <v>50724579.1532562</v>
      </c>
      <c r="T84" s="5">
        <f t="shared" si="18"/>
        <v>58896610.100902312</v>
      </c>
      <c r="U84" s="5">
        <f t="shared" si="19"/>
        <v>67070253.486953504</v>
      </c>
      <c r="V84" s="5">
        <f t="shared" si="20"/>
        <v>75187709.55968295</v>
      </c>
      <c r="W84" s="5">
        <f t="shared" si="21"/>
        <v>83263224.730014697</v>
      </c>
      <c r="X84" s="5">
        <f t="shared" si="22"/>
        <v>91442801.878155813</v>
      </c>
      <c r="Y84" s="5">
        <f t="shared" si="23"/>
        <v>98125074.293385252</v>
      </c>
    </row>
    <row r="85" spans="2:25" x14ac:dyDescent="0.55000000000000004">
      <c r="B85" s="11">
        <v>1</v>
      </c>
      <c r="C85" s="11">
        <v>12</v>
      </c>
      <c r="D85" s="12">
        <f t="shared" si="9"/>
        <v>0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>
        <f>SUM(D74:D85)/1000000</f>
        <v>0</v>
      </c>
      <c r="M85" s="6" t="s">
        <v>24</v>
      </c>
      <c r="N85" s="5">
        <f t="shared" si="24"/>
        <v>7436082.1541283336</v>
      </c>
      <c r="O85" s="5">
        <f t="shared" si="13"/>
        <v>16252102.422530025</v>
      </c>
      <c r="P85" s="5">
        <f t="shared" si="14"/>
        <v>26012304.033666693</v>
      </c>
      <c r="Q85" s="5">
        <f t="shared" si="15"/>
        <v>36218986.555946693</v>
      </c>
      <c r="R85" s="5">
        <f t="shared" si="16"/>
        <v>45499207.967369445</v>
      </c>
      <c r="S85" s="5">
        <f t="shared" si="17"/>
        <v>56112460.887557775</v>
      </c>
      <c r="T85" s="5">
        <f t="shared" si="18"/>
        <v>65603013.289259441</v>
      </c>
      <c r="U85" s="5">
        <f t="shared" si="19"/>
        <v>74888591.907526106</v>
      </c>
      <c r="V85" s="5">
        <f t="shared" si="20"/>
        <v>83270827.850154445</v>
      </c>
      <c r="W85" s="5">
        <f t="shared" si="21"/>
        <v>92098352.922896117</v>
      </c>
      <c r="X85" s="5">
        <f t="shared" si="22"/>
        <v>100641848.99205945</v>
      </c>
      <c r="Y85" s="5">
        <f t="shared" si="23"/>
        <v>109077771.60016112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0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25">G86</f>
        <v>Oct'15/16</v>
      </c>
      <c r="I86" s="11">
        <f t="shared" ref="I86:I149" si="26">SUM(D75:D86)/1000000</f>
        <v>0</v>
      </c>
      <c r="M86" s="6" t="s">
        <v>25</v>
      </c>
      <c r="N86" s="5">
        <f t="shared" si="24"/>
        <v>8837729.3120849989</v>
      </c>
      <c r="O86" s="5">
        <f t="shared" si="13"/>
        <v>17104543.455638334</v>
      </c>
      <c r="P86" s="5">
        <f t="shared" si="14"/>
        <v>26958524.045891669</v>
      </c>
      <c r="Q86" s="5">
        <f t="shared" si="15"/>
        <v>36096261.440099999</v>
      </c>
      <c r="R86" s="5">
        <f t="shared" si="16"/>
        <v>45897131.847421661</v>
      </c>
      <c r="S86" s="5">
        <f t="shared" si="17"/>
        <v>56523891.019291662</v>
      </c>
      <c r="T86" s="5">
        <f t="shared" si="18"/>
        <v>65907907.186729997</v>
      </c>
      <c r="U86" s="5">
        <f t="shared" si="19"/>
        <v>75534889.453740001</v>
      </c>
      <c r="V86" s="5">
        <f t="shared" si="20"/>
        <v>84554461.681915</v>
      </c>
      <c r="W86" s="5">
        <f t="shared" si="21"/>
        <v>93355931.594608337</v>
      </c>
      <c r="X86" s="5">
        <f t="shared" si="22"/>
        <v>101894119.70016223</v>
      </c>
      <c r="Y86" s="5">
        <f t="shared" si="23"/>
        <v>110662714.0473993</v>
      </c>
    </row>
    <row r="87" spans="2:25" x14ac:dyDescent="0.55000000000000004">
      <c r="B87" s="11">
        <f t="shared" ref="B87:B150" si="27">B75+1</f>
        <v>2</v>
      </c>
      <c r="C87" s="11">
        <f t="shared" ref="C87:C150" si="28">C75</f>
        <v>2</v>
      </c>
      <c r="D87" s="12">
        <f t="shared" si="9"/>
        <v>0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25"/>
        <v>Nov'15/16</v>
      </c>
      <c r="I87" s="11">
        <f t="shared" si="26"/>
        <v>0</v>
      </c>
      <c r="M87" s="6" t="s">
        <v>26</v>
      </c>
      <c r="N87" s="5">
        <f t="shared" si="24"/>
        <v>8608395.8574516661</v>
      </c>
      <c r="O87" s="5">
        <f t="shared" si="13"/>
        <v>16949895.7766</v>
      </c>
      <c r="P87" s="5">
        <f t="shared" si="14"/>
        <v>26151135.279398333</v>
      </c>
      <c r="Q87" s="5">
        <f t="shared" si="15"/>
        <v>35552865.946065001</v>
      </c>
      <c r="R87" s="5">
        <f t="shared" si="16"/>
        <v>43871741.612731665</v>
      </c>
      <c r="S87" s="5">
        <f t="shared" si="17"/>
        <v>53389507.612731665</v>
      </c>
      <c r="T87" s="5">
        <f t="shared" si="18"/>
        <v>62942393.612731665</v>
      </c>
      <c r="U87" s="5" t="e">
        <f t="shared" si="19"/>
        <v>#N/A</v>
      </c>
      <c r="V87" s="5" t="e">
        <f t="shared" si="20"/>
        <v>#N/A</v>
      </c>
      <c r="W87" s="5" t="e">
        <f t="shared" si="21"/>
        <v>#N/A</v>
      </c>
      <c r="X87" s="5" t="e">
        <f t="shared" si="22"/>
        <v>#N/A</v>
      </c>
      <c r="Y87" s="5" t="e">
        <f t="shared" si="23"/>
        <v>#N/A</v>
      </c>
    </row>
    <row r="88" spans="2:25" x14ac:dyDescent="0.55000000000000004">
      <c r="B88" s="11">
        <f t="shared" si="27"/>
        <v>2</v>
      </c>
      <c r="C88" s="11">
        <f t="shared" si="28"/>
        <v>3</v>
      </c>
      <c r="D88" s="12">
        <f t="shared" si="9"/>
        <v>0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25"/>
        <v>Dec'15/16</v>
      </c>
      <c r="I88" s="11">
        <f t="shared" si="26"/>
        <v>0</v>
      </c>
      <c r="M88" s="6" t="s">
        <v>27</v>
      </c>
      <c r="N88" s="5" t="e">
        <f t="shared" si="24"/>
        <v>#N/A</v>
      </c>
      <c r="O88" s="5" t="e">
        <f t="shared" si="13"/>
        <v>#N/A</v>
      </c>
      <c r="P88" s="5" t="e">
        <f t="shared" si="14"/>
        <v>#N/A</v>
      </c>
      <c r="Q88" s="5" t="e">
        <f t="shared" si="15"/>
        <v>#N/A</v>
      </c>
      <c r="R88" s="5" t="e">
        <f t="shared" si="16"/>
        <v>#N/A</v>
      </c>
      <c r="S88" s="5" t="e">
        <f t="shared" si="17"/>
        <v>#N/A</v>
      </c>
      <c r="T88" s="5" t="e">
        <f t="shared" si="18"/>
        <v>#N/A</v>
      </c>
      <c r="U88" s="5" t="e">
        <f t="shared" si="19"/>
        <v>#N/A</v>
      </c>
      <c r="V88" s="5" t="e">
        <f t="shared" si="20"/>
        <v>#N/A</v>
      </c>
      <c r="W88" s="5" t="e">
        <f t="shared" si="21"/>
        <v>#N/A</v>
      </c>
      <c r="X88" s="5" t="e">
        <f t="shared" si="22"/>
        <v>#N/A</v>
      </c>
      <c r="Y88" s="5" t="e">
        <f t="shared" si="23"/>
        <v>#N/A</v>
      </c>
    </row>
    <row r="89" spans="2:25" x14ac:dyDescent="0.55000000000000004">
      <c r="B89" s="11">
        <f t="shared" si="27"/>
        <v>2</v>
      </c>
      <c r="C89" s="11">
        <f t="shared" si="28"/>
        <v>4</v>
      </c>
      <c r="D89" s="12">
        <f t="shared" si="9"/>
        <v>0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25"/>
        <v>Jan'15/16</v>
      </c>
      <c r="I89" s="11">
        <f t="shared" si="26"/>
        <v>0</v>
      </c>
    </row>
    <row r="90" spans="2:25" x14ac:dyDescent="0.55000000000000004">
      <c r="B90" s="11">
        <f t="shared" si="27"/>
        <v>2</v>
      </c>
      <c r="C90" s="11">
        <f t="shared" si="28"/>
        <v>5</v>
      </c>
      <c r="D90" s="12">
        <f t="shared" si="9"/>
        <v>0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25"/>
        <v>Feb'15/16</v>
      </c>
      <c r="I90" s="11">
        <f t="shared" si="26"/>
        <v>0</v>
      </c>
    </row>
    <row r="91" spans="2:25" x14ac:dyDescent="0.55000000000000004">
      <c r="B91" s="11">
        <f t="shared" si="27"/>
        <v>2</v>
      </c>
      <c r="C91" s="11">
        <f t="shared" si="28"/>
        <v>6</v>
      </c>
      <c r="D91" s="12">
        <f t="shared" si="9"/>
        <v>0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25"/>
        <v>Mar'15/16</v>
      </c>
      <c r="I91" s="11">
        <f t="shared" si="26"/>
        <v>0</v>
      </c>
    </row>
    <row r="92" spans="2:25" x14ac:dyDescent="0.55000000000000004">
      <c r="B92" s="11">
        <f t="shared" si="27"/>
        <v>2</v>
      </c>
      <c r="C92" s="11">
        <f t="shared" si="28"/>
        <v>7</v>
      </c>
      <c r="D92" s="12">
        <f t="shared" si="9"/>
        <v>0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25"/>
        <v>Apr'15/16</v>
      </c>
      <c r="I92" s="11">
        <f t="shared" si="26"/>
        <v>0</v>
      </c>
    </row>
    <row r="93" spans="2:25" x14ac:dyDescent="0.55000000000000004">
      <c r="B93" s="11">
        <f t="shared" si="27"/>
        <v>2</v>
      </c>
      <c r="C93" s="11">
        <f t="shared" si="28"/>
        <v>8</v>
      </c>
      <c r="D93" s="12">
        <f t="shared" si="9"/>
        <v>0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25"/>
        <v>May'15/16</v>
      </c>
      <c r="I93" s="11">
        <f t="shared" si="26"/>
        <v>0</v>
      </c>
    </row>
    <row r="94" spans="2:25" x14ac:dyDescent="0.55000000000000004">
      <c r="B94" s="11">
        <f t="shared" si="27"/>
        <v>2</v>
      </c>
      <c r="C94" s="11">
        <f t="shared" si="28"/>
        <v>9</v>
      </c>
      <c r="D94" s="12">
        <f t="shared" si="9"/>
        <v>0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25"/>
        <v>Jun'15/16</v>
      </c>
      <c r="I94" s="11">
        <f t="shared" si="26"/>
        <v>0</v>
      </c>
    </row>
    <row r="95" spans="2:25" x14ac:dyDescent="0.55000000000000004">
      <c r="B95" s="11">
        <f t="shared" si="27"/>
        <v>2</v>
      </c>
      <c r="C95" s="11">
        <f t="shared" si="28"/>
        <v>10</v>
      </c>
      <c r="D95" s="12">
        <f t="shared" si="9"/>
        <v>0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25"/>
        <v>Jul'15/16</v>
      </c>
      <c r="I95" s="11">
        <f t="shared" si="26"/>
        <v>0</v>
      </c>
    </row>
    <row r="96" spans="2:25" x14ac:dyDescent="0.55000000000000004">
      <c r="B96" s="11">
        <f t="shared" si="27"/>
        <v>2</v>
      </c>
      <c r="C96" s="11">
        <f t="shared" si="28"/>
        <v>11</v>
      </c>
      <c r="D96" s="12">
        <f t="shared" si="9"/>
        <v>0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25"/>
        <v>Aug'15/16</v>
      </c>
      <c r="I96" s="11">
        <f t="shared" si="26"/>
        <v>0</v>
      </c>
    </row>
    <row r="97" spans="2:12" x14ac:dyDescent="0.55000000000000004">
      <c r="B97" s="11">
        <f t="shared" si="27"/>
        <v>2</v>
      </c>
      <c r="C97" s="11">
        <f t="shared" si="28"/>
        <v>12</v>
      </c>
      <c r="D97" s="12">
        <f t="shared" si="9"/>
        <v>0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25"/>
        <v>Sep'15/16</v>
      </c>
      <c r="I97" s="11">
        <f t="shared" si="26"/>
        <v>0</v>
      </c>
    </row>
    <row r="98" spans="2:12" x14ac:dyDescent="0.55000000000000004">
      <c r="B98" s="11">
        <f t="shared" si="27"/>
        <v>3</v>
      </c>
      <c r="C98" s="11">
        <f t="shared" si="28"/>
        <v>1</v>
      </c>
      <c r="D98" s="12">
        <f t="shared" si="9"/>
        <v>0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25"/>
        <v>Oct'16/17</v>
      </c>
      <c r="I98" s="11">
        <f t="shared" si="26"/>
        <v>0</v>
      </c>
    </row>
    <row r="99" spans="2:12" x14ac:dyDescent="0.55000000000000004">
      <c r="B99" s="11">
        <f t="shared" si="27"/>
        <v>3</v>
      </c>
      <c r="C99" s="11">
        <f t="shared" si="28"/>
        <v>2</v>
      </c>
      <c r="D99" s="12">
        <f t="shared" si="9"/>
        <v>0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25"/>
        <v>Nov'16/17</v>
      </c>
      <c r="I99" s="11">
        <f t="shared" si="26"/>
        <v>0</v>
      </c>
    </row>
    <row r="100" spans="2:12" x14ac:dyDescent="0.55000000000000004">
      <c r="B100" s="11">
        <f t="shared" si="27"/>
        <v>3</v>
      </c>
      <c r="C100" s="11">
        <f t="shared" si="28"/>
        <v>3</v>
      </c>
      <c r="D100" s="12">
        <f t="shared" si="9"/>
        <v>0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25"/>
        <v>Dec'16/17</v>
      </c>
      <c r="I100" s="11">
        <f t="shared" si="26"/>
        <v>0</v>
      </c>
    </row>
    <row r="101" spans="2:12" x14ac:dyDescent="0.55000000000000004">
      <c r="B101" s="11">
        <f t="shared" si="27"/>
        <v>3</v>
      </c>
      <c r="C101" s="11">
        <f t="shared" si="28"/>
        <v>4</v>
      </c>
      <c r="D101" s="12">
        <f t="shared" si="9"/>
        <v>0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25"/>
        <v>Jan'16/17</v>
      </c>
      <c r="I101" s="11">
        <f t="shared" si="26"/>
        <v>0</v>
      </c>
    </row>
    <row r="102" spans="2:12" x14ac:dyDescent="0.55000000000000004">
      <c r="B102" s="11">
        <f t="shared" si="27"/>
        <v>3</v>
      </c>
      <c r="C102" s="11">
        <f t="shared" si="28"/>
        <v>5</v>
      </c>
      <c r="D102" s="12">
        <f t="shared" si="9"/>
        <v>0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25"/>
        <v>Feb'16/17</v>
      </c>
      <c r="I102" s="11">
        <f t="shared" si="26"/>
        <v>0</v>
      </c>
    </row>
    <row r="103" spans="2:12" x14ac:dyDescent="0.55000000000000004">
      <c r="B103" s="11">
        <f t="shared" si="27"/>
        <v>3</v>
      </c>
      <c r="C103" s="11">
        <f t="shared" si="28"/>
        <v>6</v>
      </c>
      <c r="D103" s="12">
        <f t="shared" si="9"/>
        <v>0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25"/>
        <v>Mar'16/17</v>
      </c>
      <c r="I103" s="11">
        <f t="shared" si="26"/>
        <v>0</v>
      </c>
    </row>
    <row r="104" spans="2:12" x14ac:dyDescent="0.55000000000000004">
      <c r="B104" s="11">
        <f t="shared" si="27"/>
        <v>3</v>
      </c>
      <c r="C104" s="11">
        <f t="shared" si="28"/>
        <v>7</v>
      </c>
      <c r="D104" s="12">
        <f t="shared" si="9"/>
        <v>0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25"/>
        <v>Apr'16/17</v>
      </c>
      <c r="I104" s="11">
        <f t="shared" si="26"/>
        <v>0</v>
      </c>
    </row>
    <row r="105" spans="2:12" x14ac:dyDescent="0.55000000000000004">
      <c r="B105" s="11">
        <f t="shared" si="27"/>
        <v>3</v>
      </c>
      <c r="C105" s="11">
        <f t="shared" si="28"/>
        <v>8</v>
      </c>
      <c r="D105" s="12">
        <f t="shared" si="9"/>
        <v>0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25"/>
        <v>May'16/17</v>
      </c>
      <c r="I105" s="11">
        <f t="shared" si="26"/>
        <v>0</v>
      </c>
    </row>
    <row r="106" spans="2:12" x14ac:dyDescent="0.55000000000000004">
      <c r="B106" s="11">
        <f t="shared" si="27"/>
        <v>3</v>
      </c>
      <c r="C106" s="11">
        <f t="shared" si="28"/>
        <v>9</v>
      </c>
      <c r="D106" s="12">
        <f t="shared" si="9"/>
        <v>0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25"/>
        <v>Jun'16/17</v>
      </c>
      <c r="I106" s="11">
        <f t="shared" si="26"/>
        <v>0</v>
      </c>
    </row>
    <row r="107" spans="2:12" x14ac:dyDescent="0.55000000000000004">
      <c r="B107" s="11">
        <f t="shared" si="27"/>
        <v>3</v>
      </c>
      <c r="C107" s="11">
        <f t="shared" si="28"/>
        <v>10</v>
      </c>
      <c r="D107" s="12">
        <f t="shared" si="9"/>
        <v>0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25"/>
        <v>Jul'16/17</v>
      </c>
      <c r="I107" s="11">
        <f t="shared" si="26"/>
        <v>0</v>
      </c>
    </row>
    <row r="108" spans="2:12" x14ac:dyDescent="0.55000000000000004">
      <c r="B108" s="11">
        <f t="shared" si="27"/>
        <v>3</v>
      </c>
      <c r="C108" s="11">
        <f t="shared" si="28"/>
        <v>11</v>
      </c>
      <c r="D108" s="12">
        <f t="shared" si="9"/>
        <v>0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25"/>
        <v>Aug'16/17</v>
      </c>
      <c r="I108" s="11">
        <f t="shared" si="26"/>
        <v>0</v>
      </c>
    </row>
    <row r="109" spans="2:12" x14ac:dyDescent="0.55000000000000004">
      <c r="B109" s="11">
        <f t="shared" si="27"/>
        <v>3</v>
      </c>
      <c r="C109" s="11">
        <f t="shared" si="28"/>
        <v>12</v>
      </c>
      <c r="D109" s="12">
        <f t="shared" si="9"/>
        <v>0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25"/>
        <v>Sep'16/17</v>
      </c>
      <c r="I109" s="11">
        <f t="shared" si="26"/>
        <v>0</v>
      </c>
      <c r="J109" s="11" t="s">
        <v>34</v>
      </c>
      <c r="K109" s="11" t="s">
        <v>41</v>
      </c>
      <c r="L109" s="11" t="s">
        <v>42</v>
      </c>
    </row>
    <row r="110" spans="2:12" x14ac:dyDescent="0.55000000000000004">
      <c r="B110" s="11">
        <f t="shared" si="27"/>
        <v>4</v>
      </c>
      <c r="C110" s="11">
        <f t="shared" si="28"/>
        <v>1</v>
      </c>
      <c r="D110" s="12">
        <f t="shared" si="9"/>
        <v>6833010.1849766672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25"/>
        <v>Oct'17/18</v>
      </c>
      <c r="I110" s="11">
        <f t="shared" si="26"/>
        <v>6.8330101849766676</v>
      </c>
      <c r="J110" s="11" t="str">
        <f>H110</f>
        <v>Oct'17/18</v>
      </c>
      <c r="K110" s="41">
        <f>'S4 Arabica'!I110</f>
        <v>4.0501096674166668</v>
      </c>
      <c r="L110" s="41">
        <f>'S5 Robusta'!I110</f>
        <v>44.720151644679106</v>
      </c>
    </row>
    <row r="111" spans="2:12" x14ac:dyDescent="0.55000000000000004">
      <c r="B111" s="11">
        <f t="shared" si="27"/>
        <v>4</v>
      </c>
      <c r="C111" s="11">
        <f t="shared" si="28"/>
        <v>2</v>
      </c>
      <c r="D111" s="12">
        <f t="shared" si="9"/>
        <v>7405175.2273936048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25"/>
        <v>Nov'17/18</v>
      </c>
      <c r="I111" s="11">
        <f t="shared" si="26"/>
        <v>14.238185412370273</v>
      </c>
      <c r="J111" s="11" t="str">
        <f t="shared" ref="J111:J174" si="29">H111</f>
        <v>Nov'17/18</v>
      </c>
      <c r="K111" s="41">
        <f>'S4 Arabica'!I111</f>
        <v>8.3854715701299991</v>
      </c>
      <c r="L111" s="41">
        <f>'S5 Robusta'!I111</f>
        <v>44.287513746139375</v>
      </c>
    </row>
    <row r="112" spans="2:12" x14ac:dyDescent="0.55000000000000004">
      <c r="B112" s="11">
        <f t="shared" si="27"/>
        <v>4</v>
      </c>
      <c r="C112" s="11">
        <f t="shared" si="28"/>
        <v>3</v>
      </c>
      <c r="D112" s="12">
        <f t="shared" si="9"/>
        <v>8494818.4449333344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25"/>
        <v>Dec'17/18</v>
      </c>
      <c r="I112" s="11">
        <f t="shared" si="26"/>
        <v>22.733003857303604</v>
      </c>
      <c r="J112" s="11" t="str">
        <f t="shared" si="29"/>
        <v>Dec'17/18</v>
      </c>
      <c r="K112" s="41">
        <f>'S4 Arabica'!I112</f>
        <v>12.938878896788333</v>
      </c>
      <c r="L112" s="41">
        <f>'S5 Robusta'!I112</f>
        <v>44.167626320331046</v>
      </c>
    </row>
    <row r="113" spans="2:12" x14ac:dyDescent="0.55000000000000004">
      <c r="B113" s="11">
        <f t="shared" si="27"/>
        <v>4</v>
      </c>
      <c r="C113" s="11">
        <f t="shared" si="28"/>
        <v>4</v>
      </c>
      <c r="D113" s="12">
        <f t="shared" si="9"/>
        <v>9291365.9637666661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25"/>
        <v>Jan'17/18</v>
      </c>
      <c r="I113" s="11">
        <f t="shared" si="26"/>
        <v>32.024369821070266</v>
      </c>
      <c r="J113" s="11" t="str">
        <f t="shared" si="29"/>
        <v>Jan'17/18</v>
      </c>
      <c r="K113" s="41">
        <f>'S4 Arabica'!I113</f>
        <v>17.601149509288334</v>
      </c>
      <c r="L113" s="41">
        <f>'S5 Robusta'!I113</f>
        <v>44.408490207887716</v>
      </c>
    </row>
    <row r="114" spans="2:12" x14ac:dyDescent="0.55000000000000004">
      <c r="B114" s="11">
        <f t="shared" si="27"/>
        <v>4</v>
      </c>
      <c r="C114" s="11">
        <f t="shared" si="28"/>
        <v>5</v>
      </c>
      <c r="D114" s="12">
        <f t="shared" si="9"/>
        <v>7983993.2266833335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25"/>
        <v>Feb'17/18</v>
      </c>
      <c r="I114" s="11">
        <f t="shared" si="26"/>
        <v>40.008363047753605</v>
      </c>
      <c r="J114" s="11" t="str">
        <f t="shared" si="29"/>
        <v>Feb'17/18</v>
      </c>
      <c r="K114" s="41">
        <f>'S4 Arabica'!I114</f>
        <v>22.174116525046667</v>
      </c>
      <c r="L114" s="41">
        <f>'S5 Robusta'!I114</f>
        <v>43.618076837269385</v>
      </c>
    </row>
    <row r="115" spans="2:12" x14ac:dyDescent="0.55000000000000004">
      <c r="B115" s="11">
        <f t="shared" si="27"/>
        <v>4</v>
      </c>
      <c r="C115" s="11">
        <f t="shared" si="28"/>
        <v>6</v>
      </c>
      <c r="D115" s="12">
        <f t="shared" si="9"/>
        <v>9033040.8784499988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25"/>
        <v>Mar'17/18</v>
      </c>
      <c r="I115" s="11">
        <f t="shared" si="26"/>
        <v>49.0414039262036</v>
      </c>
      <c r="J115" s="11" t="str">
        <f t="shared" si="29"/>
        <v>Mar'17/18</v>
      </c>
      <c r="K115" s="41">
        <f>'S4 Arabica'!I115</f>
        <v>26.373993565255002</v>
      </c>
      <c r="L115" s="41">
        <f>'S5 Robusta'!I115</f>
        <v>43.753065652476053</v>
      </c>
    </row>
    <row r="116" spans="2:12" x14ac:dyDescent="0.55000000000000004">
      <c r="B116" s="11">
        <f t="shared" si="27"/>
        <v>4</v>
      </c>
      <c r="C116" s="11">
        <f t="shared" si="28"/>
        <v>7</v>
      </c>
      <c r="D116" s="12">
        <f t="shared" si="9"/>
        <v>8026632.7617416671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25"/>
        <v>Apr'17/18</v>
      </c>
      <c r="I116" s="11">
        <f t="shared" si="26"/>
        <v>57.068036687945266</v>
      </c>
      <c r="J116" s="11" t="str">
        <f t="shared" si="29"/>
        <v>Apr'17/18</v>
      </c>
      <c r="K116" s="41">
        <f>'S4 Arabica'!I116</f>
        <v>30.585979055488334</v>
      </c>
      <c r="L116" s="41">
        <f>'S5 Robusta'!I116</f>
        <v>43.747570826091057</v>
      </c>
    </row>
    <row r="117" spans="2:12" x14ac:dyDescent="0.55000000000000004">
      <c r="B117" s="11">
        <f t="shared" si="27"/>
        <v>4</v>
      </c>
      <c r="C117" s="11">
        <f t="shared" si="28"/>
        <v>8</v>
      </c>
      <c r="D117" s="12">
        <f t="shared" si="9"/>
        <v>7401658.9947500005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25"/>
        <v>May'17/18</v>
      </c>
      <c r="I117" s="11">
        <f t="shared" si="26"/>
        <v>64.469695682695274</v>
      </c>
      <c r="J117" s="11" t="str">
        <f t="shared" si="29"/>
        <v>May'17/18</v>
      </c>
      <c r="K117" s="41">
        <f>'S4 Arabica'!I117</f>
        <v>34.184845974363334</v>
      </c>
      <c r="L117" s="41">
        <f>'S5 Robusta'!I117</f>
        <v>43.797983881032721</v>
      </c>
    </row>
    <row r="118" spans="2:12" x14ac:dyDescent="0.55000000000000004">
      <c r="B118" s="11">
        <f t="shared" si="27"/>
        <v>4</v>
      </c>
      <c r="C118" s="11">
        <f t="shared" si="28"/>
        <v>9</v>
      </c>
      <c r="D118" s="12">
        <f t="shared" si="9"/>
        <v>8031457.2746916674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25"/>
        <v>Jun'17/18</v>
      </c>
      <c r="I118" s="11">
        <f t="shared" si="26"/>
        <v>72.501152957386935</v>
      </c>
      <c r="J118" s="11" t="str">
        <f t="shared" si="29"/>
        <v>Jun'17/18</v>
      </c>
      <c r="K118" s="41">
        <f>'S4 Arabica'!I118</f>
        <v>38.378886065705004</v>
      </c>
      <c r="L118" s="41">
        <f>'S5 Robusta'!I118</f>
        <v>43.941922865416053</v>
      </c>
    </row>
    <row r="119" spans="2:12" x14ac:dyDescent="0.55000000000000004">
      <c r="B119" s="11">
        <f t="shared" si="27"/>
        <v>4</v>
      </c>
      <c r="C119" s="11">
        <f t="shared" si="28"/>
        <v>10</v>
      </c>
      <c r="D119" s="12">
        <f t="shared" si="9"/>
        <v>7459760.7924649995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25"/>
        <v>Jul'17/18</v>
      </c>
      <c r="I119" s="11">
        <f t="shared" si="26"/>
        <v>79.96091374985194</v>
      </c>
      <c r="J119" s="11" t="str">
        <f t="shared" si="29"/>
        <v>Jul'17/18</v>
      </c>
      <c r="K119" s="41">
        <f>'S4 Arabica'!I119</f>
        <v>42.270660822261668</v>
      </c>
      <c r="L119" s="41">
        <f>'S5 Robusta'!I119</f>
        <v>43.895748968257713</v>
      </c>
    </row>
    <row r="120" spans="2:12" x14ac:dyDescent="0.55000000000000004">
      <c r="B120" s="11">
        <f t="shared" si="27"/>
        <v>4</v>
      </c>
      <c r="C120" s="11">
        <f t="shared" si="28"/>
        <v>11</v>
      </c>
      <c r="D120" s="12">
        <f t="shared" si="9"/>
        <v>8270828.4056966668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25"/>
        <v>Aug'17/18</v>
      </c>
      <c r="I120" s="11">
        <f t="shared" si="26"/>
        <v>88.231742155548602</v>
      </c>
      <c r="J120" s="11" t="str">
        <f t="shared" si="29"/>
        <v>Aug'17/18</v>
      </c>
      <c r="K120" s="41">
        <f>'S4 Arabica'!I120</f>
        <v>46.779358415241667</v>
      </c>
      <c r="L120" s="41">
        <f>'S5 Robusta'!I120</f>
        <v>44.252848981756941</v>
      </c>
    </row>
    <row r="121" spans="2:12" x14ac:dyDescent="0.55000000000000004">
      <c r="B121" s="11">
        <f t="shared" si="27"/>
        <v>4</v>
      </c>
      <c r="C121" s="11">
        <f t="shared" si="28"/>
        <v>12</v>
      </c>
      <c r="D121" s="12">
        <f t="shared" si="9"/>
        <v>7623555.6203683335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25"/>
        <v>Sep'17/18</v>
      </c>
      <c r="I121" s="11">
        <f t="shared" si="26"/>
        <v>95.855297775916938</v>
      </c>
      <c r="J121" s="11" t="str">
        <f t="shared" si="29"/>
        <v>Sep'17/18</v>
      </c>
      <c r="K121" s="41">
        <f>'S4 Arabica'!I121</f>
        <v>51.013908466991666</v>
      </c>
      <c r="L121" s="41">
        <f>'S5 Robusta'!I121</f>
        <v>44.84138930892528</v>
      </c>
    </row>
    <row r="122" spans="2:12" x14ac:dyDescent="0.55000000000000004">
      <c r="B122" s="11">
        <f t="shared" si="27"/>
        <v>5</v>
      </c>
      <c r="C122" s="11">
        <f t="shared" si="28"/>
        <v>1</v>
      </c>
      <c r="D122" s="12">
        <f t="shared" si="9"/>
        <v>8467730.8975333348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25"/>
        <v>Oct'18/19</v>
      </c>
      <c r="I122" s="11">
        <f t="shared" si="26"/>
        <v>97.490018488473595</v>
      </c>
      <c r="J122" s="11" t="str">
        <f t="shared" si="29"/>
        <v>Oct'18/19</v>
      </c>
      <c r="K122" s="41">
        <f>'S4 Arabica'!I122</f>
        <v>51.681212442299994</v>
      </c>
      <c r="L122" s="41">
        <f>'S5 Robusta'!I122</f>
        <v>45.808806046173608</v>
      </c>
    </row>
    <row r="123" spans="2:12" x14ac:dyDescent="0.55000000000000004">
      <c r="B123" s="11">
        <f t="shared" si="27"/>
        <v>5</v>
      </c>
      <c r="C123" s="11">
        <f t="shared" si="28"/>
        <v>2</v>
      </c>
      <c r="D123" s="12">
        <f t="shared" si="9"/>
        <v>8939840.3486250006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25"/>
        <v>Nov'18/19</v>
      </c>
      <c r="I123" s="11">
        <f t="shared" si="26"/>
        <v>99.024683609705008</v>
      </c>
      <c r="J123" s="11" t="str">
        <f t="shared" si="29"/>
        <v>Nov'18/19</v>
      </c>
      <c r="K123" s="41">
        <f>'S4 Arabica'!I123</f>
        <v>52.344511679378328</v>
      </c>
      <c r="L123" s="41">
        <f>'S5 Robusta'!I123</f>
        <v>46.680171930326679</v>
      </c>
    </row>
    <row r="124" spans="2:12" x14ac:dyDescent="0.55000000000000004">
      <c r="B124" s="11">
        <f t="shared" si="27"/>
        <v>5</v>
      </c>
      <c r="C124" s="11">
        <f t="shared" si="28"/>
        <v>3</v>
      </c>
      <c r="D124" s="12">
        <f t="shared" si="9"/>
        <v>9197958.3799433336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25"/>
        <v>Dec'18/19</v>
      </c>
      <c r="I124" s="11">
        <f t="shared" si="26"/>
        <v>99.727823544715022</v>
      </c>
      <c r="J124" s="11" t="str">
        <f t="shared" si="29"/>
        <v>Dec'18/19</v>
      </c>
      <c r="K124" s="41">
        <f>'S4 Arabica'!I124</f>
        <v>53.11191224796999</v>
      </c>
      <c r="L124" s="41">
        <f>'S5 Robusta'!I124</f>
        <v>46.615911296745011</v>
      </c>
    </row>
    <row r="125" spans="2:12" x14ac:dyDescent="0.55000000000000004">
      <c r="B125" s="11">
        <f t="shared" si="27"/>
        <v>5</v>
      </c>
      <c r="C125" s="11">
        <f t="shared" si="28"/>
        <v>4</v>
      </c>
      <c r="D125" s="12">
        <f t="shared" si="9"/>
        <v>9930162.8854533322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25"/>
        <v>Jan'18/19</v>
      </c>
      <c r="I125" s="11">
        <f t="shared" si="26"/>
        <v>100.36662046640168</v>
      </c>
      <c r="J125" s="11" t="str">
        <f t="shared" si="29"/>
        <v>Jan'18/19</v>
      </c>
      <c r="K125" s="41">
        <f>'S4 Arabica'!I125</f>
        <v>53.503215233406671</v>
      </c>
      <c r="L125" s="41">
        <f>'S5 Robusta'!I125</f>
        <v>46.863405232995014</v>
      </c>
    </row>
    <row r="126" spans="2:12" x14ac:dyDescent="0.55000000000000004">
      <c r="B126" s="11">
        <f t="shared" si="27"/>
        <v>5</v>
      </c>
      <c r="C126" s="11">
        <f t="shared" si="28"/>
        <v>5</v>
      </c>
      <c r="D126" s="12">
        <f t="shared" si="9"/>
        <v>8710529.6830366664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25"/>
        <v>Feb'18/19</v>
      </c>
      <c r="I126" s="11">
        <f t="shared" si="26"/>
        <v>101.093156922755</v>
      </c>
      <c r="J126" s="11" t="str">
        <f t="shared" si="29"/>
        <v>Feb'18/19</v>
      </c>
      <c r="K126" s="41">
        <f>'S4 Arabica'!I126</f>
        <v>54.296068580248331</v>
      </c>
      <c r="L126" s="41">
        <f>'S5 Robusta'!I126</f>
        <v>46.797088342506669</v>
      </c>
    </row>
    <row r="127" spans="2:12" x14ac:dyDescent="0.55000000000000004">
      <c r="B127" s="11">
        <f t="shared" si="27"/>
        <v>5</v>
      </c>
      <c r="C127" s="11">
        <f t="shared" si="28"/>
        <v>6</v>
      </c>
      <c r="D127" s="12">
        <f t="shared" si="9"/>
        <v>9221964.5537883341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25"/>
        <v>Mar'18/19</v>
      </c>
      <c r="I127" s="11">
        <f t="shared" si="26"/>
        <v>101.28208059809333</v>
      </c>
      <c r="J127" s="11" t="str">
        <f t="shared" si="29"/>
        <v>Mar'18/19</v>
      </c>
      <c r="K127" s="41">
        <f>'S4 Arabica'!I127</f>
        <v>54.957041555665</v>
      </c>
      <c r="L127" s="41">
        <f>'S5 Robusta'!I127</f>
        <v>46.325039042428337</v>
      </c>
    </row>
    <row r="128" spans="2:12" x14ac:dyDescent="0.55000000000000004">
      <c r="B128" s="11">
        <f t="shared" si="27"/>
        <v>5</v>
      </c>
      <c r="C128" s="11">
        <f t="shared" si="28"/>
        <v>7</v>
      </c>
      <c r="D128" s="12">
        <f t="shared" si="9"/>
        <v>8577485.8043916672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25"/>
        <v>Apr'18/19</v>
      </c>
      <c r="I128" s="11">
        <f t="shared" si="26"/>
        <v>101.83293364074335</v>
      </c>
      <c r="J128" s="11" t="str">
        <f t="shared" si="29"/>
        <v>Apr'18/19</v>
      </c>
      <c r="K128" s="41">
        <f>'S4 Arabica'!I128</f>
        <v>55.634908946765009</v>
      </c>
      <c r="L128" s="41">
        <f>'S5 Robusta'!I128</f>
        <v>46.198024693978333</v>
      </c>
    </row>
    <row r="129" spans="2:12" x14ac:dyDescent="0.55000000000000004">
      <c r="B129" s="11">
        <f t="shared" si="27"/>
        <v>5</v>
      </c>
      <c r="C129" s="11">
        <f t="shared" si="28"/>
        <v>8</v>
      </c>
      <c r="D129" s="12">
        <f t="shared" si="9"/>
        <v>9360810.2379883341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25"/>
        <v>May'18/19</v>
      </c>
      <c r="I129" s="11">
        <f t="shared" si="26"/>
        <v>103.79208488398167</v>
      </c>
      <c r="J129" s="11" t="str">
        <f t="shared" si="29"/>
        <v>May'18/19</v>
      </c>
      <c r="K129" s="41">
        <f>'S4 Arabica'!I129</f>
        <v>57.547573530556669</v>
      </c>
      <c r="L129" s="41">
        <f>'S5 Robusta'!I129</f>
        <v>46.244511353424997</v>
      </c>
    </row>
    <row r="130" spans="2:12" x14ac:dyDescent="0.55000000000000004">
      <c r="B130" s="11">
        <f t="shared" si="27"/>
        <v>5</v>
      </c>
      <c r="C130" s="11">
        <f t="shared" si="28"/>
        <v>9</v>
      </c>
      <c r="D130" s="12">
        <f t="shared" si="9"/>
        <v>8603102.1486566663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25"/>
        <v>Jun'18/19</v>
      </c>
      <c r="I130" s="11">
        <f t="shared" si="26"/>
        <v>104.36372975794669</v>
      </c>
      <c r="J130" s="11" t="str">
        <f t="shared" si="29"/>
        <v>Jun'18/19</v>
      </c>
      <c r="K130" s="41">
        <f>'S4 Arabica'!I130</f>
        <v>58.192511218506674</v>
      </c>
      <c r="L130" s="41">
        <f>'S5 Robusta'!I130</f>
        <v>46.171218539439998</v>
      </c>
    </row>
    <row r="131" spans="2:12" x14ac:dyDescent="0.55000000000000004">
      <c r="B131" s="11">
        <f t="shared" si="27"/>
        <v>5</v>
      </c>
      <c r="C131" s="11">
        <f t="shared" si="28"/>
        <v>10</v>
      </c>
      <c r="D131" s="12">
        <f t="shared" si="9"/>
        <v>8787174.456956666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25"/>
        <v>Jul'18/19</v>
      </c>
      <c r="I131" s="11">
        <f t="shared" si="26"/>
        <v>105.69114342243834</v>
      </c>
      <c r="J131" s="11" t="str">
        <f t="shared" si="29"/>
        <v>Jul'18/19</v>
      </c>
      <c r="K131" s="41">
        <f>'S4 Arabica'!I131</f>
        <v>59.071066137658335</v>
      </c>
      <c r="L131" s="41">
        <f>'S5 Robusta'!I131</f>
        <v>46.620077284780002</v>
      </c>
    </row>
    <row r="132" spans="2:12" x14ac:dyDescent="0.55000000000000004">
      <c r="B132" s="11">
        <f t="shared" si="27"/>
        <v>5</v>
      </c>
      <c r="C132" s="11">
        <f t="shared" si="28"/>
        <v>11</v>
      </c>
      <c r="D132" s="12">
        <f t="shared" si="9"/>
        <v>8372723.8241266664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25"/>
        <v>Aug'18/19</v>
      </c>
      <c r="I132" s="11">
        <f t="shared" si="26"/>
        <v>105.79303884086833</v>
      </c>
      <c r="J132" s="11" t="str">
        <f t="shared" si="29"/>
        <v>Aug'18/19</v>
      </c>
      <c r="K132" s="41">
        <f>'S4 Arabica'!I132</f>
        <v>59.111375673695001</v>
      </c>
      <c r="L132" s="41">
        <f>'S5 Robusta'!I132</f>
        <v>46.68166316717334</v>
      </c>
    </row>
    <row r="133" spans="2:12" x14ac:dyDescent="0.55000000000000004">
      <c r="B133" s="11">
        <f t="shared" si="27"/>
        <v>5</v>
      </c>
      <c r="C133" s="11">
        <f t="shared" si="28"/>
        <v>12</v>
      </c>
      <c r="D133" s="12">
        <f t="shared" si="9"/>
        <v>7813668.6379633341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25"/>
        <v>Sep'18/19</v>
      </c>
      <c r="I133" s="11">
        <f t="shared" si="26"/>
        <v>105.98315185846334</v>
      </c>
      <c r="J133" s="11" t="str">
        <f t="shared" si="29"/>
        <v>Sep'18/19</v>
      </c>
      <c r="K133" s="41">
        <f>'S4 Arabica'!I133</f>
        <v>59.326847967778335</v>
      </c>
      <c r="L133" s="41">
        <f>'S5 Robusta'!I133</f>
        <v>46.65630389068501</v>
      </c>
    </row>
    <row r="134" spans="2:12" x14ac:dyDescent="0.55000000000000004">
      <c r="B134" s="11">
        <f t="shared" si="27"/>
        <v>6</v>
      </c>
      <c r="C134" s="11">
        <f t="shared" si="28"/>
        <v>1</v>
      </c>
      <c r="D134" s="12">
        <f t="shared" si="9"/>
        <v>8093038.9226400005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25"/>
        <v>Oct'19/20</v>
      </c>
      <c r="I134" s="11">
        <f t="shared" si="26"/>
        <v>105.60845988357001</v>
      </c>
      <c r="J134" s="11" t="str">
        <f t="shared" si="29"/>
        <v>Oct'19/20</v>
      </c>
      <c r="K134" s="41">
        <f>'S4 Arabica'!I134</f>
        <v>59.245112220020005</v>
      </c>
      <c r="L134" s="41">
        <f>'S5 Robusta'!I134</f>
        <v>46.363347663550002</v>
      </c>
    </row>
    <row r="135" spans="2:12" x14ac:dyDescent="0.55000000000000004">
      <c r="B135" s="11">
        <f t="shared" si="27"/>
        <v>6</v>
      </c>
      <c r="C135" s="11">
        <f t="shared" si="28"/>
        <v>2</v>
      </c>
      <c r="D135" s="12">
        <f t="shared" si="9"/>
        <v>8033227.5857683346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25"/>
        <v>Nov'19/20</v>
      </c>
      <c r="I135" s="11">
        <f t="shared" si="26"/>
        <v>104.70184712071332</v>
      </c>
      <c r="J135" s="11" t="str">
        <f t="shared" si="29"/>
        <v>Nov'19/20</v>
      </c>
      <c r="K135" s="41">
        <f>'S4 Arabica'!I135</f>
        <v>58.616468650228327</v>
      </c>
      <c r="L135" s="41">
        <f>'S5 Robusta'!I135</f>
        <v>46.085378470485004</v>
      </c>
    </row>
    <row r="136" spans="2:12" x14ac:dyDescent="0.55000000000000004">
      <c r="B136" s="11">
        <f t="shared" si="27"/>
        <v>6</v>
      </c>
      <c r="C136" s="11">
        <f t="shared" si="28"/>
        <v>3</v>
      </c>
      <c r="D136" s="12">
        <f t="shared" si="9"/>
        <v>9055351.3365000002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25"/>
        <v>Dec'19/20</v>
      </c>
      <c r="I136" s="11">
        <f t="shared" si="26"/>
        <v>104.55924007727002</v>
      </c>
      <c r="J136" s="11" t="str">
        <f t="shared" si="29"/>
        <v>Dec'19/20</v>
      </c>
      <c r="K136" s="41">
        <f>'S4 Arabica'!I136</f>
        <v>57.699715757895</v>
      </c>
      <c r="L136" s="41">
        <f>'S5 Robusta'!I136</f>
        <v>46.859524319374998</v>
      </c>
    </row>
    <row r="137" spans="2:12" x14ac:dyDescent="0.55000000000000004">
      <c r="B137" s="11">
        <f t="shared" si="27"/>
        <v>6</v>
      </c>
      <c r="C137" s="11">
        <f t="shared" si="28"/>
        <v>4</v>
      </c>
      <c r="D137" s="12">
        <f t="shared" si="9"/>
        <v>8962609.9988700002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25"/>
        <v>Jan'19/20</v>
      </c>
      <c r="I137" s="11">
        <f t="shared" si="26"/>
        <v>103.59168719068667</v>
      </c>
      <c r="J137" s="11" t="str">
        <f t="shared" si="29"/>
        <v>Jan'19/20</v>
      </c>
      <c r="K137" s="41">
        <f>'S4 Arabica'!I137</f>
        <v>57.617926944051668</v>
      </c>
      <c r="L137" s="41">
        <f>'S5 Robusta'!I137</f>
        <v>45.973760246634995</v>
      </c>
    </row>
    <row r="138" spans="2:12" x14ac:dyDescent="0.55000000000000004">
      <c r="B138" s="11">
        <f t="shared" si="27"/>
        <v>6</v>
      </c>
      <c r="C138" s="11">
        <f t="shared" si="28"/>
        <v>5</v>
      </c>
      <c r="D138" s="12">
        <f t="shared" si="9"/>
        <v>9284799.7822066676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25"/>
        <v>Feb'19/20</v>
      </c>
      <c r="I138" s="11">
        <f t="shared" si="26"/>
        <v>104.16595728985669</v>
      </c>
      <c r="J138" s="11" t="str">
        <f t="shared" si="29"/>
        <v>Feb'19/20</v>
      </c>
      <c r="K138" s="41">
        <f>'S4 Arabica'!I138</f>
        <v>56.882962994835005</v>
      </c>
      <c r="L138" s="41">
        <f>'S5 Robusta'!I138</f>
        <v>47.282994295021666</v>
      </c>
    </row>
    <row r="139" spans="2:12" x14ac:dyDescent="0.55000000000000004">
      <c r="B139" s="11">
        <f t="shared" si="27"/>
        <v>6</v>
      </c>
      <c r="C139" s="11">
        <f t="shared" si="28"/>
        <v>6</v>
      </c>
      <c r="D139" s="12">
        <f t="shared" ref="D139:D202" si="30">INDEX($C$7:$N$19,MATCH(B139,$A$7:$A$19),MATCH(C139,$C$4:$N$4))</f>
        <v>9890221.6159416661</v>
      </c>
      <c r="E139" s="11" t="str">
        <f t="shared" ref="E139:E202" si="31">_xlfn.XLOOKUP(B139,$A$7:$A$19,$B$7:$B$19)</f>
        <v>19/20</v>
      </c>
      <c r="F139" s="11" t="str">
        <f t="shared" ref="F139:F202" si="32">_xlfn.XLOOKUP(C139,$C$4:$N$4,$C$6:$N$6)</f>
        <v>Mar</v>
      </c>
      <c r="G139" s="11" t="str">
        <f t="shared" ref="G139:G202" si="33">_xlfn.CONCAT(F139,"'",E139)</f>
        <v>Mar'19/20</v>
      </c>
      <c r="H139" s="11" t="str">
        <f t="shared" si="25"/>
        <v>Mar'19/20</v>
      </c>
      <c r="I139" s="11">
        <f t="shared" si="26"/>
        <v>104.83421435201001</v>
      </c>
      <c r="J139" s="11" t="str">
        <f t="shared" si="29"/>
        <v>Mar'19/20</v>
      </c>
      <c r="K139" s="41">
        <f>'S4 Arabica'!I139</f>
        <v>57.08669637691834</v>
      </c>
      <c r="L139" s="41">
        <f>'S5 Robusta'!I139</f>
        <v>47.747517975091668</v>
      </c>
    </row>
    <row r="140" spans="2:12" x14ac:dyDescent="0.55000000000000004">
      <c r="B140" s="11">
        <f t="shared" si="27"/>
        <v>6</v>
      </c>
      <c r="C140" s="11">
        <f t="shared" si="28"/>
        <v>7</v>
      </c>
      <c r="D140" s="12">
        <f t="shared" si="30"/>
        <v>8779765.0363333337</v>
      </c>
      <c r="E140" s="11" t="str">
        <f t="shared" si="31"/>
        <v>19/20</v>
      </c>
      <c r="F140" s="11" t="str">
        <f t="shared" si="32"/>
        <v>Apr</v>
      </c>
      <c r="G140" s="11" t="str">
        <f t="shared" si="33"/>
        <v>Apr'19/20</v>
      </c>
      <c r="H140" s="11" t="str">
        <f t="shared" si="25"/>
        <v>Apr'19/20</v>
      </c>
      <c r="I140" s="11">
        <f t="shared" si="26"/>
        <v>105.03649358395167</v>
      </c>
      <c r="J140" s="11" t="str">
        <f t="shared" si="29"/>
        <v>Apr'19/20</v>
      </c>
      <c r="K140" s="41">
        <f>'S4 Arabica'!I140</f>
        <v>56.893204532918332</v>
      </c>
      <c r="L140" s="41">
        <f>'S5 Robusta'!I140</f>
        <v>48.143289051033335</v>
      </c>
    </row>
    <row r="141" spans="2:12" x14ac:dyDescent="0.55000000000000004">
      <c r="B141" s="11">
        <f t="shared" si="27"/>
        <v>6</v>
      </c>
      <c r="C141" s="11">
        <f t="shared" si="28"/>
        <v>8</v>
      </c>
      <c r="D141" s="12">
        <f t="shared" si="30"/>
        <v>8124567.2800000003</v>
      </c>
      <c r="E141" s="11" t="str">
        <f t="shared" si="31"/>
        <v>19/20</v>
      </c>
      <c r="F141" s="11" t="str">
        <f t="shared" si="32"/>
        <v>May</v>
      </c>
      <c r="G141" s="11" t="str">
        <f t="shared" si="33"/>
        <v>May'19/20</v>
      </c>
      <c r="H141" s="11" t="str">
        <f t="shared" si="25"/>
        <v>May'19/20</v>
      </c>
      <c r="I141" s="11">
        <f t="shared" si="26"/>
        <v>103.80025062596334</v>
      </c>
      <c r="J141" s="11" t="str">
        <f t="shared" si="29"/>
        <v>May'19/20</v>
      </c>
      <c r="K141" s="41">
        <f>'S4 Arabica'!I141</f>
        <v>55.964779307085003</v>
      </c>
      <c r="L141" s="41">
        <f>'S5 Robusta'!I141</f>
        <v>47.835471318878341</v>
      </c>
    </row>
    <row r="142" spans="2:12" x14ac:dyDescent="0.55000000000000004">
      <c r="B142" s="11">
        <f t="shared" si="27"/>
        <v>6</v>
      </c>
      <c r="C142" s="11">
        <f t="shared" si="28"/>
        <v>9</v>
      </c>
      <c r="D142" s="12">
        <f t="shared" si="30"/>
        <v>8049321.3439650005</v>
      </c>
      <c r="E142" s="11" t="str">
        <f t="shared" si="31"/>
        <v>19/20</v>
      </c>
      <c r="F142" s="11" t="str">
        <f t="shared" si="32"/>
        <v>Jun</v>
      </c>
      <c r="G142" s="11" t="str">
        <f t="shared" si="33"/>
        <v>Jun'19/20</v>
      </c>
      <c r="H142" s="11" t="str">
        <f t="shared" si="25"/>
        <v>Jun'19/20</v>
      </c>
      <c r="I142" s="11">
        <f t="shared" si="26"/>
        <v>103.24646982127167</v>
      </c>
      <c r="J142" s="11" t="str">
        <f t="shared" si="29"/>
        <v>Jun'19/20</v>
      </c>
      <c r="K142" s="41">
        <f>'S4 Arabica'!I142</f>
        <v>55.451835944959996</v>
      </c>
      <c r="L142" s="41">
        <f>'S5 Robusta'!I142</f>
        <v>47.794633876311664</v>
      </c>
    </row>
    <row r="143" spans="2:12" x14ac:dyDescent="0.55000000000000004">
      <c r="B143" s="11">
        <f t="shared" si="27"/>
        <v>6</v>
      </c>
      <c r="C143" s="11">
        <f t="shared" si="28"/>
        <v>10</v>
      </c>
      <c r="D143" s="12">
        <f t="shared" si="30"/>
        <v>7921190.3782500001</v>
      </c>
      <c r="E143" s="11" t="str">
        <f t="shared" si="31"/>
        <v>19/20</v>
      </c>
      <c r="F143" s="11" t="str">
        <f t="shared" si="32"/>
        <v>Jul</v>
      </c>
      <c r="G143" s="11" t="str">
        <f t="shared" si="33"/>
        <v>Jul'19/20</v>
      </c>
      <c r="H143" s="11" t="str">
        <f t="shared" si="25"/>
        <v>Jul'19/20</v>
      </c>
      <c r="I143" s="11">
        <f t="shared" si="26"/>
        <v>102.380485742565</v>
      </c>
      <c r="J143" s="11" t="str">
        <f t="shared" si="29"/>
        <v>Jul'19/20</v>
      </c>
      <c r="K143" s="41">
        <f>'S4 Arabica'!I143</f>
        <v>54.92607227347667</v>
      </c>
      <c r="L143" s="41">
        <f>'S5 Robusta'!I143</f>
        <v>47.454413469088337</v>
      </c>
    </row>
    <row r="144" spans="2:12" x14ac:dyDescent="0.55000000000000004">
      <c r="B144" s="11">
        <f t="shared" si="27"/>
        <v>6</v>
      </c>
      <c r="C144" s="11">
        <f t="shared" si="28"/>
        <v>11</v>
      </c>
      <c r="D144" s="12">
        <f t="shared" si="30"/>
        <v>7912156.9367933329</v>
      </c>
      <c r="E144" s="11" t="str">
        <f t="shared" si="31"/>
        <v>19/20</v>
      </c>
      <c r="F144" s="11" t="str">
        <f t="shared" si="32"/>
        <v>Aug</v>
      </c>
      <c r="G144" s="11" t="str">
        <f t="shared" si="33"/>
        <v>Aug'19/20</v>
      </c>
      <c r="H144" s="11" t="str">
        <f t="shared" si="25"/>
        <v>Aug'19/20</v>
      </c>
      <c r="I144" s="11">
        <f t="shared" si="26"/>
        <v>101.91991885523166</v>
      </c>
      <c r="J144" s="11" t="str">
        <f t="shared" si="29"/>
        <v>Aug'19/20</v>
      </c>
      <c r="K144" s="41">
        <f>'S4 Arabica'!I144</f>
        <v>54.754618362201668</v>
      </c>
      <c r="L144" s="41">
        <f>'S5 Robusta'!I144</f>
        <v>47.165300493030003</v>
      </c>
    </row>
    <row r="145" spans="2:12" x14ac:dyDescent="0.55000000000000004">
      <c r="B145" s="11">
        <f t="shared" si="27"/>
        <v>6</v>
      </c>
      <c r="C145" s="11">
        <f t="shared" si="28"/>
        <v>12</v>
      </c>
      <c r="D145" s="12">
        <f t="shared" si="30"/>
        <v>8307500.6855000006</v>
      </c>
      <c r="E145" s="11" t="str">
        <f t="shared" si="31"/>
        <v>19/20</v>
      </c>
      <c r="F145" s="11" t="str">
        <f t="shared" si="32"/>
        <v>Sep</v>
      </c>
      <c r="G145" s="11" t="str">
        <f t="shared" si="33"/>
        <v>Sep'19/20</v>
      </c>
      <c r="H145" s="11" t="str">
        <f t="shared" si="25"/>
        <v>Sep'19/20</v>
      </c>
      <c r="I145" s="11">
        <f t="shared" si="26"/>
        <v>102.41375090276833</v>
      </c>
      <c r="J145" s="11" t="str">
        <f t="shared" si="29"/>
        <v>Sep'19/20</v>
      </c>
      <c r="K145" s="41">
        <f>'S4 Arabica'!I145</f>
        <v>54.829064970701673</v>
      </c>
      <c r="L145" s="41">
        <f>'S5 Robusta'!I145</f>
        <v>47.58468593206667</v>
      </c>
    </row>
    <row r="146" spans="2:12" x14ac:dyDescent="0.55000000000000004">
      <c r="B146" s="11">
        <f t="shared" si="27"/>
        <v>7</v>
      </c>
      <c r="C146" s="11">
        <f t="shared" si="28"/>
        <v>1</v>
      </c>
      <c r="D146" s="12">
        <f t="shared" si="30"/>
        <v>8453082.9510999992</v>
      </c>
      <c r="E146" s="11" t="str">
        <f t="shared" si="31"/>
        <v>20/21</v>
      </c>
      <c r="F146" s="11" t="str">
        <f t="shared" si="32"/>
        <v>Oct</v>
      </c>
      <c r="G146" s="11" t="str">
        <f t="shared" si="33"/>
        <v>Oct'20/21</v>
      </c>
      <c r="H146" s="11" t="str">
        <f t="shared" si="25"/>
        <v>Oct'20/21</v>
      </c>
      <c r="I146" s="11">
        <f t="shared" si="26"/>
        <v>102.77379493122831</v>
      </c>
      <c r="J146" s="11" t="str">
        <f t="shared" si="29"/>
        <v>Oct'20/21</v>
      </c>
      <c r="K146" s="41">
        <f>'S4 Arabica'!I146</f>
        <v>55.224750269168332</v>
      </c>
      <c r="L146" s="41">
        <f>'S5 Robusta'!I146</f>
        <v>47.549044662059998</v>
      </c>
    </row>
    <row r="147" spans="2:12" x14ac:dyDescent="0.55000000000000004">
      <c r="B147" s="11">
        <f t="shared" si="27"/>
        <v>7</v>
      </c>
      <c r="C147" s="11">
        <f t="shared" si="28"/>
        <v>2</v>
      </c>
      <c r="D147" s="12">
        <f t="shared" si="30"/>
        <v>8856397.1608333327</v>
      </c>
      <c r="E147" s="11" t="str">
        <f t="shared" si="31"/>
        <v>20/21</v>
      </c>
      <c r="F147" s="11" t="str">
        <f t="shared" si="32"/>
        <v>Nov</v>
      </c>
      <c r="G147" s="11" t="str">
        <f t="shared" si="33"/>
        <v>Nov'20/21</v>
      </c>
      <c r="H147" s="11" t="str">
        <f t="shared" si="25"/>
        <v>Nov'20/21</v>
      </c>
      <c r="I147" s="11">
        <f t="shared" si="26"/>
        <v>103.59696450629333</v>
      </c>
      <c r="J147" s="11" t="str">
        <f t="shared" si="29"/>
        <v>Nov'20/21</v>
      </c>
      <c r="K147" s="41">
        <f>'S4 Arabica'!I147</f>
        <v>56.510141261168336</v>
      </c>
      <c r="L147" s="41">
        <f>'S5 Robusta'!I147</f>
        <v>47.086823245125011</v>
      </c>
    </row>
    <row r="148" spans="2:12" x14ac:dyDescent="0.55000000000000004">
      <c r="B148" s="11">
        <f t="shared" si="27"/>
        <v>7</v>
      </c>
      <c r="C148" s="11">
        <f t="shared" si="28"/>
        <v>3</v>
      </c>
      <c r="D148" s="12">
        <f t="shared" si="30"/>
        <v>9752196.2788516656</v>
      </c>
      <c r="E148" s="11" t="str">
        <f t="shared" si="31"/>
        <v>20/21</v>
      </c>
      <c r="F148" s="11" t="str">
        <f t="shared" si="32"/>
        <v>Dec</v>
      </c>
      <c r="G148" s="11" t="str">
        <f t="shared" si="33"/>
        <v>Dec'20/21</v>
      </c>
      <c r="H148" s="11" t="str">
        <f t="shared" si="25"/>
        <v>Dec'20/21</v>
      </c>
      <c r="I148" s="11">
        <f t="shared" si="26"/>
        <v>104.29380944864499</v>
      </c>
      <c r="J148" s="11" t="str">
        <f t="shared" si="29"/>
        <v>Dec'20/21</v>
      </c>
      <c r="K148" s="41">
        <f>'S4 Arabica'!I148</f>
        <v>57.475564989876673</v>
      </c>
      <c r="L148" s="41">
        <f>'S5 Robusta'!I148</f>
        <v>46.818244458768341</v>
      </c>
    </row>
    <row r="149" spans="2:12" x14ac:dyDescent="0.55000000000000004">
      <c r="B149" s="11">
        <f t="shared" si="27"/>
        <v>7</v>
      </c>
      <c r="C149" s="11">
        <f t="shared" si="28"/>
        <v>4</v>
      </c>
      <c r="D149" s="12">
        <f t="shared" si="30"/>
        <v>9270005.2579216659</v>
      </c>
      <c r="E149" s="11" t="str">
        <f t="shared" si="31"/>
        <v>20/21</v>
      </c>
      <c r="F149" s="11" t="str">
        <f t="shared" si="32"/>
        <v>Jan</v>
      </c>
      <c r="G149" s="11" t="str">
        <f t="shared" si="33"/>
        <v>Jan'20/21</v>
      </c>
      <c r="H149" s="11" t="str">
        <f t="shared" si="25"/>
        <v>Jan'20/21</v>
      </c>
      <c r="I149" s="11">
        <f t="shared" si="26"/>
        <v>104.60120470769665</v>
      </c>
      <c r="J149" s="11" t="str">
        <f t="shared" si="29"/>
        <v>Jan'20/21</v>
      </c>
      <c r="K149" s="41">
        <f>'S4 Arabica'!I149</f>
        <v>57.365120081941669</v>
      </c>
      <c r="L149" s="41">
        <f>'S5 Robusta'!I149</f>
        <v>47.236084625755005</v>
      </c>
    </row>
    <row r="150" spans="2:12" x14ac:dyDescent="0.55000000000000004">
      <c r="B150" s="11">
        <f t="shared" si="27"/>
        <v>7</v>
      </c>
      <c r="C150" s="11">
        <f t="shared" si="28"/>
        <v>5</v>
      </c>
      <c r="D150" s="12">
        <f t="shared" si="30"/>
        <v>9348363.8540916666</v>
      </c>
      <c r="E150" s="11" t="str">
        <f t="shared" si="31"/>
        <v>20/21</v>
      </c>
      <c r="F150" s="11" t="str">
        <f t="shared" si="32"/>
        <v>Feb</v>
      </c>
      <c r="G150" s="11" t="str">
        <f t="shared" si="33"/>
        <v>Feb'20/21</v>
      </c>
      <c r="H150" s="11" t="str">
        <f t="shared" ref="H150:H213" si="34">G150</f>
        <v>Feb'20/21</v>
      </c>
      <c r="I150" s="11">
        <f t="shared" ref="I150:I213" si="35">SUM(D139:D150)/1000000</f>
        <v>104.66476877958166</v>
      </c>
      <c r="J150" s="11" t="str">
        <f t="shared" si="29"/>
        <v>Feb'20/21</v>
      </c>
      <c r="K150" s="41">
        <f>'S4 Arabica'!I150</f>
        <v>58.258575744391671</v>
      </c>
      <c r="L150" s="41">
        <f>'S5 Robusta'!I150</f>
        <v>46.40619303519</v>
      </c>
    </row>
    <row r="151" spans="2:12" x14ac:dyDescent="0.55000000000000004">
      <c r="B151" s="11">
        <f t="shared" ref="B151:B214" si="36">B139+1</f>
        <v>7</v>
      </c>
      <c r="C151" s="11">
        <f t="shared" ref="C151:C214" si="37">C139</f>
        <v>6</v>
      </c>
      <c r="D151" s="12">
        <f t="shared" si="30"/>
        <v>10306913.36603</v>
      </c>
      <c r="E151" s="11" t="str">
        <f t="shared" si="31"/>
        <v>20/21</v>
      </c>
      <c r="F151" s="11" t="str">
        <f t="shared" si="32"/>
        <v>Mar</v>
      </c>
      <c r="G151" s="11" t="str">
        <f t="shared" si="33"/>
        <v>Mar'20/21</v>
      </c>
      <c r="H151" s="11" t="str">
        <f t="shared" si="34"/>
        <v>Mar'20/21</v>
      </c>
      <c r="I151" s="11">
        <f t="shared" si="35"/>
        <v>105.08146052967003</v>
      </c>
      <c r="J151" s="11" t="str">
        <f t="shared" si="29"/>
        <v>Mar'20/21</v>
      </c>
      <c r="K151" s="41">
        <f>'S4 Arabica'!I151</f>
        <v>58.669867331100001</v>
      </c>
      <c r="L151" s="41">
        <f>'S5 Robusta'!I151</f>
        <v>46.411593198570003</v>
      </c>
    </row>
    <row r="152" spans="2:12" x14ac:dyDescent="0.55000000000000004">
      <c r="B152" s="11">
        <f t="shared" si="36"/>
        <v>7</v>
      </c>
      <c r="C152" s="11">
        <f t="shared" si="37"/>
        <v>7</v>
      </c>
      <c r="D152" s="12">
        <f t="shared" si="30"/>
        <v>9176402.6832616664</v>
      </c>
      <c r="E152" s="11" t="str">
        <f t="shared" si="31"/>
        <v>20/21</v>
      </c>
      <c r="F152" s="11" t="str">
        <f t="shared" si="32"/>
        <v>Apr</v>
      </c>
      <c r="G152" s="11" t="str">
        <f t="shared" si="33"/>
        <v>Apr'20/21</v>
      </c>
      <c r="H152" s="11" t="str">
        <f t="shared" si="34"/>
        <v>Apr'20/21</v>
      </c>
      <c r="I152" s="11">
        <f t="shared" si="35"/>
        <v>105.47809817659834</v>
      </c>
      <c r="J152" s="11" t="str">
        <f t="shared" si="29"/>
        <v>Apr'20/21</v>
      </c>
      <c r="K152" s="41">
        <f>'S4 Arabica'!I152</f>
        <v>59.3366088796</v>
      </c>
      <c r="L152" s="41">
        <f>'S5 Robusta'!I152</f>
        <v>46.141489296998337</v>
      </c>
    </row>
    <row r="153" spans="2:12" x14ac:dyDescent="0.55000000000000004">
      <c r="B153" s="11">
        <f t="shared" si="36"/>
        <v>7</v>
      </c>
      <c r="C153" s="11">
        <f t="shared" si="37"/>
        <v>8</v>
      </c>
      <c r="D153" s="12">
        <f t="shared" si="30"/>
        <v>8016814.123368334</v>
      </c>
      <c r="E153" s="11" t="str">
        <f t="shared" si="31"/>
        <v>20/21</v>
      </c>
      <c r="F153" s="11" t="str">
        <f t="shared" si="32"/>
        <v>May</v>
      </c>
      <c r="G153" s="11" t="str">
        <f t="shared" si="33"/>
        <v>May'20/21</v>
      </c>
      <c r="H153" s="11" t="str">
        <f t="shared" si="34"/>
        <v>May'20/21</v>
      </c>
      <c r="I153" s="11">
        <f t="shared" si="35"/>
        <v>105.37034501996668</v>
      </c>
      <c r="J153" s="11" t="str">
        <f t="shared" si="29"/>
        <v>May'20/21</v>
      </c>
      <c r="K153" s="41">
        <f>'S4 Arabica'!I153</f>
        <v>59.143641327933324</v>
      </c>
      <c r="L153" s="41">
        <f>'S5 Robusta'!I153</f>
        <v>46.22670369203334</v>
      </c>
    </row>
    <row r="154" spans="2:12" x14ac:dyDescent="0.55000000000000004">
      <c r="B154" s="11">
        <f t="shared" si="36"/>
        <v>7</v>
      </c>
      <c r="C154" s="11">
        <f t="shared" si="37"/>
        <v>9</v>
      </c>
      <c r="D154" s="12">
        <f t="shared" si="30"/>
        <v>8798996.884610001</v>
      </c>
      <c r="E154" s="11" t="str">
        <f t="shared" si="31"/>
        <v>20/21</v>
      </c>
      <c r="F154" s="11" t="str">
        <f t="shared" si="32"/>
        <v>Jun</v>
      </c>
      <c r="G154" s="11" t="str">
        <f t="shared" si="33"/>
        <v>Jun'20/21</v>
      </c>
      <c r="H154" s="11" t="str">
        <f t="shared" si="34"/>
        <v>Jun'20/21</v>
      </c>
      <c r="I154" s="11">
        <f t="shared" si="35"/>
        <v>106.12002056061165</v>
      </c>
      <c r="J154" s="11" t="str">
        <f t="shared" si="29"/>
        <v>Jun'20/21</v>
      </c>
      <c r="K154" s="41">
        <f>'S4 Arabica'!I154</f>
        <v>59.571603464008334</v>
      </c>
      <c r="L154" s="41">
        <f>'S5 Robusta'!I154</f>
        <v>46.548417096603345</v>
      </c>
    </row>
    <row r="155" spans="2:12" x14ac:dyDescent="0.55000000000000004">
      <c r="B155" s="11">
        <f t="shared" si="36"/>
        <v>7</v>
      </c>
      <c r="C155" s="11">
        <f t="shared" si="37"/>
        <v>10</v>
      </c>
      <c r="D155" s="12">
        <f t="shared" si="30"/>
        <v>8542223.3836883344</v>
      </c>
      <c r="E155" s="11" t="str">
        <f t="shared" si="31"/>
        <v>20/21</v>
      </c>
      <c r="F155" s="11" t="str">
        <f t="shared" si="32"/>
        <v>Jul</v>
      </c>
      <c r="G155" s="11" t="str">
        <f t="shared" si="33"/>
        <v>Jul'20/21</v>
      </c>
      <c r="H155" s="11" t="str">
        <f t="shared" si="34"/>
        <v>Jul'20/21</v>
      </c>
      <c r="I155" s="11">
        <f t="shared" si="35"/>
        <v>106.74105356605</v>
      </c>
      <c r="J155" s="11" t="str">
        <f t="shared" si="29"/>
        <v>Jul'20/21</v>
      </c>
      <c r="K155" s="41">
        <f>'S4 Arabica'!I155</f>
        <v>59.927282850874995</v>
      </c>
      <c r="L155" s="41">
        <f>'S5 Robusta'!I155</f>
        <v>46.813770715175004</v>
      </c>
    </row>
    <row r="156" spans="2:12" x14ac:dyDescent="0.55000000000000004">
      <c r="B156" s="11">
        <f t="shared" si="36"/>
        <v>7</v>
      </c>
      <c r="C156" s="11">
        <f t="shared" si="37"/>
        <v>11</v>
      </c>
      <c r="D156" s="12">
        <f t="shared" si="30"/>
        <v>8072599.475575001</v>
      </c>
      <c r="E156" s="11" t="str">
        <f t="shared" si="31"/>
        <v>20/21</v>
      </c>
      <c r="F156" s="11" t="str">
        <f t="shared" si="32"/>
        <v>Aug</v>
      </c>
      <c r="G156" s="11" t="str">
        <f t="shared" si="33"/>
        <v>Aug'20/21</v>
      </c>
      <c r="H156" s="11" t="str">
        <f t="shared" si="34"/>
        <v>Aug'20/21</v>
      </c>
      <c r="I156" s="11">
        <f t="shared" si="35"/>
        <v>106.90149610483166</v>
      </c>
      <c r="J156" s="11" t="str">
        <f t="shared" si="29"/>
        <v>Aug'20/21</v>
      </c>
      <c r="K156" s="41">
        <f>'S4 Arabica'!I156</f>
        <v>59.732135501133342</v>
      </c>
      <c r="L156" s="41">
        <f>'S5 Robusta'!I156</f>
        <v>47.16936060369833</v>
      </c>
    </row>
    <row r="157" spans="2:12" x14ac:dyDescent="0.55000000000000004">
      <c r="B157" s="11">
        <f t="shared" si="36"/>
        <v>7</v>
      </c>
      <c r="C157" s="11">
        <f t="shared" si="37"/>
        <v>12</v>
      </c>
      <c r="D157" s="12">
        <f t="shared" si="30"/>
        <v>8075279.7284033336</v>
      </c>
      <c r="E157" s="11" t="str">
        <f t="shared" si="31"/>
        <v>20/21</v>
      </c>
      <c r="F157" s="11" t="str">
        <f t="shared" si="32"/>
        <v>Sep</v>
      </c>
      <c r="G157" s="11" t="str">
        <f t="shared" si="33"/>
        <v>Sep'20/21</v>
      </c>
      <c r="H157" s="11" t="str">
        <f t="shared" si="34"/>
        <v>Sep'20/21</v>
      </c>
      <c r="I157" s="11">
        <f t="shared" si="35"/>
        <v>106.66927514773498</v>
      </c>
      <c r="J157" s="11" t="str">
        <f t="shared" si="29"/>
        <v>Sep'20/21</v>
      </c>
      <c r="K157" s="41">
        <f>'S4 Arabica'!I157</f>
        <v>59.471118417799993</v>
      </c>
      <c r="L157" s="41">
        <f>'S5 Robusta'!I157</f>
        <v>47.198156729934993</v>
      </c>
    </row>
    <row r="158" spans="2:12" x14ac:dyDescent="0.55000000000000004">
      <c r="B158" s="11">
        <f t="shared" si="36"/>
        <v>8</v>
      </c>
      <c r="C158" s="11">
        <f t="shared" si="37"/>
        <v>1</v>
      </c>
      <c r="D158" s="12">
        <f t="shared" si="30"/>
        <v>8118274.1420050003</v>
      </c>
      <c r="E158" s="11" t="str">
        <f t="shared" si="31"/>
        <v>21/22</v>
      </c>
      <c r="F158" s="11" t="str">
        <f t="shared" si="32"/>
        <v>Oct</v>
      </c>
      <c r="G158" s="11" t="str">
        <f t="shared" si="33"/>
        <v>Oct'21/22</v>
      </c>
      <c r="H158" s="11" t="str">
        <f t="shared" si="34"/>
        <v>Oct'21/22</v>
      </c>
      <c r="I158" s="11">
        <f t="shared" si="35"/>
        <v>106.33446633863998</v>
      </c>
      <c r="J158" s="11" t="str">
        <f t="shared" si="29"/>
        <v>Oct'21/22</v>
      </c>
      <c r="K158" s="41">
        <f>'S4 Arabica'!I158</f>
        <v>58.849852949991664</v>
      </c>
      <c r="L158" s="41">
        <f>'S5 Robusta'!I158</f>
        <v>47.484613388648334</v>
      </c>
    </row>
    <row r="159" spans="2:12" x14ac:dyDescent="0.55000000000000004">
      <c r="B159" s="11">
        <f t="shared" si="36"/>
        <v>8</v>
      </c>
      <c r="C159" s="11">
        <f t="shared" si="37"/>
        <v>2</v>
      </c>
      <c r="D159" s="12">
        <f t="shared" si="30"/>
        <v>8170179.8319033328</v>
      </c>
      <c r="E159" s="11" t="str">
        <f t="shared" si="31"/>
        <v>21/22</v>
      </c>
      <c r="F159" s="11" t="str">
        <f t="shared" si="32"/>
        <v>Nov</v>
      </c>
      <c r="G159" s="11" t="str">
        <f t="shared" si="33"/>
        <v>Nov'21/22</v>
      </c>
      <c r="H159" s="11" t="str">
        <f t="shared" si="34"/>
        <v>Nov'21/22</v>
      </c>
      <c r="I159" s="11">
        <f t="shared" si="35"/>
        <v>105.64824900971</v>
      </c>
      <c r="J159" s="11" t="str">
        <f t="shared" si="29"/>
        <v>Nov'21/22</v>
      </c>
      <c r="K159" s="41">
        <f>'S4 Arabica'!I159</f>
        <v>57.469741777716663</v>
      </c>
      <c r="L159" s="41">
        <f>'S5 Robusta'!I159</f>
        <v>48.178507231993329</v>
      </c>
    </row>
    <row r="160" spans="2:12" x14ac:dyDescent="0.55000000000000004">
      <c r="B160" s="11">
        <f t="shared" si="36"/>
        <v>8</v>
      </c>
      <c r="C160" s="11">
        <f t="shared" si="37"/>
        <v>3</v>
      </c>
      <c r="D160" s="12">
        <f t="shared" si="30"/>
        <v>10029930.982786667</v>
      </c>
      <c r="E160" s="11" t="str">
        <f t="shared" si="31"/>
        <v>21/22</v>
      </c>
      <c r="F160" s="11" t="str">
        <f t="shared" si="32"/>
        <v>Dec</v>
      </c>
      <c r="G160" s="11" t="str">
        <f t="shared" si="33"/>
        <v>Dec'21/22</v>
      </c>
      <c r="H160" s="11" t="str">
        <f t="shared" si="34"/>
        <v>Dec'21/22</v>
      </c>
      <c r="I160" s="11">
        <f t="shared" si="35"/>
        <v>105.925983713645</v>
      </c>
      <c r="J160" s="11" t="str">
        <f t="shared" si="29"/>
        <v>Dec'21/22</v>
      </c>
      <c r="K160" s="41">
        <f>'S4 Arabica'!I160</f>
        <v>57.200836251424995</v>
      </c>
      <c r="L160" s="41">
        <f>'S5 Robusta'!I160</f>
        <v>48.725147462220001</v>
      </c>
    </row>
    <row r="161" spans="2:12" x14ac:dyDescent="0.55000000000000004">
      <c r="B161" s="11">
        <f t="shared" si="36"/>
        <v>8</v>
      </c>
      <c r="C161" s="11">
        <f t="shared" si="37"/>
        <v>4</v>
      </c>
      <c r="D161" s="12">
        <f t="shared" si="30"/>
        <v>10434924.200631667</v>
      </c>
      <c r="E161" s="11" t="str">
        <f t="shared" si="31"/>
        <v>21/22</v>
      </c>
      <c r="F161" s="11" t="str">
        <f t="shared" si="32"/>
        <v>Jan</v>
      </c>
      <c r="G161" s="11" t="str">
        <f t="shared" si="33"/>
        <v>Jan'21/22</v>
      </c>
      <c r="H161" s="11" t="str">
        <f t="shared" si="34"/>
        <v>Jan'21/22</v>
      </c>
      <c r="I161" s="11">
        <f t="shared" si="35"/>
        <v>107.090902656355</v>
      </c>
      <c r="J161" s="11" t="str">
        <f t="shared" si="29"/>
        <v>Jan'21/22</v>
      </c>
      <c r="K161" s="41">
        <f>'S4 Arabica'!I161</f>
        <v>57.105346018516677</v>
      </c>
      <c r="L161" s="41">
        <f>'S5 Robusta'!I161</f>
        <v>49.985556637838336</v>
      </c>
    </row>
    <row r="162" spans="2:12" x14ac:dyDescent="0.55000000000000004">
      <c r="B162" s="11">
        <f t="shared" si="36"/>
        <v>8</v>
      </c>
      <c r="C162" s="11">
        <f t="shared" si="37"/>
        <v>5</v>
      </c>
      <c r="D162" s="12">
        <f t="shared" si="30"/>
        <v>8851085.2033466659</v>
      </c>
      <c r="E162" s="11" t="str">
        <f t="shared" si="31"/>
        <v>21/22</v>
      </c>
      <c r="F162" s="11" t="str">
        <f t="shared" si="32"/>
        <v>Feb</v>
      </c>
      <c r="G162" s="11" t="str">
        <f t="shared" si="33"/>
        <v>Feb'21/22</v>
      </c>
      <c r="H162" s="11" t="str">
        <f t="shared" si="34"/>
        <v>Feb'21/22</v>
      </c>
      <c r="I162" s="11">
        <f t="shared" si="35"/>
        <v>106.59362400561001</v>
      </c>
      <c r="J162" s="11" t="str">
        <f t="shared" si="29"/>
        <v>Feb'21/22</v>
      </c>
      <c r="K162" s="41">
        <f>'S4 Arabica'!I162</f>
        <v>56.503479199746671</v>
      </c>
      <c r="L162" s="41">
        <f>'S5 Robusta'!I162</f>
        <v>50.090144805863339</v>
      </c>
    </row>
    <row r="163" spans="2:12" x14ac:dyDescent="0.55000000000000004">
      <c r="B163" s="11">
        <f t="shared" si="36"/>
        <v>8</v>
      </c>
      <c r="C163" s="11">
        <f t="shared" si="37"/>
        <v>6</v>
      </c>
      <c r="D163" s="12">
        <f t="shared" si="30"/>
        <v>10788065.706058335</v>
      </c>
      <c r="E163" s="11" t="str">
        <f t="shared" si="31"/>
        <v>21/22</v>
      </c>
      <c r="F163" s="11" t="str">
        <f t="shared" si="32"/>
        <v>Mar</v>
      </c>
      <c r="G163" s="11" t="str">
        <f t="shared" si="33"/>
        <v>Mar'21/22</v>
      </c>
      <c r="H163" s="11" t="str">
        <f t="shared" si="34"/>
        <v>Mar'21/22</v>
      </c>
      <c r="I163" s="11">
        <f t="shared" si="35"/>
        <v>107.07477634563834</v>
      </c>
      <c r="J163" s="11" t="str">
        <f t="shared" si="29"/>
        <v>Mar'21/22</v>
      </c>
      <c r="K163" s="41">
        <f>'S4 Arabica'!I163</f>
        <v>56.674208183148338</v>
      </c>
      <c r="L163" s="41">
        <f>'S5 Robusta'!I163</f>
        <v>50.400568162490003</v>
      </c>
    </row>
    <row r="164" spans="2:12" x14ac:dyDescent="0.55000000000000004">
      <c r="B164" s="11">
        <f t="shared" si="36"/>
        <v>8</v>
      </c>
      <c r="C164" s="11">
        <f t="shared" si="37"/>
        <v>7</v>
      </c>
      <c r="D164" s="12">
        <f t="shared" si="30"/>
        <v>8566342.746821668</v>
      </c>
      <c r="E164" s="11" t="str">
        <f t="shared" si="31"/>
        <v>21/22</v>
      </c>
      <c r="F164" s="11" t="str">
        <f t="shared" si="32"/>
        <v>Apr</v>
      </c>
      <c r="G164" s="11" t="str">
        <f t="shared" si="33"/>
        <v>Apr'21/22</v>
      </c>
      <c r="H164" s="11" t="str">
        <f t="shared" si="34"/>
        <v>Apr'21/22</v>
      </c>
      <c r="I164" s="11">
        <f t="shared" si="35"/>
        <v>106.46471640919835</v>
      </c>
      <c r="J164" s="11" t="str">
        <f t="shared" si="29"/>
        <v>Apr'21/22</v>
      </c>
      <c r="K164" s="41">
        <f>'S4 Arabica'!I164</f>
        <v>55.827922066998333</v>
      </c>
      <c r="L164" s="41">
        <f>'S5 Robusta'!I164</f>
        <v>50.636794342200012</v>
      </c>
    </row>
    <row r="165" spans="2:12" x14ac:dyDescent="0.55000000000000004">
      <c r="B165" s="11">
        <f t="shared" si="36"/>
        <v>8</v>
      </c>
      <c r="C165" s="11">
        <f t="shared" si="37"/>
        <v>8</v>
      </c>
      <c r="D165" s="12">
        <f t="shared" si="30"/>
        <v>8456691.8982366659</v>
      </c>
      <c r="E165" s="11" t="str">
        <f t="shared" si="31"/>
        <v>21/22</v>
      </c>
      <c r="F165" s="11" t="str">
        <f t="shared" si="32"/>
        <v>May</v>
      </c>
      <c r="G165" s="11" t="str">
        <f t="shared" si="33"/>
        <v>May'21/22</v>
      </c>
      <c r="H165" s="11" t="str">
        <f t="shared" si="34"/>
        <v>May'21/22</v>
      </c>
      <c r="I165" s="11">
        <f t="shared" si="35"/>
        <v>106.90459418406667</v>
      </c>
      <c r="J165" s="11" t="str">
        <f t="shared" si="29"/>
        <v>May'21/22</v>
      </c>
      <c r="K165" s="41">
        <f>'S4 Arabica'!I165</f>
        <v>55.940727319548337</v>
      </c>
      <c r="L165" s="41">
        <f>'S5 Robusta'!I165</f>
        <v>50.963866864518337</v>
      </c>
    </row>
    <row r="166" spans="2:12" x14ac:dyDescent="0.55000000000000004">
      <c r="B166" s="11">
        <f t="shared" si="36"/>
        <v>8</v>
      </c>
      <c r="C166" s="11">
        <f t="shared" si="37"/>
        <v>9</v>
      </c>
      <c r="D166" s="12">
        <f t="shared" si="30"/>
        <v>8688960.1369550005</v>
      </c>
      <c r="E166" s="11" t="str">
        <f t="shared" si="31"/>
        <v>21/22</v>
      </c>
      <c r="F166" s="11" t="str">
        <f t="shared" si="32"/>
        <v>Jun</v>
      </c>
      <c r="G166" s="11" t="str">
        <f t="shared" si="33"/>
        <v>Jun'21/22</v>
      </c>
      <c r="H166" s="11" t="str">
        <f t="shared" si="34"/>
        <v>Jun'21/22</v>
      </c>
      <c r="I166" s="11">
        <f t="shared" si="35"/>
        <v>106.79455743641168</v>
      </c>
      <c r="J166" s="11" t="str">
        <f t="shared" si="29"/>
        <v>Jun'21/22</v>
      </c>
      <c r="K166" s="41">
        <f>'S4 Arabica'!I166</f>
        <v>55.959276306806672</v>
      </c>
      <c r="L166" s="41">
        <f>'S5 Robusta'!I166</f>
        <v>50.835281129605008</v>
      </c>
    </row>
    <row r="167" spans="2:12" x14ac:dyDescent="0.55000000000000004">
      <c r="B167" s="11">
        <f t="shared" si="36"/>
        <v>8</v>
      </c>
      <c r="C167" s="11">
        <f t="shared" si="37"/>
        <v>10</v>
      </c>
      <c r="D167" s="12">
        <f t="shared" si="30"/>
        <v>7737422.7524500005</v>
      </c>
      <c r="E167" s="11" t="str">
        <f t="shared" si="31"/>
        <v>21/22</v>
      </c>
      <c r="F167" s="11" t="str">
        <f t="shared" si="32"/>
        <v>Jul</v>
      </c>
      <c r="G167" s="11" t="str">
        <f t="shared" si="33"/>
        <v>Jul'21/22</v>
      </c>
      <c r="H167" s="11" t="str">
        <f t="shared" si="34"/>
        <v>Jul'21/22</v>
      </c>
      <c r="I167" s="11">
        <f t="shared" si="35"/>
        <v>105.98975680517336</v>
      </c>
      <c r="J167" s="11" t="str">
        <f t="shared" si="29"/>
        <v>Jul'21/22</v>
      </c>
      <c r="K167" s="41">
        <f>'S4 Arabica'!I167</f>
        <v>55.433399876748339</v>
      </c>
      <c r="L167" s="41">
        <f>'S5 Robusta'!I167</f>
        <v>50.556356928425004</v>
      </c>
    </row>
    <row r="168" spans="2:12" x14ac:dyDescent="0.55000000000000004">
      <c r="B168" s="11">
        <f t="shared" si="36"/>
        <v>8</v>
      </c>
      <c r="C168" s="11">
        <f t="shared" si="37"/>
        <v>11</v>
      </c>
      <c r="D168" s="12">
        <f t="shared" si="30"/>
        <v>7851319.8305600006</v>
      </c>
      <c r="E168" s="11" t="str">
        <f t="shared" si="31"/>
        <v>21/22</v>
      </c>
      <c r="F168" s="11" t="str">
        <f t="shared" si="32"/>
        <v>Aug</v>
      </c>
      <c r="G168" s="11" t="str">
        <f t="shared" si="33"/>
        <v>Aug'21/22</v>
      </c>
      <c r="H168" s="11" t="str">
        <f t="shared" si="34"/>
        <v>Aug'21/22</v>
      </c>
      <c r="I168" s="11">
        <f t="shared" si="35"/>
        <v>105.76847716015835</v>
      </c>
      <c r="J168" s="11" t="str">
        <f t="shared" si="29"/>
        <v>Aug'21/22</v>
      </c>
      <c r="K168" s="41">
        <f>'S4 Arabica'!I168</f>
        <v>55.208119453081665</v>
      </c>
      <c r="L168" s="41">
        <f>'S5 Robusta'!I168</f>
        <v>50.560357707076669</v>
      </c>
    </row>
    <row r="169" spans="2:12" x14ac:dyDescent="0.55000000000000004">
      <c r="B169" s="11">
        <f t="shared" si="36"/>
        <v>8</v>
      </c>
      <c r="C169" s="11">
        <f t="shared" si="37"/>
        <v>12</v>
      </c>
      <c r="D169" s="12">
        <f t="shared" si="30"/>
        <v>7831576.58488</v>
      </c>
      <c r="E169" s="11" t="str">
        <f t="shared" si="31"/>
        <v>21/22</v>
      </c>
      <c r="F169" s="11" t="str">
        <f t="shared" si="32"/>
        <v>Sep</v>
      </c>
      <c r="G169" s="11" t="str">
        <f t="shared" si="33"/>
        <v>Sep'21/22</v>
      </c>
      <c r="H169" s="11" t="str">
        <f t="shared" si="34"/>
        <v>Sep'21/22</v>
      </c>
      <c r="I169" s="11">
        <f t="shared" si="35"/>
        <v>105.52477401663502</v>
      </c>
      <c r="J169" s="11" t="str">
        <f t="shared" si="29"/>
        <v>Sep'21/22</v>
      </c>
      <c r="K169" s="41">
        <f>'S4 Arabica'!I169</f>
        <v>55.280244815748325</v>
      </c>
      <c r="L169" s="41">
        <f>'S5 Robusta'!I169</f>
        <v>50.244529200886667</v>
      </c>
    </row>
    <row r="170" spans="2:12" x14ac:dyDescent="0.55000000000000004">
      <c r="B170" s="11">
        <f t="shared" si="36"/>
        <v>9</v>
      </c>
      <c r="C170" s="11">
        <f t="shared" si="37"/>
        <v>1</v>
      </c>
      <c r="D170" s="12">
        <f t="shared" si="30"/>
        <v>7561106.6728833336</v>
      </c>
      <c r="E170" s="11" t="str">
        <f t="shared" si="31"/>
        <v>22/23</v>
      </c>
      <c r="F170" s="11" t="str">
        <f t="shared" si="32"/>
        <v>Oct</v>
      </c>
      <c r="G170" s="11" t="str">
        <f t="shared" si="33"/>
        <v>Oct'22/23</v>
      </c>
      <c r="H170" s="11" t="str">
        <f t="shared" si="34"/>
        <v>Oct'22/23</v>
      </c>
      <c r="I170" s="11">
        <f t="shared" si="35"/>
        <v>104.96760654751333</v>
      </c>
      <c r="J170" s="11" t="str">
        <f t="shared" si="29"/>
        <v>Oct'22/23</v>
      </c>
      <c r="K170" s="41">
        <f>'S4 Arabica'!I170</f>
        <v>55.374984808389996</v>
      </c>
      <c r="L170" s="41">
        <f>'S5 Robusta'!I170</f>
        <v>49.592621739123338</v>
      </c>
    </row>
    <row r="171" spans="2:12" x14ac:dyDescent="0.55000000000000004">
      <c r="B171" s="11">
        <f t="shared" si="36"/>
        <v>9</v>
      </c>
      <c r="C171" s="11">
        <f t="shared" si="37"/>
        <v>2</v>
      </c>
      <c r="D171" s="12">
        <f t="shared" si="30"/>
        <v>8502755.3513683341</v>
      </c>
      <c r="E171" s="11" t="str">
        <f t="shared" si="31"/>
        <v>22/23</v>
      </c>
      <c r="F171" s="11" t="str">
        <f t="shared" si="32"/>
        <v>Nov</v>
      </c>
      <c r="G171" s="11" t="str">
        <f t="shared" si="33"/>
        <v>Nov'22/23</v>
      </c>
      <c r="H171" s="11" t="str">
        <f t="shared" si="34"/>
        <v>Nov'22/23</v>
      </c>
      <c r="I171" s="11">
        <f t="shared" si="35"/>
        <v>105.30018206697832</v>
      </c>
      <c r="J171" s="11" t="str">
        <f t="shared" si="29"/>
        <v>Nov'22/23</v>
      </c>
      <c r="K171" s="41">
        <f>'S4 Arabica'!I171</f>
        <v>55.670752053831649</v>
      </c>
      <c r="L171" s="41">
        <f>'S5 Robusta'!I171</f>
        <v>49.629430013146674</v>
      </c>
    </row>
    <row r="172" spans="2:12" x14ac:dyDescent="0.55000000000000004">
      <c r="B172" s="11">
        <f t="shared" si="36"/>
        <v>9</v>
      </c>
      <c r="C172" s="11">
        <f t="shared" si="37"/>
        <v>3</v>
      </c>
      <c r="D172" s="12">
        <f t="shared" si="30"/>
        <v>8925436.7576199993</v>
      </c>
      <c r="E172" s="11" t="str">
        <f t="shared" si="31"/>
        <v>22/23</v>
      </c>
      <c r="F172" s="11" t="str">
        <f t="shared" si="32"/>
        <v>Dec</v>
      </c>
      <c r="G172" s="11" t="str">
        <f t="shared" si="33"/>
        <v>Dec'22/23</v>
      </c>
      <c r="H172" s="11" t="str">
        <f t="shared" si="34"/>
        <v>Dec'22/23</v>
      </c>
      <c r="I172" s="11">
        <f t="shared" si="35"/>
        <v>104.19568784181166</v>
      </c>
      <c r="J172" s="11" t="str">
        <f t="shared" si="29"/>
        <v>Dec'22/23</v>
      </c>
      <c r="K172" s="41">
        <f>'S4 Arabica'!I172</f>
        <v>54.819738385373334</v>
      </c>
      <c r="L172" s="41">
        <f>'S5 Robusta'!I172</f>
        <v>49.375949456438342</v>
      </c>
    </row>
    <row r="173" spans="2:12" x14ac:dyDescent="0.55000000000000004">
      <c r="B173" s="11">
        <f t="shared" si="36"/>
        <v>9</v>
      </c>
      <c r="C173" s="11">
        <f t="shared" si="37"/>
        <v>4</v>
      </c>
      <c r="D173" s="12">
        <f t="shared" si="30"/>
        <v>8094056.4425105974</v>
      </c>
      <c r="E173" s="11" t="str">
        <f t="shared" si="31"/>
        <v>22/23</v>
      </c>
      <c r="F173" s="11" t="str">
        <f t="shared" si="32"/>
        <v>Jan</v>
      </c>
      <c r="G173" s="11" t="str">
        <f t="shared" si="33"/>
        <v>Jan'22/23</v>
      </c>
      <c r="H173" s="11" t="str">
        <f t="shared" si="34"/>
        <v>Jan'22/23</v>
      </c>
      <c r="I173" s="11">
        <f t="shared" si="35"/>
        <v>101.85482008369061</v>
      </c>
      <c r="J173" s="11" t="str">
        <f t="shared" si="29"/>
        <v>Jan'22/23</v>
      </c>
      <c r="K173" s="41">
        <f>'S4 Arabica'!I173</f>
        <v>53.978098934569999</v>
      </c>
      <c r="L173" s="41">
        <f>'S5 Robusta'!I173</f>
        <v>47.876721149120606</v>
      </c>
    </row>
    <row r="174" spans="2:12" x14ac:dyDescent="0.55000000000000004">
      <c r="B174" s="11">
        <f t="shared" si="36"/>
        <v>9</v>
      </c>
      <c r="C174" s="11">
        <f t="shared" si="37"/>
        <v>5</v>
      </c>
      <c r="D174" s="12">
        <f t="shared" si="30"/>
        <v>8053002.4846611535</v>
      </c>
      <c r="E174" s="11" t="str">
        <f t="shared" si="31"/>
        <v>22/23</v>
      </c>
      <c r="F174" s="11" t="str">
        <f t="shared" si="32"/>
        <v>Feb</v>
      </c>
      <c r="G174" s="11" t="str">
        <f t="shared" si="33"/>
        <v>Feb'22/23</v>
      </c>
      <c r="H174" s="11" t="str">
        <f t="shared" si="34"/>
        <v>Feb'22/23</v>
      </c>
      <c r="I174" s="11">
        <f t="shared" si="35"/>
        <v>101.05673736500509</v>
      </c>
      <c r="J174" s="11" t="str">
        <f t="shared" si="29"/>
        <v>Feb'22/23</v>
      </c>
      <c r="K174" s="41">
        <f>'S4 Arabica'!I174</f>
        <v>52.863807223781663</v>
      </c>
      <c r="L174" s="41">
        <f>'S5 Robusta'!I174</f>
        <v>48.192930141223414</v>
      </c>
    </row>
    <row r="175" spans="2:12" x14ac:dyDescent="0.55000000000000004">
      <c r="B175" s="11">
        <f t="shared" si="36"/>
        <v>9</v>
      </c>
      <c r="C175" s="11">
        <f t="shared" si="37"/>
        <v>6</v>
      </c>
      <c r="D175" s="12">
        <f t="shared" si="30"/>
        <v>9588221.4442127794</v>
      </c>
      <c r="E175" s="11" t="str">
        <f t="shared" si="31"/>
        <v>22/23</v>
      </c>
      <c r="F175" s="11" t="str">
        <f t="shared" si="32"/>
        <v>Mar</v>
      </c>
      <c r="G175" s="11" t="str">
        <f t="shared" si="33"/>
        <v>Mar'22/23</v>
      </c>
      <c r="H175" s="11" t="str">
        <f t="shared" si="34"/>
        <v>Mar'22/23</v>
      </c>
      <c r="I175" s="11">
        <f t="shared" si="35"/>
        <v>99.85689310315955</v>
      </c>
      <c r="J175" s="11" t="str">
        <f t="shared" ref="J175:J229" si="38">H175</f>
        <v>Mar'22/23</v>
      </c>
      <c r="K175" s="41">
        <f>'S4 Arabica'!I175</f>
        <v>51.801873184613328</v>
      </c>
      <c r="L175" s="41">
        <f>'S5 Robusta'!I175</f>
        <v>48.055019918546193</v>
      </c>
    </row>
    <row r="176" spans="2:12" x14ac:dyDescent="0.55000000000000004">
      <c r="B176" s="11">
        <f t="shared" si="36"/>
        <v>9</v>
      </c>
      <c r="C176" s="11">
        <f t="shared" si="37"/>
        <v>7</v>
      </c>
      <c r="D176" s="12">
        <f t="shared" si="30"/>
        <v>8172030.9476461112</v>
      </c>
      <c r="E176" s="11" t="str">
        <f t="shared" si="31"/>
        <v>22/23</v>
      </c>
      <c r="F176" s="11" t="str">
        <f t="shared" si="32"/>
        <v>Apr</v>
      </c>
      <c r="G176" s="11" t="str">
        <f t="shared" si="33"/>
        <v>Apr'22/23</v>
      </c>
      <c r="H176" s="11" t="str">
        <f t="shared" si="34"/>
        <v>Apr'22/23</v>
      </c>
      <c r="I176" s="11">
        <f t="shared" si="35"/>
        <v>99.462581303983967</v>
      </c>
      <c r="J176" s="11" t="str">
        <f t="shared" si="38"/>
        <v>Apr'22/23</v>
      </c>
      <c r="K176" s="41">
        <f>'S4 Arabica'!I176</f>
        <v>51.393962997929989</v>
      </c>
      <c r="L176" s="41">
        <f>'S5 Robusta'!I176</f>
        <v>48.068618306053985</v>
      </c>
    </row>
    <row r="177" spans="2:12" x14ac:dyDescent="0.55000000000000004">
      <c r="B177" s="11">
        <f t="shared" si="36"/>
        <v>9</v>
      </c>
      <c r="C177" s="11">
        <f t="shared" si="37"/>
        <v>8</v>
      </c>
      <c r="D177" s="12">
        <f t="shared" si="30"/>
        <v>8173643.3860511947</v>
      </c>
      <c r="E177" s="11" t="str">
        <f t="shared" si="31"/>
        <v>22/23</v>
      </c>
      <c r="F177" s="11" t="str">
        <f t="shared" si="32"/>
        <v>May</v>
      </c>
      <c r="G177" s="11" t="str">
        <f t="shared" si="33"/>
        <v>May'22/23</v>
      </c>
      <c r="H177" s="11" t="str">
        <f t="shared" si="34"/>
        <v>May'22/23</v>
      </c>
      <c r="I177" s="11">
        <f t="shared" si="35"/>
        <v>99.179532791798508</v>
      </c>
      <c r="J177" s="11" t="str">
        <f t="shared" si="38"/>
        <v>May'22/23</v>
      </c>
      <c r="K177" s="41">
        <f>'S4 Arabica'!I177</f>
        <v>50.991130110879993</v>
      </c>
      <c r="L177" s="41">
        <f>'S5 Robusta'!I177</f>
        <v>48.1884026809185</v>
      </c>
    </row>
    <row r="178" spans="2:12" x14ac:dyDescent="0.55000000000000004">
      <c r="B178" s="11">
        <f t="shared" si="36"/>
        <v>9</v>
      </c>
      <c r="C178" s="11">
        <f t="shared" si="37"/>
        <v>9</v>
      </c>
      <c r="D178" s="12">
        <f t="shared" si="30"/>
        <v>8117456.0727294441</v>
      </c>
      <c r="E178" s="11" t="str">
        <f t="shared" si="31"/>
        <v>22/23</v>
      </c>
      <c r="F178" s="11" t="str">
        <f t="shared" si="32"/>
        <v>Jun</v>
      </c>
      <c r="G178" s="11" t="str">
        <f t="shared" si="33"/>
        <v>Jun'22/23</v>
      </c>
      <c r="H178" s="11" t="str">
        <f t="shared" si="34"/>
        <v>Jun'22/23</v>
      </c>
      <c r="I178" s="11">
        <f t="shared" si="35"/>
        <v>98.608028727572929</v>
      </c>
      <c r="J178" s="11" t="str">
        <f t="shared" si="38"/>
        <v>Jun'22/23</v>
      </c>
      <c r="K178" s="41">
        <f>'S4 Arabica'!I178</f>
        <v>50.182851500421663</v>
      </c>
      <c r="L178" s="41">
        <f>'S5 Robusta'!I178</f>
        <v>48.425177227151273</v>
      </c>
    </row>
    <row r="179" spans="2:12" x14ac:dyDescent="0.55000000000000004">
      <c r="B179" s="11">
        <f t="shared" si="36"/>
        <v>9</v>
      </c>
      <c r="C179" s="11">
        <f t="shared" si="37"/>
        <v>10</v>
      </c>
      <c r="D179" s="12">
        <f t="shared" si="30"/>
        <v>8075515.1703317463</v>
      </c>
      <c r="E179" s="11" t="str">
        <f t="shared" si="31"/>
        <v>22/23</v>
      </c>
      <c r="F179" s="11" t="str">
        <f t="shared" si="32"/>
        <v>Jul</v>
      </c>
      <c r="G179" s="11" t="str">
        <f t="shared" si="33"/>
        <v>Jul'22/23</v>
      </c>
      <c r="H179" s="11" t="str">
        <f t="shared" si="34"/>
        <v>Jul'22/23</v>
      </c>
      <c r="I179" s="11">
        <f t="shared" si="35"/>
        <v>98.946121145454697</v>
      </c>
      <c r="J179" s="11" t="str">
        <f t="shared" si="38"/>
        <v>Jul'22/23</v>
      </c>
      <c r="K179" s="41">
        <f>'S4 Arabica'!I179</f>
        <v>50.152588670638337</v>
      </c>
      <c r="L179" s="41">
        <f>'S5 Robusta'!I179</f>
        <v>48.793532474816352</v>
      </c>
    </row>
    <row r="180" spans="2:12" x14ac:dyDescent="0.55000000000000004">
      <c r="B180" s="11">
        <f t="shared" si="36"/>
        <v>9</v>
      </c>
      <c r="C180" s="11">
        <f t="shared" si="37"/>
        <v>11</v>
      </c>
      <c r="D180" s="12">
        <f t="shared" si="30"/>
        <v>8179577.1481411112</v>
      </c>
      <c r="E180" s="11" t="str">
        <f t="shared" si="31"/>
        <v>22/23</v>
      </c>
      <c r="F180" s="11" t="str">
        <f t="shared" si="32"/>
        <v>Aug</v>
      </c>
      <c r="G180" s="11" t="str">
        <f t="shared" si="33"/>
        <v>Aug'22/23</v>
      </c>
      <c r="H180" s="11" t="str">
        <f t="shared" si="34"/>
        <v>Aug'22/23</v>
      </c>
      <c r="I180" s="11">
        <f t="shared" si="35"/>
        <v>99.274378463035802</v>
      </c>
      <c r="J180" s="11" t="str">
        <f t="shared" si="38"/>
        <v>Aug'22/23</v>
      </c>
      <c r="K180" s="41">
        <f>'S4 Arabica'!I180</f>
        <v>50.494233280388336</v>
      </c>
      <c r="L180" s="41">
        <f>'S5 Robusta'!I180</f>
        <v>48.780145182647459</v>
      </c>
    </row>
    <row r="181" spans="2:12" x14ac:dyDescent="0.55000000000000004">
      <c r="B181" s="11">
        <f t="shared" si="36"/>
        <v>9</v>
      </c>
      <c r="C181" s="11">
        <f t="shared" si="37"/>
        <v>12</v>
      </c>
      <c r="D181" s="12">
        <f t="shared" si="30"/>
        <v>6682272.4152294453</v>
      </c>
      <c r="E181" s="11" t="str">
        <f t="shared" si="31"/>
        <v>22/23</v>
      </c>
      <c r="F181" s="11" t="str">
        <f t="shared" si="32"/>
        <v>Sep</v>
      </c>
      <c r="G181" s="11" t="str">
        <f t="shared" si="33"/>
        <v>Sep'22/23</v>
      </c>
      <c r="H181" s="11" t="str">
        <f t="shared" si="34"/>
        <v>Sep'22/23</v>
      </c>
      <c r="I181" s="11">
        <f t="shared" si="35"/>
        <v>98.125074293385254</v>
      </c>
      <c r="J181" s="11" t="str">
        <f t="shared" si="38"/>
        <v>Sep'22/23</v>
      </c>
      <c r="K181" s="41">
        <f>'S4 Arabica'!I181</f>
        <v>49.944699453605004</v>
      </c>
      <c r="L181" s="41">
        <f>'S5 Robusta'!I181</f>
        <v>48.180374839780242</v>
      </c>
    </row>
    <row r="182" spans="2:12" x14ac:dyDescent="0.55000000000000004">
      <c r="B182" s="11">
        <f t="shared" si="36"/>
        <v>10</v>
      </c>
      <c r="C182" s="11">
        <f t="shared" si="37"/>
        <v>1</v>
      </c>
      <c r="D182" s="12">
        <f t="shared" si="30"/>
        <v>7436082.1541283336</v>
      </c>
      <c r="E182" s="11" t="str">
        <f t="shared" si="31"/>
        <v>23/24</v>
      </c>
      <c r="F182" s="11" t="str">
        <f t="shared" si="32"/>
        <v>Oct</v>
      </c>
      <c r="G182" s="11" t="str">
        <f t="shared" si="33"/>
        <v>Oct'23/24</v>
      </c>
      <c r="H182" s="11" t="str">
        <f t="shared" si="34"/>
        <v>Oct'23/24</v>
      </c>
      <c r="I182" s="11">
        <f t="shared" si="35"/>
        <v>98.000049774630227</v>
      </c>
      <c r="J182" s="11" t="str">
        <f t="shared" si="38"/>
        <v>Oct'23/24</v>
      </c>
      <c r="K182" s="41">
        <f>'S4 Arabica'!I182</f>
        <v>50.177653420738338</v>
      </c>
      <c r="L182" s="41">
        <f>'S5 Robusta'!I182</f>
        <v>47.822396353891911</v>
      </c>
    </row>
    <row r="183" spans="2:12" x14ac:dyDescent="0.55000000000000004">
      <c r="B183" s="11">
        <f t="shared" si="36"/>
        <v>10</v>
      </c>
      <c r="C183" s="11">
        <f t="shared" si="37"/>
        <v>2</v>
      </c>
      <c r="D183" s="12">
        <f t="shared" si="30"/>
        <v>8816020.2684016917</v>
      </c>
      <c r="E183" s="11" t="str">
        <f t="shared" si="31"/>
        <v>23/24</v>
      </c>
      <c r="F183" s="11" t="str">
        <f t="shared" si="32"/>
        <v>Nov</v>
      </c>
      <c r="G183" s="11" t="str">
        <f t="shared" si="33"/>
        <v>Nov'23/24</v>
      </c>
      <c r="H183" s="11" t="str">
        <f t="shared" si="34"/>
        <v>Nov'23/24</v>
      </c>
      <c r="I183" s="11">
        <f t="shared" si="35"/>
        <v>98.313314691663606</v>
      </c>
      <c r="J183" s="11" t="str">
        <f t="shared" si="38"/>
        <v>Nov'23/24</v>
      </c>
      <c r="K183" s="41">
        <f>'S4 Arabica'!I183</f>
        <v>50.354855897738339</v>
      </c>
      <c r="L183" s="41">
        <f>'S5 Robusta'!I183</f>
        <v>47.958458793925267</v>
      </c>
    </row>
    <row r="184" spans="2:12" x14ac:dyDescent="0.55000000000000004">
      <c r="B184" s="11">
        <f t="shared" si="36"/>
        <v>10</v>
      </c>
      <c r="C184" s="11">
        <f t="shared" si="37"/>
        <v>3</v>
      </c>
      <c r="D184" s="12">
        <f t="shared" si="30"/>
        <v>9760201.6111366674</v>
      </c>
      <c r="E184" s="11" t="str">
        <f t="shared" si="31"/>
        <v>23/24</v>
      </c>
      <c r="F184" s="11" t="str">
        <f t="shared" si="32"/>
        <v>Dec</v>
      </c>
      <c r="G184" s="11" t="str">
        <f t="shared" si="33"/>
        <v>Dec'23/24</v>
      </c>
      <c r="H184" s="11" t="str">
        <f t="shared" si="34"/>
        <v>Dec'23/24</v>
      </c>
      <c r="I184" s="11">
        <f t="shared" si="35"/>
        <v>99.148079545180266</v>
      </c>
      <c r="J184" s="11" t="str">
        <f t="shared" si="38"/>
        <v>Dec'23/24</v>
      </c>
      <c r="K184" s="41">
        <f>'S4 Arabica'!I184</f>
        <v>50.903885783896669</v>
      </c>
      <c r="L184" s="41">
        <f>'S5 Robusta'!I184</f>
        <v>48.244193761283604</v>
      </c>
    </row>
    <row r="185" spans="2:12" x14ac:dyDescent="0.55000000000000004">
      <c r="B185" s="11">
        <f t="shared" si="36"/>
        <v>10</v>
      </c>
      <c r="C185" s="11">
        <f t="shared" si="37"/>
        <v>4</v>
      </c>
      <c r="D185" s="12">
        <f t="shared" si="30"/>
        <v>10206682.52228</v>
      </c>
      <c r="E185" s="11" t="str">
        <f t="shared" si="31"/>
        <v>23/24</v>
      </c>
      <c r="F185" s="11" t="str">
        <f t="shared" si="32"/>
        <v>Jan</v>
      </c>
      <c r="G185" s="11" t="str">
        <f t="shared" si="33"/>
        <v>Jan'23/24</v>
      </c>
      <c r="H185" s="11" t="str">
        <f t="shared" si="34"/>
        <v>Jan'23/24</v>
      </c>
      <c r="I185" s="11">
        <f t="shared" si="35"/>
        <v>101.26070562494969</v>
      </c>
      <c r="J185" s="11" t="str">
        <f t="shared" si="38"/>
        <v>Jan'23/24</v>
      </c>
      <c r="K185" s="41">
        <f>'S4 Arabica'!I185</f>
        <v>51.749637083283332</v>
      </c>
      <c r="L185" s="41">
        <f>'S5 Robusta'!I185</f>
        <v>49.511068541666347</v>
      </c>
    </row>
    <row r="186" spans="2:12" x14ac:dyDescent="0.55000000000000004">
      <c r="B186" s="11">
        <f t="shared" si="36"/>
        <v>10</v>
      </c>
      <c r="C186" s="11">
        <f t="shared" si="37"/>
        <v>5</v>
      </c>
      <c r="D186" s="12">
        <f t="shared" si="30"/>
        <v>9280221.4114227518</v>
      </c>
      <c r="E186" s="11" t="str">
        <f t="shared" si="31"/>
        <v>23/24</v>
      </c>
      <c r="F186" s="11" t="str">
        <f t="shared" si="32"/>
        <v>Feb</v>
      </c>
      <c r="G186" s="11" t="str">
        <f t="shared" si="33"/>
        <v>Feb'23/24</v>
      </c>
      <c r="H186" s="11" t="str">
        <f t="shared" si="34"/>
        <v>Feb'23/24</v>
      </c>
      <c r="I186" s="11">
        <f t="shared" si="35"/>
        <v>102.48792455171129</v>
      </c>
      <c r="J186" s="11" t="str">
        <f t="shared" si="38"/>
        <v>Feb'23/24</v>
      </c>
      <c r="K186" s="41">
        <f>'S4 Arabica'!I186</f>
        <v>52.710171281925</v>
      </c>
      <c r="L186" s="41">
        <f>'S5 Robusta'!I186</f>
        <v>49.777753269786267</v>
      </c>
    </row>
    <row r="187" spans="2:12" x14ac:dyDescent="0.55000000000000004">
      <c r="B187" s="11">
        <f t="shared" si="36"/>
        <v>10</v>
      </c>
      <c r="C187" s="11">
        <f t="shared" si="37"/>
        <v>6</v>
      </c>
      <c r="D187" s="12">
        <f t="shared" si="30"/>
        <v>10613252.920188334</v>
      </c>
      <c r="E187" s="11" t="str">
        <f t="shared" si="31"/>
        <v>23/24</v>
      </c>
      <c r="F187" s="11" t="str">
        <f t="shared" si="32"/>
        <v>Mar</v>
      </c>
      <c r="G187" s="11" t="str">
        <f t="shared" si="33"/>
        <v>Mar'23/24</v>
      </c>
      <c r="H187" s="11" t="str">
        <f t="shared" si="34"/>
        <v>Mar'23/24</v>
      </c>
      <c r="I187" s="11">
        <f t="shared" si="35"/>
        <v>103.51295602768684</v>
      </c>
      <c r="J187" s="11" t="str">
        <f t="shared" si="38"/>
        <v>Mar'23/24</v>
      </c>
      <c r="K187" s="41">
        <f>'S4 Arabica'!I187</f>
        <v>53.400611977441677</v>
      </c>
      <c r="L187" s="41">
        <f>'S5 Robusta'!I187</f>
        <v>50.112344050245149</v>
      </c>
    </row>
    <row r="188" spans="2:12" x14ac:dyDescent="0.55000000000000004">
      <c r="B188" s="11">
        <f t="shared" si="36"/>
        <v>10</v>
      </c>
      <c r="C188" s="11">
        <f t="shared" si="37"/>
        <v>7</v>
      </c>
      <c r="D188" s="12">
        <f t="shared" si="30"/>
        <v>9490552.4017016664</v>
      </c>
      <c r="E188" s="11" t="str">
        <f t="shared" si="31"/>
        <v>23/24</v>
      </c>
      <c r="F188" s="11" t="str">
        <f t="shared" si="32"/>
        <v>Apr</v>
      </c>
      <c r="G188" s="11" t="str">
        <f t="shared" si="33"/>
        <v>Apr'23/24</v>
      </c>
      <c r="H188" s="11" t="str">
        <f t="shared" si="34"/>
        <v>Apr'23/24</v>
      </c>
      <c r="I188" s="11">
        <f t="shared" si="35"/>
        <v>104.83147748174238</v>
      </c>
      <c r="J188" s="11" t="str">
        <f t="shared" si="38"/>
        <v>Apr'23/24</v>
      </c>
      <c r="K188" s="41">
        <f>'S4 Arabica'!I188</f>
        <v>54.477491312066675</v>
      </c>
      <c r="L188" s="41">
        <f>'S5 Robusta'!I188</f>
        <v>50.353986169675714</v>
      </c>
    </row>
    <row r="189" spans="2:12" x14ac:dyDescent="0.55000000000000004">
      <c r="B189" s="11">
        <f t="shared" si="36"/>
        <v>10</v>
      </c>
      <c r="C189" s="11">
        <f t="shared" si="37"/>
        <v>8</v>
      </c>
      <c r="D189" s="12">
        <f t="shared" si="30"/>
        <v>9285578.6182666663</v>
      </c>
      <c r="E189" s="11" t="str">
        <f t="shared" si="31"/>
        <v>23/24</v>
      </c>
      <c r="F189" s="11" t="str">
        <f t="shared" si="32"/>
        <v>May</v>
      </c>
      <c r="G189" s="11" t="str">
        <f t="shared" si="33"/>
        <v>May'23/24</v>
      </c>
      <c r="H189" s="11" t="str">
        <f t="shared" si="34"/>
        <v>May'23/24</v>
      </c>
      <c r="I189" s="11">
        <f t="shared" si="35"/>
        <v>105.94341271395787</v>
      </c>
      <c r="J189" s="11" t="str">
        <f t="shared" si="38"/>
        <v>May'23/24</v>
      </c>
      <c r="K189" s="41">
        <f>'S4 Arabica'!I189</f>
        <v>55.989365947825007</v>
      </c>
      <c r="L189" s="41">
        <f>'S5 Robusta'!I189</f>
        <v>49.954046766132855</v>
      </c>
    </row>
    <row r="190" spans="2:12" x14ac:dyDescent="0.55000000000000004">
      <c r="B190" s="11">
        <f t="shared" si="36"/>
        <v>10</v>
      </c>
      <c r="C190" s="11">
        <f t="shared" si="37"/>
        <v>9</v>
      </c>
      <c r="D190" s="12">
        <f t="shared" si="30"/>
        <v>8382235.9426283343</v>
      </c>
      <c r="E190" s="11" t="str">
        <f t="shared" si="31"/>
        <v>23/24</v>
      </c>
      <c r="F190" s="11" t="str">
        <f t="shared" si="32"/>
        <v>Jun</v>
      </c>
      <c r="G190" s="11" t="str">
        <f t="shared" si="33"/>
        <v>Jun'23/24</v>
      </c>
      <c r="H190" s="11" t="str">
        <f t="shared" si="34"/>
        <v>Jun'23/24</v>
      </c>
      <c r="I190" s="11">
        <f t="shared" si="35"/>
        <v>106.20819258385674</v>
      </c>
      <c r="J190" s="11" t="str">
        <f t="shared" si="38"/>
        <v>Jun'23/24</v>
      </c>
      <c r="K190" s="41">
        <f>'S4 Arabica'!I190</f>
        <v>56.851960044450003</v>
      </c>
      <c r="L190" s="41">
        <f>'S5 Robusta'!I190</f>
        <v>49.356232539406747</v>
      </c>
    </row>
    <row r="191" spans="2:12" x14ac:dyDescent="0.55000000000000004">
      <c r="B191" s="11">
        <f t="shared" si="36"/>
        <v>10</v>
      </c>
      <c r="C191" s="11">
        <f t="shared" si="37"/>
        <v>10</v>
      </c>
      <c r="D191" s="12">
        <f t="shared" si="30"/>
        <v>8827525.0727416668</v>
      </c>
      <c r="E191" s="11" t="str">
        <f t="shared" si="31"/>
        <v>23/24</v>
      </c>
      <c r="F191" s="11" t="str">
        <f t="shared" si="32"/>
        <v>Jul</v>
      </c>
      <c r="G191" s="11" t="str">
        <f t="shared" si="33"/>
        <v>Jul'23/24</v>
      </c>
      <c r="H191" s="11" t="str">
        <f t="shared" si="34"/>
        <v>Jul'23/24</v>
      </c>
      <c r="I191" s="11">
        <f t="shared" si="35"/>
        <v>106.96020248626667</v>
      </c>
      <c r="J191" s="11" t="str">
        <f t="shared" si="38"/>
        <v>Jul'23/24</v>
      </c>
      <c r="K191" s="41">
        <f>'S4 Arabica'!I191</f>
        <v>57.535542142916675</v>
      </c>
      <c r="L191" s="41">
        <f>'S5 Robusta'!I191</f>
        <v>49.424660343349998</v>
      </c>
    </row>
    <row r="192" spans="2:12" x14ac:dyDescent="0.55000000000000004">
      <c r="B192" s="11">
        <f t="shared" si="36"/>
        <v>10</v>
      </c>
      <c r="C192" s="11">
        <f t="shared" si="37"/>
        <v>11</v>
      </c>
      <c r="D192" s="12">
        <f t="shared" si="30"/>
        <v>8543496.0691633336</v>
      </c>
      <c r="E192" s="11" t="str">
        <f t="shared" si="31"/>
        <v>23/24</v>
      </c>
      <c r="F192" s="11" t="str">
        <f t="shared" si="32"/>
        <v>Aug</v>
      </c>
      <c r="G192" s="11" t="str">
        <f t="shared" si="33"/>
        <v>Aug'23/24</v>
      </c>
      <c r="H192" s="11" t="str">
        <f t="shared" si="34"/>
        <v>Aug'23/24</v>
      </c>
      <c r="I192" s="11">
        <f t="shared" si="35"/>
        <v>107.32412140728893</v>
      </c>
      <c r="J192" s="11" t="str">
        <f t="shared" si="38"/>
        <v>Aug'23/24</v>
      </c>
      <c r="K192" s="41">
        <f>'S4 Arabica'!I192</f>
        <v>57.69002305345834</v>
      </c>
      <c r="L192" s="41">
        <f>'S5 Robusta'!I192</f>
        <v>49.634098353830552</v>
      </c>
    </row>
    <row r="193" spans="2:12" x14ac:dyDescent="0.55000000000000004">
      <c r="B193" s="11">
        <f t="shared" si="36"/>
        <v>10</v>
      </c>
      <c r="C193" s="11">
        <f t="shared" si="37"/>
        <v>12</v>
      </c>
      <c r="D193" s="12">
        <f t="shared" si="30"/>
        <v>8435922.608101666</v>
      </c>
      <c r="E193" s="11" t="str">
        <f t="shared" si="31"/>
        <v>23/24</v>
      </c>
      <c r="F193" s="11" t="str">
        <f t="shared" si="32"/>
        <v>Sep</v>
      </c>
      <c r="G193" s="11" t="str">
        <f t="shared" si="33"/>
        <v>Sep'23/24</v>
      </c>
      <c r="H193" s="11" t="str">
        <f t="shared" si="34"/>
        <v>Sep'23/24</v>
      </c>
      <c r="I193" s="11">
        <f t="shared" si="35"/>
        <v>109.07777160016111</v>
      </c>
      <c r="J193" s="11" t="str">
        <f t="shared" si="38"/>
        <v>Sep'23/24</v>
      </c>
      <c r="K193" s="41">
        <f>'S4 Arabica'!I193</f>
        <v>59.035438932325</v>
      </c>
      <c r="L193" s="41">
        <f>'S5 Robusta'!I193</f>
        <v>50.042332667836106</v>
      </c>
    </row>
    <row r="194" spans="2:12" x14ac:dyDescent="0.55000000000000004">
      <c r="B194" s="11">
        <f t="shared" si="36"/>
        <v>11</v>
      </c>
      <c r="C194" s="11">
        <f t="shared" si="37"/>
        <v>1</v>
      </c>
      <c r="D194" s="12">
        <f t="shared" si="30"/>
        <v>8837729.3120849989</v>
      </c>
      <c r="E194" s="11" t="str">
        <f t="shared" si="31"/>
        <v>24/25</v>
      </c>
      <c r="F194" s="11" t="str">
        <f t="shared" si="32"/>
        <v>Oct</v>
      </c>
      <c r="G194" s="11" t="str">
        <f t="shared" si="33"/>
        <v>Oct'24/25</v>
      </c>
      <c r="H194" s="11" t="str">
        <f t="shared" si="34"/>
        <v>Oct'24/25</v>
      </c>
      <c r="I194" s="11">
        <f t="shared" si="35"/>
        <v>110.47941875811779</v>
      </c>
      <c r="J194" s="11" t="str">
        <f t="shared" si="38"/>
        <v>Oct'24/25</v>
      </c>
      <c r="K194" s="41">
        <f>'S4 Arabica'!I194</f>
        <v>59.862349712083336</v>
      </c>
      <c r="L194" s="41">
        <f>'S5 Robusta'!I194</f>
        <v>50.617069046034437</v>
      </c>
    </row>
    <row r="195" spans="2:12" x14ac:dyDescent="0.55000000000000004">
      <c r="B195" s="11">
        <f t="shared" si="36"/>
        <v>11</v>
      </c>
      <c r="C195" s="11">
        <f t="shared" si="37"/>
        <v>2</v>
      </c>
      <c r="D195" s="12">
        <f t="shared" si="30"/>
        <v>8266814.1435533334</v>
      </c>
      <c r="E195" s="11" t="str">
        <f t="shared" si="31"/>
        <v>24/25</v>
      </c>
      <c r="F195" s="11" t="str">
        <f t="shared" si="32"/>
        <v>Nov</v>
      </c>
      <c r="G195" s="11" t="str">
        <f t="shared" si="33"/>
        <v>Nov'24/25</v>
      </c>
      <c r="H195" s="11" t="str">
        <f t="shared" si="34"/>
        <v>Nov'24/25</v>
      </c>
      <c r="I195" s="11">
        <f t="shared" si="35"/>
        <v>109.93021263326942</v>
      </c>
      <c r="J195" s="11" t="str">
        <f t="shared" si="38"/>
        <v>Nov'24/25</v>
      </c>
      <c r="K195" s="41">
        <f>'S4 Arabica'!I195</f>
        <v>60.422224348316668</v>
      </c>
      <c r="L195" s="41">
        <f>'S5 Robusta'!I195</f>
        <v>49.507988284952759</v>
      </c>
    </row>
    <row r="196" spans="2:12" x14ac:dyDescent="0.55000000000000004">
      <c r="B196" s="11">
        <f t="shared" si="36"/>
        <v>11</v>
      </c>
      <c r="C196" s="11">
        <f t="shared" si="37"/>
        <v>3</v>
      </c>
      <c r="D196" s="12">
        <f t="shared" si="30"/>
        <v>9853980.5902533345</v>
      </c>
      <c r="E196" s="11" t="str">
        <f t="shared" si="31"/>
        <v>24/25</v>
      </c>
      <c r="F196" s="11" t="str">
        <f t="shared" si="32"/>
        <v>Dec</v>
      </c>
      <c r="G196" s="11" t="str">
        <f t="shared" si="33"/>
        <v>Dec'24/25</v>
      </c>
      <c r="H196" s="11" t="str">
        <f t="shared" si="34"/>
        <v>Dec'24/25</v>
      </c>
      <c r="I196" s="11">
        <f t="shared" si="35"/>
        <v>110.02399161238608</v>
      </c>
      <c r="J196" s="11" t="str">
        <f t="shared" si="38"/>
        <v>Dec'24/25</v>
      </c>
      <c r="K196" s="41">
        <f>'S4 Arabica'!I196</f>
        <v>61.388432605616671</v>
      </c>
      <c r="L196" s="41">
        <f>'S5 Robusta'!I196</f>
        <v>48.635559006769419</v>
      </c>
    </row>
    <row r="197" spans="2:12" x14ac:dyDescent="0.55000000000000004">
      <c r="B197" s="11">
        <f t="shared" si="36"/>
        <v>11</v>
      </c>
      <c r="C197" s="11">
        <f t="shared" si="37"/>
        <v>4</v>
      </c>
      <c r="D197" s="12">
        <f t="shared" si="30"/>
        <v>9137737.3942083344</v>
      </c>
      <c r="E197" s="11" t="str">
        <f t="shared" si="31"/>
        <v>24/25</v>
      </c>
      <c r="F197" s="11" t="str">
        <f t="shared" si="32"/>
        <v>Jan</v>
      </c>
      <c r="G197" s="11" t="str">
        <f t="shared" si="33"/>
        <v>Jan'24/25</v>
      </c>
      <c r="H197" s="11" t="str">
        <f t="shared" si="34"/>
        <v>Jan'24/25</v>
      </c>
      <c r="I197" s="11">
        <f t="shared" si="35"/>
        <v>108.95504648431441</v>
      </c>
      <c r="J197" s="11" t="str">
        <f t="shared" si="38"/>
        <v>Jan'24/25</v>
      </c>
      <c r="K197" s="41">
        <f>'S4 Arabica'!I197</f>
        <v>61.782378701108335</v>
      </c>
      <c r="L197" s="41">
        <f>'S5 Robusta'!I197</f>
        <v>47.172667783206087</v>
      </c>
    </row>
    <row r="198" spans="2:12" x14ac:dyDescent="0.55000000000000004">
      <c r="B198" s="11">
        <f t="shared" si="36"/>
        <v>11</v>
      </c>
      <c r="C198" s="11">
        <f t="shared" si="37"/>
        <v>5</v>
      </c>
      <c r="D198" s="12">
        <f t="shared" si="30"/>
        <v>9800870.4073216654</v>
      </c>
      <c r="E198" s="11" t="str">
        <f t="shared" si="31"/>
        <v>24/25</v>
      </c>
      <c r="F198" s="11" t="str">
        <f t="shared" si="32"/>
        <v>Feb</v>
      </c>
      <c r="G198" s="11" t="str">
        <f t="shared" si="33"/>
        <v>Feb'24/25</v>
      </c>
      <c r="H198" s="11" t="str">
        <f t="shared" si="34"/>
        <v>Feb'24/25</v>
      </c>
      <c r="I198" s="11">
        <f t="shared" si="35"/>
        <v>109.47569548021335</v>
      </c>
      <c r="J198" s="11" t="str">
        <f t="shared" si="38"/>
        <v>Feb'24/25</v>
      </c>
      <c r="K198" s="41">
        <f>'S4 Arabica'!I198</f>
        <v>62.177497825858332</v>
      </c>
      <c r="L198" s="41">
        <f>'S5 Robusta'!I198</f>
        <v>47.298197654355008</v>
      </c>
    </row>
    <row r="199" spans="2:12" x14ac:dyDescent="0.55000000000000004">
      <c r="B199" s="11">
        <f t="shared" si="36"/>
        <v>11</v>
      </c>
      <c r="C199" s="11">
        <f t="shared" si="37"/>
        <v>6</v>
      </c>
      <c r="D199" s="12">
        <f t="shared" si="30"/>
        <v>10626759.171869999</v>
      </c>
      <c r="E199" s="11" t="str">
        <f t="shared" si="31"/>
        <v>24/25</v>
      </c>
      <c r="F199" s="11" t="str">
        <f t="shared" si="32"/>
        <v>Mar</v>
      </c>
      <c r="G199" s="11" t="str">
        <f t="shared" si="33"/>
        <v>Mar'24/25</v>
      </c>
      <c r="H199" s="11" t="str">
        <f t="shared" si="34"/>
        <v>Mar'24/25</v>
      </c>
      <c r="I199" s="11">
        <f t="shared" si="35"/>
        <v>109.48920173189499</v>
      </c>
      <c r="J199" s="11" t="str">
        <f t="shared" si="38"/>
        <v>Mar'24/25</v>
      </c>
      <c r="K199" s="41">
        <f>'S4 Arabica'!I199</f>
        <v>62.517133923691674</v>
      </c>
      <c r="L199" s="41">
        <f>'S5 Robusta'!I199</f>
        <v>46.972067808203334</v>
      </c>
    </row>
    <row r="200" spans="2:12" x14ac:dyDescent="0.55000000000000004">
      <c r="B200" s="11">
        <f t="shared" si="36"/>
        <v>11</v>
      </c>
      <c r="C200" s="11">
        <f t="shared" si="37"/>
        <v>7</v>
      </c>
      <c r="D200" s="12">
        <f t="shared" si="30"/>
        <v>9384016.1674383339</v>
      </c>
      <c r="E200" s="11" t="str">
        <f t="shared" si="31"/>
        <v>24/25</v>
      </c>
      <c r="F200" s="11" t="str">
        <f t="shared" si="32"/>
        <v>Apr</v>
      </c>
      <c r="G200" s="11" t="str">
        <f t="shared" si="33"/>
        <v>Apr'24/25</v>
      </c>
      <c r="H200" s="11" t="str">
        <f t="shared" si="34"/>
        <v>Apr'24/25</v>
      </c>
      <c r="I200" s="11">
        <f t="shared" si="35"/>
        <v>109.38266549763166</v>
      </c>
      <c r="J200" s="11" t="str">
        <f t="shared" si="38"/>
        <v>Apr'24/25</v>
      </c>
      <c r="K200" s="41">
        <f>'S4 Arabica'!I200</f>
        <v>62.185829464066664</v>
      </c>
      <c r="L200" s="41">
        <f>'S5 Robusta'!I200</f>
        <v>47.196836033565006</v>
      </c>
    </row>
    <row r="201" spans="2:12" x14ac:dyDescent="0.55000000000000004">
      <c r="B201" s="11">
        <f t="shared" si="36"/>
        <v>11</v>
      </c>
      <c r="C201" s="11">
        <f t="shared" si="37"/>
        <v>8</v>
      </c>
      <c r="D201" s="12">
        <f t="shared" si="30"/>
        <v>9626982.2670099996</v>
      </c>
      <c r="E201" s="11" t="str">
        <f t="shared" si="31"/>
        <v>24/25</v>
      </c>
      <c r="F201" s="11" t="str">
        <f t="shared" si="32"/>
        <v>May</v>
      </c>
      <c r="G201" s="11" t="str">
        <f t="shared" si="33"/>
        <v>May'24/25</v>
      </c>
      <c r="H201" s="11" t="str">
        <f t="shared" si="34"/>
        <v>May'24/25</v>
      </c>
      <c r="I201" s="11">
        <f t="shared" si="35"/>
        <v>109.724069146375</v>
      </c>
      <c r="J201" s="11" t="str">
        <f t="shared" si="38"/>
        <v>May'24/25</v>
      </c>
      <c r="K201" s="41">
        <f>'S4 Arabica'!I201</f>
        <v>61.641774260974991</v>
      </c>
      <c r="L201" s="41">
        <f>'S5 Robusta'!I201</f>
        <v>48.082294885399996</v>
      </c>
    </row>
    <row r="202" spans="2:12" x14ac:dyDescent="0.55000000000000004">
      <c r="B202" s="11">
        <f t="shared" si="36"/>
        <v>11</v>
      </c>
      <c r="C202" s="11">
        <f t="shared" si="37"/>
        <v>9</v>
      </c>
      <c r="D202" s="12">
        <f t="shared" si="30"/>
        <v>9019572.2281750012</v>
      </c>
      <c r="E202" s="11" t="str">
        <f t="shared" si="31"/>
        <v>24/25</v>
      </c>
      <c r="F202" s="11" t="str">
        <f t="shared" si="32"/>
        <v>Jun</v>
      </c>
      <c r="G202" s="11" t="str">
        <f t="shared" si="33"/>
        <v>Jun'24/25</v>
      </c>
      <c r="H202" s="11" t="str">
        <f t="shared" si="34"/>
        <v>Jun'24/25</v>
      </c>
      <c r="I202" s="11">
        <f t="shared" si="35"/>
        <v>110.36140543192167</v>
      </c>
      <c r="J202" s="11" t="str">
        <f t="shared" si="38"/>
        <v>Jun'24/25</v>
      </c>
      <c r="K202" s="41">
        <f>'S4 Arabica'!I202</f>
        <v>61.201468362975</v>
      </c>
      <c r="L202" s="41">
        <f>'S5 Robusta'!I202</f>
        <v>49.159937068946661</v>
      </c>
    </row>
    <row r="203" spans="2:12" x14ac:dyDescent="0.55000000000000004">
      <c r="B203" s="11">
        <f t="shared" si="36"/>
        <v>11</v>
      </c>
      <c r="C203" s="11">
        <f t="shared" si="37"/>
        <v>10</v>
      </c>
      <c r="D203" s="12">
        <f t="shared" ref="D203:D229" si="39">INDEX($C$7:$N$19,MATCH(B203,$A$7:$A$19),MATCH(C203,$C$4:$N$4))</f>
        <v>8801469.9126933329</v>
      </c>
      <c r="E203" s="11" t="str">
        <f t="shared" ref="E203:E229" si="40">_xlfn.XLOOKUP(B203,$A$7:$A$19,$B$7:$B$19)</f>
        <v>24/25</v>
      </c>
      <c r="F203" s="11" t="str">
        <f t="shared" ref="F203:F229" si="41">_xlfn.XLOOKUP(C203,$C$4:$N$4,$C$6:$N$6)</f>
        <v>Jul</v>
      </c>
      <c r="G203" s="11" t="str">
        <f t="shared" ref="G203:G229" si="42">_xlfn.CONCAT(F203,"'",E203)</f>
        <v>Jul'24/25</v>
      </c>
      <c r="H203" s="11" t="str">
        <f t="shared" si="34"/>
        <v>Jul'24/25</v>
      </c>
      <c r="I203" s="11">
        <f t="shared" si="35"/>
        <v>110.33535027187332</v>
      </c>
      <c r="J203" s="11" t="str">
        <f t="shared" si="38"/>
        <v>Jul'24/25</v>
      </c>
      <c r="K203" s="41">
        <f>'S4 Arabica'!I203</f>
        <v>60.909971327925</v>
      </c>
      <c r="L203" s="41">
        <f>'S5 Robusta'!I203</f>
        <v>49.425378943948331</v>
      </c>
    </row>
    <row r="204" spans="2:12" x14ac:dyDescent="0.55000000000000004">
      <c r="B204" s="11">
        <f t="shared" si="36"/>
        <v>11</v>
      </c>
      <c r="C204" s="11">
        <f t="shared" si="37"/>
        <v>11</v>
      </c>
      <c r="D204" s="12">
        <f t="shared" si="39"/>
        <v>8538188.1055538896</v>
      </c>
      <c r="E204" s="11" t="str">
        <f t="shared" si="40"/>
        <v>24/25</v>
      </c>
      <c r="F204" s="11" t="str">
        <f t="shared" si="41"/>
        <v>Aug</v>
      </c>
      <c r="G204" s="11" t="str">
        <f t="shared" si="42"/>
        <v>Aug'24/25</v>
      </c>
      <c r="H204" s="11" t="str">
        <f t="shared" si="34"/>
        <v>Aug'24/25</v>
      </c>
      <c r="I204" s="11">
        <f t="shared" si="35"/>
        <v>110.33004230826391</v>
      </c>
      <c r="J204" s="11" t="str">
        <f t="shared" si="38"/>
        <v>Aug'24/25</v>
      </c>
      <c r="K204" s="41">
        <f>'S4 Arabica'!I204</f>
        <v>60.730285191855558</v>
      </c>
      <c r="L204" s="41">
        <f>'S5 Robusta'!I204</f>
        <v>49.599757116408341</v>
      </c>
    </row>
    <row r="205" spans="2:12" x14ac:dyDescent="0.55000000000000004">
      <c r="B205" s="11">
        <f t="shared" si="36"/>
        <v>11</v>
      </c>
      <c r="C205" s="11">
        <f t="shared" si="37"/>
        <v>12</v>
      </c>
      <c r="D205" s="12">
        <f t="shared" si="39"/>
        <v>8768594.3472370598</v>
      </c>
      <c r="E205" s="11" t="str">
        <f t="shared" si="40"/>
        <v>24/25</v>
      </c>
      <c r="F205" s="11" t="str">
        <f t="shared" si="41"/>
        <v>Sep</v>
      </c>
      <c r="G205" s="11" t="str">
        <f t="shared" si="42"/>
        <v>Sep'24/25</v>
      </c>
      <c r="H205" s="11" t="str">
        <f t="shared" si="34"/>
        <v>Sep'24/25</v>
      </c>
      <c r="I205" s="11">
        <f t="shared" si="35"/>
        <v>110.66271404739929</v>
      </c>
      <c r="J205" s="11" t="str">
        <f t="shared" si="38"/>
        <v>Sep'24/25</v>
      </c>
      <c r="K205" s="41">
        <f>'S4 Arabica'!I205</f>
        <v>60.272994320419279</v>
      </c>
      <c r="L205" s="41">
        <f>'S5 Robusta'!I205</f>
        <v>50.389719726979997</v>
      </c>
    </row>
    <row r="206" spans="2:12" x14ac:dyDescent="0.55000000000000004">
      <c r="B206" s="11">
        <f t="shared" si="36"/>
        <v>12</v>
      </c>
      <c r="C206" s="11">
        <f t="shared" si="37"/>
        <v>1</v>
      </c>
      <c r="D206" s="12">
        <f t="shared" si="39"/>
        <v>8608395.8574516661</v>
      </c>
      <c r="E206" s="11" t="str">
        <f t="shared" si="40"/>
        <v>25/26</v>
      </c>
      <c r="F206" s="11" t="str">
        <f t="shared" si="41"/>
        <v>Oct</v>
      </c>
      <c r="G206" s="11" t="str">
        <f t="shared" si="42"/>
        <v>Oct'25/26</v>
      </c>
      <c r="H206" s="11" t="str">
        <f t="shared" si="34"/>
        <v>Oct'25/26</v>
      </c>
      <c r="I206" s="11">
        <f t="shared" si="35"/>
        <v>110.43338059276597</v>
      </c>
      <c r="J206" s="11" t="str">
        <f t="shared" si="38"/>
        <v>Oct'25/26</v>
      </c>
      <c r="K206" s="41">
        <f>'S4 Arabica'!I206</f>
        <v>59.790279091927609</v>
      </c>
      <c r="L206" s="41">
        <f>'S5 Robusta'!I206</f>
        <v>50.643101500838334</v>
      </c>
    </row>
    <row r="207" spans="2:12" x14ac:dyDescent="0.55000000000000004">
      <c r="B207" s="11">
        <f t="shared" si="36"/>
        <v>12</v>
      </c>
      <c r="C207" s="11">
        <f t="shared" si="37"/>
        <v>2</v>
      </c>
      <c r="D207" s="12">
        <f t="shared" si="39"/>
        <v>8341499.9191483334</v>
      </c>
      <c r="E207" s="11" t="str">
        <f t="shared" si="40"/>
        <v>25/26</v>
      </c>
      <c r="F207" s="11" t="str">
        <f t="shared" si="41"/>
        <v>Nov</v>
      </c>
      <c r="G207" s="11" t="str">
        <f t="shared" si="42"/>
        <v>Nov'25/26</v>
      </c>
      <c r="H207" s="11" t="str">
        <f t="shared" si="34"/>
        <v>Nov'25/26</v>
      </c>
      <c r="I207" s="11">
        <f t="shared" si="35"/>
        <v>110.50806636836097</v>
      </c>
      <c r="J207" s="11" t="str">
        <f t="shared" si="38"/>
        <v>Nov'25/26</v>
      </c>
      <c r="K207" s="41">
        <f>'S4 Arabica'!I207</f>
        <v>59.337805700860947</v>
      </c>
      <c r="L207" s="41">
        <f>'S5 Robusta'!I207</f>
        <v>51.170260667500003</v>
      </c>
    </row>
    <row r="208" spans="2:12" x14ac:dyDescent="0.55000000000000004">
      <c r="B208" s="11">
        <f t="shared" si="36"/>
        <v>12</v>
      </c>
      <c r="C208" s="11">
        <f t="shared" si="37"/>
        <v>3</v>
      </c>
      <c r="D208" s="12">
        <f t="shared" si="39"/>
        <v>9201239.5027983338</v>
      </c>
      <c r="E208" s="11" t="str">
        <f t="shared" si="40"/>
        <v>25/26</v>
      </c>
      <c r="F208" s="11" t="str">
        <f t="shared" si="41"/>
        <v>Dec</v>
      </c>
      <c r="G208" s="11" t="str">
        <f t="shared" si="42"/>
        <v>Dec'25/26</v>
      </c>
      <c r="H208" s="11" t="str">
        <f t="shared" si="34"/>
        <v>Dec'25/26</v>
      </c>
      <c r="I208" s="11">
        <f t="shared" si="35"/>
        <v>109.85532528090594</v>
      </c>
      <c r="J208" s="11" t="str">
        <f t="shared" si="38"/>
        <v>Dec'25/26</v>
      </c>
      <c r="K208" s="41">
        <f>'S4 Arabica'!I208</f>
        <v>58.00491345219428</v>
      </c>
      <c r="L208" s="41">
        <f>'S5 Robusta'!I208</f>
        <v>51.850411828711664</v>
      </c>
    </row>
    <row r="209" spans="2:12" x14ac:dyDescent="0.55000000000000004">
      <c r="B209" s="11">
        <f t="shared" si="36"/>
        <v>12</v>
      </c>
      <c r="C209" s="11">
        <f t="shared" si="37"/>
        <v>4</v>
      </c>
      <c r="D209" s="12">
        <f t="shared" si="39"/>
        <v>9401730.666666666</v>
      </c>
      <c r="E209" s="11" t="str">
        <f t="shared" si="40"/>
        <v>25/26</v>
      </c>
      <c r="F209" s="11" t="str">
        <f t="shared" si="41"/>
        <v>Jan</v>
      </c>
      <c r="G209" s="11" t="str">
        <f t="shared" si="42"/>
        <v>Jan'25/26</v>
      </c>
      <c r="H209" s="11" t="str">
        <f t="shared" si="34"/>
        <v>Jan'25/26</v>
      </c>
      <c r="I209" s="11">
        <f t="shared" si="35"/>
        <v>110.11931855336428</v>
      </c>
      <c r="J209" s="11" t="str">
        <f t="shared" si="38"/>
        <v>Jan'25/26</v>
      </c>
      <c r="K209" s="41">
        <f>'S4 Arabica'!I209</f>
        <v>57.033007531535937</v>
      </c>
      <c r="L209" s="41">
        <f>'S5 Robusta'!I209</f>
        <v>53.086311021828337</v>
      </c>
    </row>
    <row r="210" spans="2:12" x14ac:dyDescent="0.55000000000000004">
      <c r="B210" s="11">
        <f t="shared" si="36"/>
        <v>12</v>
      </c>
      <c r="C210" s="11">
        <f t="shared" si="37"/>
        <v>5</v>
      </c>
      <c r="D210" s="12">
        <f t="shared" si="39"/>
        <v>8318875.666666667</v>
      </c>
      <c r="E210" s="11" t="str">
        <f t="shared" si="40"/>
        <v>25/26</v>
      </c>
      <c r="F210" s="11" t="str">
        <f t="shared" si="41"/>
        <v>Feb</v>
      </c>
      <c r="G210" s="11" t="str">
        <f t="shared" si="42"/>
        <v>Feb'25/26</v>
      </c>
      <c r="H210" s="11" t="str">
        <f t="shared" si="34"/>
        <v>Feb'25/26</v>
      </c>
      <c r="I210" s="11">
        <f t="shared" si="35"/>
        <v>108.63732381270928</v>
      </c>
      <c r="J210" s="11" t="str">
        <f t="shared" si="38"/>
        <v>Feb'25/26</v>
      </c>
      <c r="K210" s="41">
        <f>'S4 Arabica'!I210</f>
        <v>56.01180499520261</v>
      </c>
      <c r="L210" s="41">
        <f>'S5 Robusta'!I210</f>
        <v>52.625518817506673</v>
      </c>
    </row>
    <row r="211" spans="2:12" x14ac:dyDescent="0.55000000000000004">
      <c r="B211" s="11">
        <f t="shared" si="36"/>
        <v>12</v>
      </c>
      <c r="C211" s="11">
        <f t="shared" si="37"/>
        <v>6</v>
      </c>
      <c r="D211" s="12">
        <f t="shared" si="39"/>
        <v>9517766</v>
      </c>
      <c r="E211" s="11" t="str">
        <f t="shared" si="40"/>
        <v>25/26</v>
      </c>
      <c r="F211" s="11" t="str">
        <f t="shared" si="41"/>
        <v>Mar</v>
      </c>
      <c r="G211" s="11" t="str">
        <f t="shared" si="42"/>
        <v>Mar'25/26</v>
      </c>
      <c r="H211" s="11" t="str">
        <f t="shared" si="34"/>
        <v>Mar'25/26</v>
      </c>
      <c r="I211" s="11">
        <f t="shared" si="35"/>
        <v>107.5283306408393</v>
      </c>
      <c r="J211" s="11" t="str">
        <f t="shared" si="38"/>
        <v>Mar'25/26</v>
      </c>
      <c r="K211" s="41">
        <f>'S4 Arabica'!I211</f>
        <v>54.948216273202611</v>
      </c>
      <c r="L211" s="41">
        <f>'S5 Robusta'!I211</f>
        <v>52.580114367636675</v>
      </c>
    </row>
    <row r="212" spans="2:12" x14ac:dyDescent="0.55000000000000004">
      <c r="B212" s="11">
        <f t="shared" si="36"/>
        <v>12</v>
      </c>
      <c r="C212" s="11">
        <f t="shared" si="37"/>
        <v>7</v>
      </c>
      <c r="D212" s="12">
        <f t="shared" si="39"/>
        <v>9552886</v>
      </c>
      <c r="E212" s="11" t="str">
        <f t="shared" si="40"/>
        <v>25/26</v>
      </c>
      <c r="F212" s="11" t="str">
        <f t="shared" si="41"/>
        <v>Apr</v>
      </c>
      <c r="G212" s="11" t="str">
        <f t="shared" si="42"/>
        <v>Apr'25/26</v>
      </c>
      <c r="H212" s="11" t="str">
        <f t="shared" si="34"/>
        <v>Apr'25/26</v>
      </c>
      <c r="I212" s="11">
        <f t="shared" si="35"/>
        <v>107.69720047340095</v>
      </c>
      <c r="J212" s="11" t="str">
        <f t="shared" si="38"/>
        <v>Apr'25/26</v>
      </c>
      <c r="K212" s="41">
        <f>'S4 Arabica'!I212</f>
        <v>54.44266444853595</v>
      </c>
      <c r="L212" s="41">
        <f>'S5 Robusta'!I212</f>
        <v>53.254536024865004</v>
      </c>
    </row>
    <row r="213" spans="2:12" x14ac:dyDescent="0.55000000000000004">
      <c r="B213" s="11">
        <f t="shared" si="36"/>
        <v>12</v>
      </c>
      <c r="C213" s="11">
        <f t="shared" si="37"/>
        <v>8</v>
      </c>
      <c r="D213" s="12" t="e">
        <f t="shared" si="39"/>
        <v>#N/A</v>
      </c>
      <c r="E213" s="11" t="str">
        <f t="shared" si="40"/>
        <v>25/26</v>
      </c>
      <c r="F213" s="11" t="str">
        <f t="shared" si="41"/>
        <v>May</v>
      </c>
      <c r="G213" s="11" t="str">
        <f t="shared" si="42"/>
        <v>May'25/26</v>
      </c>
      <c r="H213" s="11" t="str">
        <f t="shared" si="34"/>
        <v>May'25/26</v>
      </c>
      <c r="I213" s="11" t="e">
        <f t="shared" si="35"/>
        <v>#N/A</v>
      </c>
      <c r="J213" s="11" t="str">
        <f t="shared" si="38"/>
        <v>May'25/26</v>
      </c>
      <c r="K213" s="41">
        <f>'S4 Arabica'!I213</f>
        <v>53.867212925202615</v>
      </c>
      <c r="L213" s="41" t="e">
        <f>'S5 Robusta'!I213</f>
        <v>#N/A</v>
      </c>
    </row>
    <row r="214" spans="2:12" x14ac:dyDescent="0.55000000000000004">
      <c r="B214" s="11">
        <f t="shared" si="36"/>
        <v>12</v>
      </c>
      <c r="C214" s="11">
        <f t="shared" si="37"/>
        <v>9</v>
      </c>
      <c r="D214" s="12" t="e">
        <f t="shared" si="39"/>
        <v>#N/A</v>
      </c>
      <c r="E214" s="11" t="str">
        <f t="shared" si="40"/>
        <v>25/26</v>
      </c>
      <c r="F214" s="11" t="str">
        <f t="shared" si="41"/>
        <v>Jun</v>
      </c>
      <c r="G214" s="11" t="str">
        <f t="shared" si="42"/>
        <v>Jun'25/26</v>
      </c>
      <c r="H214" s="11" t="str">
        <f t="shared" ref="H214:H229" si="43">G214</f>
        <v>Jun'25/26</v>
      </c>
      <c r="I214" s="11" t="e">
        <f t="shared" ref="I214:I229" si="44">SUM(D203:D214)/1000000</f>
        <v>#N/A</v>
      </c>
      <c r="J214" s="11" t="str">
        <f t="shared" si="38"/>
        <v>Jun'25/26</v>
      </c>
      <c r="K214" s="41" t="e">
        <f>'S4 Arabica'!I214</f>
        <v>#N/A</v>
      </c>
      <c r="L214" s="41" t="e">
        <f>'S5 Robusta'!I214</f>
        <v>#N/A</v>
      </c>
    </row>
    <row r="215" spans="2:12" x14ac:dyDescent="0.55000000000000004">
      <c r="B215" s="11">
        <f t="shared" ref="B215:B229" si="45">B203+1</f>
        <v>12</v>
      </c>
      <c r="C215" s="11">
        <f t="shared" ref="C215:C229" si="46">C203</f>
        <v>10</v>
      </c>
      <c r="D215" s="12" t="e">
        <f t="shared" si="39"/>
        <v>#N/A</v>
      </c>
      <c r="E215" s="11" t="str">
        <f t="shared" si="40"/>
        <v>25/26</v>
      </c>
      <c r="F215" s="11" t="str">
        <f t="shared" si="41"/>
        <v>Jul</v>
      </c>
      <c r="G215" s="11" t="str">
        <f t="shared" si="42"/>
        <v>Jul'25/26</v>
      </c>
      <c r="H215" s="11" t="str">
        <f t="shared" si="43"/>
        <v>Jul'25/26</v>
      </c>
      <c r="I215" s="11" t="e">
        <f t="shared" si="44"/>
        <v>#N/A</v>
      </c>
      <c r="J215" s="11" t="str">
        <f t="shared" si="38"/>
        <v>Jul'25/26</v>
      </c>
      <c r="K215" s="41" t="e">
        <f>'S4 Arabica'!I215</f>
        <v>#N/A</v>
      </c>
      <c r="L215" s="41" t="e">
        <f>'S5 Robusta'!I215</f>
        <v>#N/A</v>
      </c>
    </row>
    <row r="216" spans="2:12" x14ac:dyDescent="0.55000000000000004">
      <c r="B216" s="11">
        <f t="shared" si="45"/>
        <v>12</v>
      </c>
      <c r="C216" s="11">
        <f t="shared" si="46"/>
        <v>11</v>
      </c>
      <c r="D216" s="12" t="e">
        <f t="shared" si="39"/>
        <v>#N/A</v>
      </c>
      <c r="E216" s="11" t="str">
        <f t="shared" si="40"/>
        <v>25/26</v>
      </c>
      <c r="F216" s="11" t="str">
        <f t="shared" si="41"/>
        <v>Aug</v>
      </c>
      <c r="G216" s="11" t="str">
        <f t="shared" si="42"/>
        <v>Aug'25/26</v>
      </c>
      <c r="H216" s="11" t="str">
        <f t="shared" si="43"/>
        <v>Aug'25/26</v>
      </c>
      <c r="I216" s="11" t="e">
        <f t="shared" si="44"/>
        <v>#N/A</v>
      </c>
      <c r="J216" s="11" t="str">
        <f t="shared" si="38"/>
        <v>Aug'25/26</v>
      </c>
      <c r="K216" s="41" t="e">
        <f>'S4 Arabica'!I216</f>
        <v>#N/A</v>
      </c>
      <c r="L216" s="41" t="e">
        <f>'S5 Robusta'!I216</f>
        <v>#N/A</v>
      </c>
    </row>
    <row r="217" spans="2:12" x14ac:dyDescent="0.55000000000000004">
      <c r="B217" s="11">
        <f t="shared" si="45"/>
        <v>12</v>
      </c>
      <c r="C217" s="11">
        <f t="shared" si="46"/>
        <v>12</v>
      </c>
      <c r="D217" s="12" t="e">
        <f t="shared" si="39"/>
        <v>#N/A</v>
      </c>
      <c r="E217" s="11" t="str">
        <f t="shared" si="40"/>
        <v>25/26</v>
      </c>
      <c r="F217" s="11" t="str">
        <f t="shared" si="41"/>
        <v>Sep</v>
      </c>
      <c r="G217" s="11" t="str">
        <f t="shared" si="42"/>
        <v>Sep'25/26</v>
      </c>
      <c r="H217" s="11" t="str">
        <f t="shared" si="43"/>
        <v>Sep'25/26</v>
      </c>
      <c r="I217" s="11" t="e">
        <f t="shared" si="44"/>
        <v>#N/A</v>
      </c>
      <c r="J217" s="11" t="str">
        <f t="shared" si="38"/>
        <v>Sep'25/26</v>
      </c>
      <c r="K217" s="41" t="e">
        <f>'S4 Arabica'!I217</f>
        <v>#N/A</v>
      </c>
      <c r="L217" s="41" t="e">
        <f>'S5 Robusta'!I217</f>
        <v>#N/A</v>
      </c>
    </row>
    <row r="218" spans="2:12" x14ac:dyDescent="0.55000000000000004">
      <c r="B218" s="11">
        <f t="shared" si="45"/>
        <v>13</v>
      </c>
      <c r="C218" s="11">
        <f t="shared" si="46"/>
        <v>1</v>
      </c>
      <c r="D218" s="12" t="e">
        <f t="shared" si="39"/>
        <v>#N/A</v>
      </c>
      <c r="E218" s="11" t="str">
        <f t="shared" si="40"/>
        <v>26/27</v>
      </c>
      <c r="F218" s="11" t="str">
        <f t="shared" si="41"/>
        <v>Oct</v>
      </c>
      <c r="G218" s="11" t="str">
        <f t="shared" si="42"/>
        <v>Oct'26/27</v>
      </c>
      <c r="H218" s="11" t="str">
        <f t="shared" si="43"/>
        <v>Oct'26/27</v>
      </c>
      <c r="I218" s="11" t="e">
        <f t="shared" si="44"/>
        <v>#N/A</v>
      </c>
      <c r="J218" s="11" t="str">
        <f t="shared" si="38"/>
        <v>Oct'26/27</v>
      </c>
      <c r="K218" s="41" t="e">
        <f>'S4 Arabica'!I218</f>
        <v>#N/A</v>
      </c>
      <c r="L218" s="41" t="e">
        <f>'S5 Robusta'!I218</f>
        <v>#N/A</v>
      </c>
    </row>
    <row r="219" spans="2:12" x14ac:dyDescent="0.55000000000000004">
      <c r="B219" s="11">
        <f t="shared" si="45"/>
        <v>13</v>
      </c>
      <c r="C219" s="11">
        <f t="shared" si="46"/>
        <v>2</v>
      </c>
      <c r="D219" s="12" t="e">
        <f t="shared" si="39"/>
        <v>#N/A</v>
      </c>
      <c r="E219" s="11" t="str">
        <f t="shared" si="40"/>
        <v>26/27</v>
      </c>
      <c r="F219" s="11" t="str">
        <f t="shared" si="41"/>
        <v>Nov</v>
      </c>
      <c r="G219" s="11" t="str">
        <f t="shared" si="42"/>
        <v>Nov'26/27</v>
      </c>
      <c r="H219" s="11" t="str">
        <f t="shared" si="43"/>
        <v>Nov'26/27</v>
      </c>
      <c r="I219" s="11" t="e">
        <f t="shared" si="44"/>
        <v>#N/A</v>
      </c>
      <c r="J219" s="11" t="str">
        <f t="shared" si="38"/>
        <v>Nov'26/27</v>
      </c>
      <c r="K219" s="41" t="e">
        <f>'S4 Arabica'!I219</f>
        <v>#N/A</v>
      </c>
      <c r="L219" s="41" t="e">
        <f>'S5 Robusta'!I219</f>
        <v>#N/A</v>
      </c>
    </row>
    <row r="220" spans="2:12" x14ac:dyDescent="0.55000000000000004">
      <c r="B220" s="11">
        <f t="shared" si="45"/>
        <v>13</v>
      </c>
      <c r="C220" s="11">
        <f t="shared" si="46"/>
        <v>3</v>
      </c>
      <c r="D220" s="12" t="e">
        <f t="shared" si="39"/>
        <v>#N/A</v>
      </c>
      <c r="E220" s="11" t="str">
        <f t="shared" si="40"/>
        <v>26/27</v>
      </c>
      <c r="F220" s="11" t="str">
        <f t="shared" si="41"/>
        <v>Dec</v>
      </c>
      <c r="G220" s="11" t="str">
        <f t="shared" si="42"/>
        <v>Dec'26/27</v>
      </c>
      <c r="H220" s="11" t="str">
        <f t="shared" si="43"/>
        <v>Dec'26/27</v>
      </c>
      <c r="I220" s="11" t="e">
        <f t="shared" si="44"/>
        <v>#N/A</v>
      </c>
      <c r="J220" s="11" t="str">
        <f t="shared" si="38"/>
        <v>Dec'26/27</v>
      </c>
      <c r="K220" s="41" t="e">
        <f>'S4 Arabica'!I220</f>
        <v>#N/A</v>
      </c>
      <c r="L220" s="41" t="e">
        <f>'S5 Robusta'!I220</f>
        <v>#N/A</v>
      </c>
    </row>
    <row r="221" spans="2:12" x14ac:dyDescent="0.55000000000000004">
      <c r="B221" s="11">
        <f t="shared" si="45"/>
        <v>13</v>
      </c>
      <c r="C221" s="11">
        <f t="shared" si="46"/>
        <v>4</v>
      </c>
      <c r="D221" s="12" t="e">
        <f t="shared" si="39"/>
        <v>#N/A</v>
      </c>
      <c r="E221" s="11" t="str">
        <f t="shared" si="40"/>
        <v>26/27</v>
      </c>
      <c r="F221" s="11" t="str">
        <f t="shared" si="41"/>
        <v>Jan</v>
      </c>
      <c r="G221" s="11" t="str">
        <f t="shared" si="42"/>
        <v>Jan'26/27</v>
      </c>
      <c r="H221" s="11" t="str">
        <f t="shared" si="43"/>
        <v>Jan'26/27</v>
      </c>
      <c r="I221" s="11" t="e">
        <f t="shared" si="44"/>
        <v>#N/A</v>
      </c>
      <c r="J221" s="11" t="str">
        <f t="shared" si="38"/>
        <v>Jan'26/27</v>
      </c>
      <c r="K221" s="41" t="e">
        <f>'S4 Arabica'!I221</f>
        <v>#N/A</v>
      </c>
      <c r="L221" s="41" t="e">
        <f>'S5 Robusta'!I221</f>
        <v>#N/A</v>
      </c>
    </row>
    <row r="222" spans="2:12" x14ac:dyDescent="0.55000000000000004">
      <c r="B222" s="11">
        <f t="shared" si="45"/>
        <v>13</v>
      </c>
      <c r="C222" s="11">
        <f t="shared" si="46"/>
        <v>5</v>
      </c>
      <c r="D222" s="12" t="e">
        <f t="shared" si="39"/>
        <v>#N/A</v>
      </c>
      <c r="E222" s="11" t="str">
        <f t="shared" si="40"/>
        <v>26/27</v>
      </c>
      <c r="F222" s="11" t="str">
        <f t="shared" si="41"/>
        <v>Feb</v>
      </c>
      <c r="G222" s="11" t="str">
        <f t="shared" si="42"/>
        <v>Feb'26/27</v>
      </c>
      <c r="H222" s="11" t="str">
        <f t="shared" si="43"/>
        <v>Feb'26/27</v>
      </c>
      <c r="I222" s="11" t="e">
        <f t="shared" si="44"/>
        <v>#N/A</v>
      </c>
      <c r="J222" s="11" t="str">
        <f t="shared" si="38"/>
        <v>Feb'26/27</v>
      </c>
      <c r="K222" s="41" t="e">
        <f>'S4 Arabica'!I222</f>
        <v>#N/A</v>
      </c>
      <c r="L222" s="41" t="e">
        <f>'S5 Robusta'!I222</f>
        <v>#N/A</v>
      </c>
    </row>
    <row r="223" spans="2:12" x14ac:dyDescent="0.55000000000000004">
      <c r="B223" s="11">
        <f t="shared" si="45"/>
        <v>13</v>
      </c>
      <c r="C223" s="11">
        <f t="shared" si="46"/>
        <v>6</v>
      </c>
      <c r="D223" s="12" t="e">
        <f t="shared" si="39"/>
        <v>#N/A</v>
      </c>
      <c r="E223" s="11" t="str">
        <f t="shared" si="40"/>
        <v>26/27</v>
      </c>
      <c r="F223" s="11" t="str">
        <f t="shared" si="41"/>
        <v>Mar</v>
      </c>
      <c r="G223" s="11" t="str">
        <f t="shared" si="42"/>
        <v>Mar'26/27</v>
      </c>
      <c r="H223" s="11" t="str">
        <f t="shared" si="43"/>
        <v>Mar'26/27</v>
      </c>
      <c r="I223" s="11" t="e">
        <f t="shared" si="44"/>
        <v>#N/A</v>
      </c>
      <c r="J223" s="11" t="str">
        <f t="shared" si="38"/>
        <v>Mar'26/27</v>
      </c>
      <c r="K223" s="41" t="e">
        <f>'S4 Arabica'!I223</f>
        <v>#N/A</v>
      </c>
      <c r="L223" s="41" t="e">
        <f>'S5 Robusta'!I223</f>
        <v>#N/A</v>
      </c>
    </row>
    <row r="224" spans="2:12" x14ac:dyDescent="0.55000000000000004">
      <c r="B224" s="11">
        <f t="shared" si="45"/>
        <v>13</v>
      </c>
      <c r="C224" s="11">
        <f t="shared" si="46"/>
        <v>7</v>
      </c>
      <c r="D224" s="12" t="e">
        <f t="shared" si="39"/>
        <v>#N/A</v>
      </c>
      <c r="E224" s="11" t="str">
        <f t="shared" si="40"/>
        <v>26/27</v>
      </c>
      <c r="F224" s="11" t="str">
        <f t="shared" si="41"/>
        <v>Apr</v>
      </c>
      <c r="G224" s="11" t="str">
        <f t="shared" si="42"/>
        <v>Apr'26/27</v>
      </c>
      <c r="H224" s="11" t="str">
        <f t="shared" si="43"/>
        <v>Apr'26/27</v>
      </c>
      <c r="I224" s="11" t="e">
        <f t="shared" si="44"/>
        <v>#N/A</v>
      </c>
      <c r="J224" s="11" t="str">
        <f t="shared" si="38"/>
        <v>Apr'26/27</v>
      </c>
      <c r="K224" s="41" t="e">
        <f>'S4 Arabica'!I224</f>
        <v>#N/A</v>
      </c>
      <c r="L224" s="41" t="e">
        <f>'S5 Robusta'!I224</f>
        <v>#N/A</v>
      </c>
    </row>
    <row r="225" spans="2:12" x14ac:dyDescent="0.55000000000000004">
      <c r="B225" s="11">
        <f t="shared" si="45"/>
        <v>13</v>
      </c>
      <c r="C225" s="11">
        <f t="shared" si="46"/>
        <v>8</v>
      </c>
      <c r="D225" s="12" t="e">
        <f t="shared" si="39"/>
        <v>#N/A</v>
      </c>
      <c r="E225" s="11" t="str">
        <f t="shared" si="40"/>
        <v>26/27</v>
      </c>
      <c r="F225" s="11" t="str">
        <f t="shared" si="41"/>
        <v>May</v>
      </c>
      <c r="G225" s="11" t="str">
        <f t="shared" si="42"/>
        <v>May'26/27</v>
      </c>
      <c r="H225" s="11" t="str">
        <f t="shared" si="43"/>
        <v>May'26/27</v>
      </c>
      <c r="I225" s="11" t="e">
        <f t="shared" si="44"/>
        <v>#N/A</v>
      </c>
      <c r="J225" s="11" t="str">
        <f t="shared" si="38"/>
        <v>May'26/27</v>
      </c>
      <c r="K225" s="41" t="e">
        <f>'S4 Arabica'!I225</f>
        <v>#N/A</v>
      </c>
      <c r="L225" s="41" t="e">
        <f>'S5 Robusta'!I225</f>
        <v>#N/A</v>
      </c>
    </row>
    <row r="226" spans="2:12" x14ac:dyDescent="0.55000000000000004">
      <c r="B226" s="11">
        <f t="shared" si="45"/>
        <v>13</v>
      </c>
      <c r="C226" s="11">
        <f t="shared" si="46"/>
        <v>9</v>
      </c>
      <c r="D226" s="12" t="e">
        <f t="shared" si="39"/>
        <v>#N/A</v>
      </c>
      <c r="E226" s="11" t="str">
        <f t="shared" si="40"/>
        <v>26/27</v>
      </c>
      <c r="F226" s="11" t="str">
        <f t="shared" si="41"/>
        <v>Jun</v>
      </c>
      <c r="G226" s="11" t="str">
        <f t="shared" si="42"/>
        <v>Jun'26/27</v>
      </c>
      <c r="H226" s="11" t="str">
        <f t="shared" si="43"/>
        <v>Jun'26/27</v>
      </c>
      <c r="I226" s="11" t="e">
        <f t="shared" si="44"/>
        <v>#N/A</v>
      </c>
      <c r="J226" s="11" t="str">
        <f t="shared" si="38"/>
        <v>Jun'26/27</v>
      </c>
      <c r="K226" s="41" t="e">
        <f>'S4 Arabica'!I226</f>
        <v>#N/A</v>
      </c>
      <c r="L226" s="41" t="e">
        <f>'S5 Robusta'!I226</f>
        <v>#N/A</v>
      </c>
    </row>
    <row r="227" spans="2:12" x14ac:dyDescent="0.55000000000000004">
      <c r="B227" s="11">
        <f t="shared" si="45"/>
        <v>13</v>
      </c>
      <c r="C227" s="11">
        <f t="shared" si="46"/>
        <v>10</v>
      </c>
      <c r="D227" s="12" t="e">
        <f t="shared" si="39"/>
        <v>#N/A</v>
      </c>
      <c r="E227" s="11" t="str">
        <f t="shared" si="40"/>
        <v>26/27</v>
      </c>
      <c r="F227" s="11" t="str">
        <f t="shared" si="41"/>
        <v>Jul</v>
      </c>
      <c r="G227" s="11" t="str">
        <f t="shared" si="42"/>
        <v>Jul'26/27</v>
      </c>
      <c r="H227" s="11" t="str">
        <f t="shared" si="43"/>
        <v>Jul'26/27</v>
      </c>
      <c r="I227" s="11" t="e">
        <f t="shared" si="44"/>
        <v>#N/A</v>
      </c>
      <c r="J227" s="11" t="str">
        <f t="shared" si="38"/>
        <v>Jul'26/27</v>
      </c>
      <c r="K227" s="41" t="e">
        <f>'S4 Arabica'!I227</f>
        <v>#N/A</v>
      </c>
      <c r="L227" s="41" t="e">
        <f>'S5 Robusta'!I227</f>
        <v>#N/A</v>
      </c>
    </row>
    <row r="228" spans="2:12" x14ac:dyDescent="0.55000000000000004">
      <c r="B228" s="11">
        <f t="shared" si="45"/>
        <v>13</v>
      </c>
      <c r="C228" s="11">
        <f t="shared" si="46"/>
        <v>11</v>
      </c>
      <c r="D228" s="12" t="e">
        <f t="shared" si="39"/>
        <v>#N/A</v>
      </c>
      <c r="E228" s="11" t="str">
        <f t="shared" si="40"/>
        <v>26/27</v>
      </c>
      <c r="F228" s="11" t="str">
        <f t="shared" si="41"/>
        <v>Aug</v>
      </c>
      <c r="G228" s="11" t="str">
        <f t="shared" si="42"/>
        <v>Aug'26/27</v>
      </c>
      <c r="H228" s="11" t="str">
        <f t="shared" si="43"/>
        <v>Aug'26/27</v>
      </c>
      <c r="I228" s="11" t="e">
        <f t="shared" si="44"/>
        <v>#N/A</v>
      </c>
      <c r="J228" s="11" t="str">
        <f t="shared" si="38"/>
        <v>Aug'26/27</v>
      </c>
      <c r="K228" s="41" t="e">
        <f>'S4 Arabica'!I228</f>
        <v>#N/A</v>
      </c>
      <c r="L228" s="41" t="e">
        <f>'S5 Robusta'!I228</f>
        <v>#N/A</v>
      </c>
    </row>
    <row r="229" spans="2:12" x14ac:dyDescent="0.55000000000000004">
      <c r="B229" s="11">
        <f t="shared" si="45"/>
        <v>13</v>
      </c>
      <c r="C229" s="11">
        <f t="shared" si="46"/>
        <v>12</v>
      </c>
      <c r="D229" s="12" t="e">
        <f t="shared" si="39"/>
        <v>#N/A</v>
      </c>
      <c r="E229" s="11" t="str">
        <f t="shared" si="40"/>
        <v>26/27</v>
      </c>
      <c r="F229" s="11" t="str">
        <f t="shared" si="41"/>
        <v>Sep</v>
      </c>
      <c r="G229" s="11" t="str">
        <f t="shared" si="42"/>
        <v>Sep'26/27</v>
      </c>
      <c r="H229" s="11" t="str">
        <f t="shared" si="43"/>
        <v>Sep'26/27</v>
      </c>
      <c r="I229" s="11" t="e">
        <f t="shared" si="44"/>
        <v>#N/A</v>
      </c>
      <c r="J229" s="11" t="str">
        <f t="shared" si="38"/>
        <v>Sep'26/27</v>
      </c>
      <c r="K229" s="41" t="e">
        <f>'S4 Arabica'!I229</f>
        <v>#N/A</v>
      </c>
      <c r="L229" s="41" t="e">
        <f>'S5 Robusta'!I229</f>
        <v>#N/A</v>
      </c>
    </row>
  </sheetData>
  <mergeCells count="6">
    <mergeCell ref="C5:N5"/>
    <mergeCell ref="S6:U6"/>
    <mergeCell ref="N74:Y74"/>
    <mergeCell ref="P4:R4"/>
    <mergeCell ref="A1:P2"/>
    <mergeCell ref="Q1:S2"/>
  </mergeCells>
  <conditionalFormatting sqref="C7:N19">
    <cfRule type="cellIs" dxfId="19" priority="1" operator="greaterThanOrEqual">
      <formula>0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{5560A4C6-C079-4508-BDFA-77D1695C0F58}</x14:id>
        </ext>
      </extLst>
    </cfRule>
  </conditionalFormatting>
  <conditionalFormatting sqref="Q17:Q1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{B81C67DC-8FFB-48C7-805E-68426E3188EF}</x14:id>
        </ext>
      </extLst>
    </cfRule>
  </conditionalFormatting>
  <conditionalFormatting sqref="T7:T1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{B0D40804-0CAC-41B8-9A9A-AA778B0F340F}</x14:id>
        </ext>
      </extLst>
    </cfRule>
  </conditionalFormatting>
  <conditionalFormatting sqref="U18:U1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{668E8F5B-0D51-4C6C-A300-A662A0BA695D}</x14:id>
        </ext>
      </extLst>
    </cfRule>
  </conditionalFormatting>
  <pageMargins left="0.7" right="0.7" top="0.75" bottom="0.75" header="0.3" footer="0.3"/>
  <ignoredErrors>
    <ignoredError sqref="E17:N19 C18:D19" evalError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60A4C6-C079-4508-BDFA-77D1695C0F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Q8:Q16</xm:sqref>
        </x14:conditionalFormatting>
        <x14:conditionalFormatting xmlns:xm="http://schemas.microsoft.com/office/excel/2006/main">
          <x14:cfRule type="dataBar" id="{B81C67DC-8FFB-48C7-805E-68426E3188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Q17:Q19</xm:sqref>
        </x14:conditionalFormatting>
        <x14:conditionalFormatting xmlns:xm="http://schemas.microsoft.com/office/excel/2006/main">
          <x14:cfRule type="dataBar" id="{B0D40804-0CAC-41B8-9A9A-AA778B0F34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U8:U17</xm:sqref>
        </x14:conditionalFormatting>
        <x14:conditionalFormatting xmlns:xm="http://schemas.microsoft.com/office/excel/2006/main">
          <x14:cfRule type="dataBar" id="{668E8F5B-0D51-4C6C-A300-A662A0BA69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U18:U19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B25B-381C-4003-95F3-F16ACD9FF0F4}">
  <sheetPr codeName="Sheet17"/>
  <dimension ref="A1:AJ229"/>
  <sheetViews>
    <sheetView showGridLines="0" zoomScale="70" zoomScaleNormal="70" workbookViewId="0">
      <selection sqref="A1:P2"/>
    </sheetView>
  </sheetViews>
  <sheetFormatPr defaultColWidth="8.83984375" defaultRowHeight="14.4" x14ac:dyDescent="0.55000000000000004"/>
  <cols>
    <col min="1" max="8" width="8.83984375" style="11"/>
    <col min="9" max="9" width="14.26171875" style="11" bestFit="1" customWidth="1"/>
    <col min="10" max="16384" width="8.83984375" style="11"/>
  </cols>
  <sheetData>
    <row r="1" spans="1:36" s="17" customFormat="1" ht="25.9" customHeight="1" x14ac:dyDescent="0.55000000000000004">
      <c r="A1" s="73" t="s">
        <v>74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82" t="s">
        <v>76</v>
      </c>
      <c r="R1" s="82"/>
      <c r="S1" s="82"/>
      <c r="T1" s="29"/>
      <c r="U1" s="29"/>
      <c r="V1" s="29"/>
      <c r="W1" s="29"/>
      <c r="X1" s="29"/>
      <c r="Y1" s="29"/>
      <c r="Z1" s="16"/>
      <c r="AA1" s="16"/>
    </row>
    <row r="2" spans="1:36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82"/>
      <c r="R2" s="82"/>
      <c r="S2" s="82"/>
      <c r="T2" s="29"/>
      <c r="U2" s="29"/>
      <c r="V2" s="29"/>
      <c r="W2" s="29"/>
      <c r="X2" s="29"/>
      <c r="Y2" s="29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Oct-Sep</v>
      </c>
    </row>
    <row r="3" spans="1:36" s="15" customFormat="1" ht="3.6" customHeight="1" x14ac:dyDescent="0.55000000000000004"/>
    <row r="4" spans="1:36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  <c r="P4" s="81"/>
      <c r="Q4" s="81"/>
      <c r="R4" s="81"/>
    </row>
    <row r="5" spans="1:36" ht="11.5" customHeight="1" x14ac:dyDescent="0.55000000000000004">
      <c r="B5" s="2"/>
      <c r="C5" s="74" t="str">
        <f>_xlfn.CONCAT(A1," (Monthly)")</f>
        <v>Robusta + Arabica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6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Oct-Sep</v>
      </c>
      <c r="T6" s="75"/>
      <c r="U6" s="75"/>
    </row>
    <row r="7" spans="1:36" x14ac:dyDescent="0.55000000000000004">
      <c r="A7" s="14">
        <v>1</v>
      </c>
      <c r="B7" s="6" t="s">
        <v>15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6" t="s">
        <v>15</v>
      </c>
      <c r="P7" s="20" t="str">
        <f t="shared" ref="P7:P19" si="0">IF(COUNT(C7:N7)=12,SUM(C7:N7),"")</f>
        <v/>
      </c>
      <c r="Q7" s="2"/>
      <c r="R7" s="2"/>
      <c r="S7" s="6" t="s">
        <v>15</v>
      </c>
      <c r="T7" s="20" t="str">
        <f t="shared" ref="T7:T19" ca="1" si="1">IFERROR(IF(SUM(OFFSET(C7,0,0,1,$C$56))=0,"",SUM(OFFSET(C7,0,0,1,$C$56))),"")</f>
        <v/>
      </c>
      <c r="U7" s="2"/>
    </row>
    <row r="8" spans="1:36" x14ac:dyDescent="0.55000000000000004">
      <c r="A8" s="14">
        <v>2</v>
      </c>
      <c r="B8" s="6" t="s">
        <v>16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6" t="s">
        <v>16</v>
      </c>
      <c r="P8" s="20" t="str">
        <f t="shared" si="0"/>
        <v/>
      </c>
      <c r="Q8" s="7" t="str">
        <f t="shared" ref="Q8:Q16" si="2">IFERROR(P8/P7-1,"")</f>
        <v/>
      </c>
      <c r="R8" s="2"/>
      <c r="S8" s="6" t="s">
        <v>16</v>
      </c>
      <c r="T8" s="20" t="str">
        <f t="shared" ca="1" si="1"/>
        <v/>
      </c>
      <c r="U8" s="7" t="str">
        <f t="shared" ref="U8:U17" ca="1" si="3">IFERROR(T8/T7-1,"")</f>
        <v/>
      </c>
      <c r="AI8" s="11" t="s">
        <v>75</v>
      </c>
      <c r="AJ8" s="11">
        <v>0</v>
      </c>
    </row>
    <row r="9" spans="1:36" x14ac:dyDescent="0.55000000000000004">
      <c r="A9" s="14">
        <v>3</v>
      </c>
      <c r="B9" s="6" t="s">
        <v>17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6" t="s">
        <v>17</v>
      </c>
      <c r="P9" s="20" t="str">
        <f t="shared" si="0"/>
        <v/>
      </c>
      <c r="Q9" s="7" t="str">
        <f t="shared" si="2"/>
        <v/>
      </c>
      <c r="R9" s="2"/>
      <c r="S9" s="6" t="s">
        <v>17</v>
      </c>
      <c r="T9" s="20" t="str">
        <f t="shared" ca="1" si="1"/>
        <v/>
      </c>
      <c r="U9" s="7" t="str">
        <f t="shared" ca="1" si="3"/>
        <v/>
      </c>
      <c r="AI9" s="11" t="s">
        <v>76</v>
      </c>
      <c r="AJ9" s="11">
        <v>1</v>
      </c>
    </row>
    <row r="10" spans="1:36" x14ac:dyDescent="0.55000000000000004">
      <c r="A10" s="14">
        <v>4</v>
      </c>
      <c r="B10" s="6" t="s">
        <v>18</v>
      </c>
      <c r="C10" s="23">
        <f>'S4 Arabica'!C10+'S5 Robusta'!C10+Peru!C10</f>
        <v>7532256.5093916673</v>
      </c>
      <c r="D10" s="23">
        <f>'S4 Arabica'!D10+'S5 Robusta'!D10+Peru!D10</f>
        <v>8059784.448640272</v>
      </c>
      <c r="E10" s="23">
        <f>'S4 Arabica'!E10+'S5 Robusta'!E10+Peru!E10</f>
        <v>8991527.9701816682</v>
      </c>
      <c r="F10" s="23">
        <f>'S4 Arabica'!F10+'S5 Robusta'!F10+Peru!F10</f>
        <v>9563631.6676083319</v>
      </c>
      <c r="G10" s="23">
        <f>'S4 Arabica'!G10+'S5 Robusta'!G10+Peru!G10</f>
        <v>8149370.3974333331</v>
      </c>
      <c r="H10" s="23">
        <f>'S4 Arabica'!H10+'S5 Robusta'!H10+Peru!H10</f>
        <v>9112084.6904783323</v>
      </c>
      <c r="I10" s="23">
        <f>'S4 Arabica'!I10+'S5 Robusta'!I10+Peru!I10</f>
        <v>8082163.6946383333</v>
      </c>
      <c r="J10" s="23">
        <f>'S4 Arabica'!J10+'S5 Robusta'!J10+Peru!J10</f>
        <v>7517139.8898583334</v>
      </c>
      <c r="K10" s="23">
        <f>'S4 Arabica'!K10+'S5 Robusta'!K10+Peru!K10</f>
        <v>8269842.4309366671</v>
      </c>
      <c r="L10" s="23">
        <f>'S4 Arabica'!L10+'S5 Robusta'!L10+Peru!L10</f>
        <v>7836038.2810966661</v>
      </c>
      <c r="M10" s="23">
        <f>'S4 Arabica'!M10+'S5 Robusta'!M10+Peru!M10</f>
        <v>8888052.4826166667</v>
      </c>
      <c r="N10" s="23">
        <f>'S4 Arabica'!N10+'S5 Robusta'!N10+Peru!N10</f>
        <v>8309802.1889200006</v>
      </c>
      <c r="O10" s="6" t="s">
        <v>18</v>
      </c>
      <c r="P10" s="20">
        <f t="shared" si="0"/>
        <v>100311694.65180027</v>
      </c>
      <c r="Q10" s="7" t="str">
        <f t="shared" si="2"/>
        <v/>
      </c>
      <c r="R10" s="2"/>
      <c r="S10" s="6" t="s">
        <v>18</v>
      </c>
      <c r="T10" s="20">
        <f t="shared" ca="1" si="1"/>
        <v>100311694.65180027</v>
      </c>
      <c r="U10" s="7" t="str">
        <f t="shared" ca="1" si="3"/>
        <v/>
      </c>
    </row>
    <row r="11" spans="1:36" x14ac:dyDescent="0.55000000000000004">
      <c r="A11" s="14">
        <v>5</v>
      </c>
      <c r="B11" s="6" t="s">
        <v>19</v>
      </c>
      <c r="C11" s="23">
        <f>'S4 Arabica'!C11+'S5 Robusta'!C11+Peru!C11</f>
        <v>9312780.5264833346</v>
      </c>
      <c r="D11" s="23">
        <f>'S4 Arabica'!D11+'S5 Robusta'!D11+Peru!D11</f>
        <v>9561900.3207583334</v>
      </c>
      <c r="E11" s="23">
        <f>'S4 Arabica'!E11+'S5 Robusta'!E11+Peru!E11</f>
        <v>9699868.7762883343</v>
      </c>
      <c r="F11" s="23">
        <f>'S4 Arabica'!F11+'S5 Robusta'!F11+Peru!F11</f>
        <v>10204785.078678332</v>
      </c>
      <c r="G11" s="23">
        <f>'S4 Arabica'!G11+'S5 Robusta'!G11+Peru!G11</f>
        <v>8829576.4648400005</v>
      </c>
      <c r="H11" s="23">
        <f>'S4 Arabica'!H11+'S5 Robusta'!H11+Peru!H11</f>
        <v>9280829.6873550005</v>
      </c>
      <c r="I11" s="23">
        <f>'S4 Arabica'!I11+'S5 Robusta'!I11+Peru!I11</f>
        <v>8639189.4988299999</v>
      </c>
      <c r="J11" s="23">
        <f>'S4 Arabica'!J11+'S5 Robusta'!J11+Peru!J11</f>
        <v>9447737.6715066675</v>
      </c>
      <c r="K11" s="23">
        <f>'S4 Arabica'!K11+'S5 Robusta'!K11+Peru!K11</f>
        <v>8785759.9154233336</v>
      </c>
      <c r="L11" s="23">
        <f>'S4 Arabica'!L11+'S5 Robusta'!L11+Peru!L11</f>
        <v>9205122.7873883322</v>
      </c>
      <c r="M11" s="23">
        <f>'S4 Arabica'!M11+'S5 Robusta'!M11+Peru!M11</f>
        <v>8903015.708126666</v>
      </c>
      <c r="N11" s="23">
        <f>'S4 Arabica'!N11+'S5 Robusta'!N11+Peru!N11</f>
        <v>8490472.5624050014</v>
      </c>
      <c r="O11" s="6" t="s">
        <v>19</v>
      </c>
      <c r="P11" s="20">
        <f t="shared" si="0"/>
        <v>110361038.99808334</v>
      </c>
      <c r="Q11" s="7">
        <f t="shared" si="2"/>
        <v>0.10018118406997423</v>
      </c>
      <c r="R11" s="2"/>
      <c r="S11" s="6" t="s">
        <v>19</v>
      </c>
      <c r="T11" s="20">
        <f t="shared" ca="1" si="1"/>
        <v>110361038.99808334</v>
      </c>
      <c r="U11" s="7">
        <f t="shared" ca="1" si="3"/>
        <v>0.10018118406997423</v>
      </c>
    </row>
    <row r="12" spans="1:36" x14ac:dyDescent="0.55000000000000004">
      <c r="A12" s="14">
        <v>6</v>
      </c>
      <c r="B12" s="6" t="s">
        <v>20</v>
      </c>
      <c r="C12" s="23">
        <f>'S4 Arabica'!C12+'S5 Robusta'!C12+Peru!C12</f>
        <v>8683914.7794200014</v>
      </c>
      <c r="D12" s="23">
        <f>'S4 Arabica'!D12+'S5 Robusta'!D12+Peru!D12</f>
        <v>8582434.7490716688</v>
      </c>
      <c r="E12" s="23">
        <f>'S4 Arabica'!E12+'S5 Robusta'!E12+Peru!E12</f>
        <v>9584164.3454566672</v>
      </c>
      <c r="F12" s="23">
        <f>'S4 Arabica'!F12+'S5 Robusta'!F12+Peru!F12</f>
        <v>9132495.4449866675</v>
      </c>
      <c r="G12" s="23">
        <f>'S4 Arabica'!G12+'S5 Robusta'!G12+Peru!G12</f>
        <v>9365572.9198666681</v>
      </c>
      <c r="H12" s="23">
        <f>'S4 Arabica'!H12+'S5 Robusta'!H12+Peru!H12</f>
        <v>9927214.739308333</v>
      </c>
      <c r="I12" s="23">
        <f>'S4 Arabica'!I12+'S5 Robusta'!I12+Peru!I12</f>
        <v>8837208.8606500011</v>
      </c>
      <c r="J12" s="23">
        <f>'S4 Arabica'!J12+'S5 Robusta'!J12+Peru!J12</f>
        <v>8232623.6060000006</v>
      </c>
      <c r="K12" s="23">
        <f>'S4 Arabica'!K12+'S5 Robusta'!K12+Peru!K12</f>
        <v>8200382.9766400009</v>
      </c>
      <c r="L12" s="23">
        <f>'S4 Arabica'!L12+'S5 Robusta'!L12+Peru!L12</f>
        <v>8285684.6537250001</v>
      </c>
      <c r="M12" s="23">
        <f>'S4 Arabica'!M12+'S5 Robusta'!M12+Peru!M12</f>
        <v>8438658.1590916663</v>
      </c>
      <c r="N12" s="23">
        <f>'S4 Arabica'!N12+'S5 Robusta'!N12+Peru!N12</f>
        <v>8894662.7276816666</v>
      </c>
      <c r="O12" s="6" t="s">
        <v>20</v>
      </c>
      <c r="P12" s="20">
        <f t="shared" si="0"/>
        <v>106165017.96189834</v>
      </c>
      <c r="Q12" s="7">
        <f t="shared" si="2"/>
        <v>-3.8020854771563584E-2</v>
      </c>
      <c r="R12" s="2"/>
      <c r="S12" s="6" t="s">
        <v>20</v>
      </c>
      <c r="T12" s="20">
        <f t="shared" ca="1" si="1"/>
        <v>106165017.96189834</v>
      </c>
      <c r="U12" s="7">
        <f t="shared" ca="1" si="3"/>
        <v>-3.8020854771563584E-2</v>
      </c>
      <c r="AI12" s="11">
        <f>_xlfn.XLOOKUP(Q1,$AI$8:$AI$9,AJ8:AJ9)</f>
        <v>1</v>
      </c>
    </row>
    <row r="13" spans="1:36" x14ac:dyDescent="0.55000000000000004">
      <c r="A13" s="14">
        <v>7</v>
      </c>
      <c r="B13" s="6" t="s">
        <v>21</v>
      </c>
      <c r="C13" s="23">
        <f>'S4 Arabica'!C13+'S5 Robusta'!C13+Peru!C13</f>
        <v>8868913.0515083335</v>
      </c>
      <c r="D13" s="23">
        <f>'S4 Arabica'!D13+'S5 Robusta'!D13+Peru!D13</f>
        <v>9379553.7363699991</v>
      </c>
      <c r="E13" s="23">
        <f>'S4 Arabica'!E13+'S5 Robusta'!E13+Peru!E13</f>
        <v>10183492.560501665</v>
      </c>
      <c r="F13" s="23">
        <f>'S4 Arabica'!F13+'S5 Robusta'!F13+Peru!F13</f>
        <v>9453931.9417499993</v>
      </c>
      <c r="G13" s="23">
        <f>'S4 Arabica'!G13+'S5 Robusta'!G13+Peru!G13</f>
        <v>9435594.9918466657</v>
      </c>
      <c r="H13" s="23">
        <f>'S4 Arabica'!H13+'S5 Robusta'!H13+Peru!H13</f>
        <v>10369730.646308333</v>
      </c>
      <c r="I13" s="23">
        <f>'S4 Arabica'!I13+'S5 Robusta'!I13+Peru!I13</f>
        <v>9226661.4845583327</v>
      </c>
      <c r="J13" s="23">
        <f>'S4 Arabica'!J13+'S5 Robusta'!J13+Peru!J13</f>
        <v>8081572.8680766672</v>
      </c>
      <c r="K13" s="23">
        <f>'S4 Arabica'!K13+'S5 Robusta'!K13+Peru!K13</f>
        <v>8948562.804303335</v>
      </c>
      <c r="L13" s="23">
        <f>'S4 Arabica'!L13+'S5 Robusta'!L13+Peru!L13</f>
        <v>8804921.729065001</v>
      </c>
      <c r="M13" s="23">
        <f>'S4 Arabica'!M13+'S5 Robusta'!M13+Peru!M13</f>
        <v>8391953.8500716686</v>
      </c>
      <c r="N13" s="23">
        <f>'S4 Arabica'!N13+'S5 Robusta'!N13+Peru!N13</f>
        <v>8629896.7056850009</v>
      </c>
      <c r="O13" s="6" t="s">
        <v>21</v>
      </c>
      <c r="P13" s="20">
        <f t="shared" si="0"/>
        <v>109774786.37004501</v>
      </c>
      <c r="Q13" s="7">
        <f t="shared" si="2"/>
        <v>3.4001486341218135E-2</v>
      </c>
      <c r="R13" s="2"/>
      <c r="S13" s="6" t="s">
        <v>21</v>
      </c>
      <c r="T13" s="20">
        <f t="shared" ca="1" si="1"/>
        <v>109774786.37004501</v>
      </c>
      <c r="U13" s="7">
        <f t="shared" ca="1" si="3"/>
        <v>3.4001486341218135E-2</v>
      </c>
    </row>
    <row r="14" spans="1:36" x14ac:dyDescent="0.55000000000000004">
      <c r="A14" s="14">
        <v>8</v>
      </c>
      <c r="B14" s="6" t="s">
        <v>22</v>
      </c>
      <c r="C14" s="23">
        <f>'S4 Arabica'!C14+'S5 Robusta'!C14+Peru!C14</f>
        <v>8682954.3866033331</v>
      </c>
      <c r="D14" s="23">
        <f>'S4 Arabica'!D14+'S5 Robusta'!D14+Peru!D14</f>
        <v>8725620.277123332</v>
      </c>
      <c r="E14" s="23">
        <f>'S4 Arabica'!E14+'S5 Robusta'!E14+Peru!E14</f>
        <v>10596655.251703333</v>
      </c>
      <c r="F14" s="23">
        <f>'S4 Arabica'!F14+'S5 Robusta'!F14+Peru!F14</f>
        <v>10945405.364991667</v>
      </c>
      <c r="G14" s="23">
        <f>'S4 Arabica'!G14+'S5 Robusta'!G14+Peru!G14</f>
        <v>9289449.4602016658</v>
      </c>
      <c r="H14" s="23">
        <f>'S4 Arabica'!H14+'S5 Robusta'!H14+Peru!H14</f>
        <v>11034727.429591669</v>
      </c>
      <c r="I14" s="23">
        <f>'S4 Arabica'!I14+'S5 Robusta'!I14+Peru!I14</f>
        <v>8673602.0846550018</v>
      </c>
      <c r="J14" s="23">
        <f>'S4 Arabica'!J14+'S5 Robusta'!J14+Peru!J14</f>
        <v>8568672.42038</v>
      </c>
      <c r="K14" s="23">
        <f>'S4 Arabica'!K14+'S5 Robusta'!K14+Peru!K14</f>
        <v>8903476.6770883333</v>
      </c>
      <c r="L14" s="23">
        <f>'S4 Arabica'!L14+'S5 Robusta'!L14+Peru!L14</f>
        <v>8082680.9091466675</v>
      </c>
      <c r="M14" s="23">
        <f>'S4 Arabica'!M14+'S5 Robusta'!M14+Peru!M14</f>
        <v>8370520.3567933338</v>
      </c>
      <c r="N14" s="23">
        <f>'S4 Arabica'!N14+'S5 Robusta'!N14+Peru!N14</f>
        <v>8420163.7761016656</v>
      </c>
      <c r="O14" s="6" t="s">
        <v>22</v>
      </c>
      <c r="P14" s="20">
        <f t="shared" si="0"/>
        <v>110293928.39437999</v>
      </c>
      <c r="Q14" s="7">
        <f t="shared" si="2"/>
        <v>4.7291554053676688E-3</v>
      </c>
      <c r="R14" s="2"/>
      <c r="S14" s="6" t="s">
        <v>22</v>
      </c>
      <c r="T14" s="20">
        <f t="shared" ca="1" si="1"/>
        <v>110293928.39437999</v>
      </c>
      <c r="U14" s="7">
        <f t="shared" ca="1" si="3"/>
        <v>4.7291554053676688E-3</v>
      </c>
    </row>
    <row r="15" spans="1:36" x14ac:dyDescent="0.55000000000000004">
      <c r="A15" s="14">
        <v>9</v>
      </c>
      <c r="B15" s="6" t="s">
        <v>23</v>
      </c>
      <c r="C15" s="23">
        <f>'S4 Arabica'!C15+'S5 Robusta'!C15+Peru!C15</f>
        <v>8102670.2379316669</v>
      </c>
      <c r="D15" s="23">
        <f>'S4 Arabica'!D15+'S5 Robusta'!D15+Peru!D15</f>
        <v>8908202.6699983347</v>
      </c>
      <c r="E15" s="23">
        <f>'S4 Arabica'!E15+'S5 Robusta'!E15+Peru!E15</f>
        <v>9247922.4839816652</v>
      </c>
      <c r="F15" s="23">
        <f>'S4 Arabica'!F15+'S5 Robusta'!F15+Peru!F15</f>
        <v>8309169.3171172645</v>
      </c>
      <c r="G15" s="23">
        <f>'S4 Arabica'!G15+'S5 Robusta'!G15+Peru!G15</f>
        <v>8131431.9662061539</v>
      </c>
      <c r="H15" s="23">
        <f>'S4 Arabica'!H15+'S5 Robusta'!H15+Peru!H15</f>
        <v>9636946.1915544458</v>
      </c>
      <c r="I15" s="23">
        <f>'S4 Arabica'!I15+'S5 Robusta'!I15+Peru!I15</f>
        <v>8214652.1850111112</v>
      </c>
      <c r="J15" s="23">
        <f>'S4 Arabica'!J15+'S5 Robusta'!J15+Peru!J15</f>
        <v>8268948.8918811949</v>
      </c>
      <c r="K15" s="23">
        <f>'S4 Arabica'!K15+'S5 Robusta'!K15+Peru!K15</f>
        <v>8251092.2658844441</v>
      </c>
      <c r="L15" s="23">
        <f>'S4 Arabica'!L15+'S5 Robusta'!L15+Peru!L15</f>
        <v>8333607.1805334128</v>
      </c>
      <c r="M15" s="23">
        <f>'S4 Arabica'!M15+'S5 Robusta'!M15+Peru!M15</f>
        <v>8602311.3248744439</v>
      </c>
      <c r="N15" s="23">
        <f>'S4 Arabica'!N15+'S5 Robusta'!N15+Peru!N15</f>
        <v>7224401.9092211118</v>
      </c>
      <c r="O15" s="6" t="s">
        <v>23</v>
      </c>
      <c r="P15" s="20">
        <f t="shared" si="0"/>
        <v>101231356.62419525</v>
      </c>
      <c r="Q15" s="7">
        <f t="shared" si="2"/>
        <v>-8.2167458373406888E-2</v>
      </c>
      <c r="R15" s="2"/>
      <c r="S15" s="6" t="s">
        <v>23</v>
      </c>
      <c r="T15" s="20">
        <f t="shared" ca="1" si="1"/>
        <v>101231356.62419525</v>
      </c>
      <c r="U15" s="7">
        <f t="shared" ca="1" si="3"/>
        <v>-8.2167458373406888E-2</v>
      </c>
    </row>
    <row r="16" spans="1:36" x14ac:dyDescent="0.55000000000000004">
      <c r="A16" s="14">
        <v>10</v>
      </c>
      <c r="B16" s="6" t="s">
        <v>24</v>
      </c>
      <c r="C16" s="23">
        <f>'S4 Arabica'!C16+'S5 Robusta'!C16+Peru!C16</f>
        <v>8056758.5103050005</v>
      </c>
      <c r="D16" s="23">
        <f>'S4 Arabica'!D16+'S5 Robusta'!D16+Peru!D16</f>
        <v>9412676.9860616922</v>
      </c>
      <c r="E16" s="23">
        <f>'S4 Arabica'!E16+'S5 Robusta'!E16+Peru!E16</f>
        <v>10344775.480848335</v>
      </c>
      <c r="F16" s="23">
        <f>'S4 Arabica'!F16+'S5 Robusta'!F16+Peru!F16</f>
        <v>10618364.869695</v>
      </c>
      <c r="G16" s="23">
        <f>'S4 Arabica'!G16+'S5 Robusta'!G16+Peru!G16</f>
        <v>9558678.4362444188</v>
      </c>
      <c r="H16" s="23">
        <f>'S4 Arabica'!H16+'S5 Robusta'!H16+Peru!H16</f>
        <v>10763622.779993333</v>
      </c>
      <c r="I16" s="23">
        <f>'S4 Arabica'!I16+'S5 Robusta'!I16+Peru!I16</f>
        <v>9569736.2447983325</v>
      </c>
      <c r="J16" s="23">
        <f>'S4 Arabica'!J16+'S5 Robusta'!J16+Peru!J16</f>
        <v>9420793.4973883331</v>
      </c>
      <c r="K16" s="23">
        <f>'S4 Arabica'!K16+'S5 Robusta'!K16+Peru!K16</f>
        <v>8643934.9872500002</v>
      </c>
      <c r="L16" s="23">
        <f>'S4 Arabica'!L16+'S5 Robusta'!L16+Peru!L16</f>
        <v>9356854.6151016671</v>
      </c>
      <c r="M16" s="23">
        <f>'S4 Arabica'!M16+'S5 Robusta'!M16+Peru!M16</f>
        <v>9136559.094696667</v>
      </c>
      <c r="N16" s="23">
        <f>'S4 Arabica'!N16+'S5 Robusta'!N16+Peru!N16</f>
        <v>9098538.2620916665</v>
      </c>
      <c r="O16" s="6" t="s">
        <v>24</v>
      </c>
      <c r="P16" s="20">
        <f t="shared" si="0"/>
        <v>113981293.76447445</v>
      </c>
      <c r="Q16" s="7">
        <f t="shared" si="2"/>
        <v>0.12594849625112947</v>
      </c>
      <c r="R16" s="2"/>
      <c r="S16" s="6" t="s">
        <v>24</v>
      </c>
      <c r="T16" s="20">
        <f t="shared" ca="1" si="1"/>
        <v>113981293.76447445</v>
      </c>
      <c r="U16" s="7">
        <f t="shared" ca="1" si="3"/>
        <v>0.12594849625112947</v>
      </c>
    </row>
    <row r="17" spans="1:21" x14ac:dyDescent="0.55000000000000004">
      <c r="A17" s="14">
        <v>11</v>
      </c>
      <c r="B17" s="6" t="s">
        <v>25</v>
      </c>
      <c r="C17" s="23">
        <f>'S4 Arabica'!C17+'S5 Robusta'!C17+Peru!C17</f>
        <v>9371220.0583149996</v>
      </c>
      <c r="D17" s="23">
        <f>'S4 Arabica'!D17+'S5 Robusta'!D17+Peru!D17</f>
        <v>8597891.4460866675</v>
      </c>
      <c r="E17" s="23">
        <f>'S4 Arabica'!E17+'S5 Robusta'!E17+Peru!E17</f>
        <v>10108385.550711667</v>
      </c>
      <c r="F17" s="23">
        <f>'S4 Arabica'!F17+'S5 Robusta'!F17+Peru!F17</f>
        <v>9244913.2908616681</v>
      </c>
      <c r="G17" s="23">
        <f>'S4 Arabica'!G17+'S5 Robusta'!G17+Peru!G17</f>
        <v>9870648.5750183314</v>
      </c>
      <c r="H17" s="23">
        <f>'S4 Arabica'!H17+'S5 Robusta'!H17+Peru!H17</f>
        <v>10688058.119809998</v>
      </c>
      <c r="I17" s="23">
        <f>'S4 Arabica'!I17+'S5 Robusta'!I17+Peru!I17</f>
        <v>9452387.3408683334</v>
      </c>
      <c r="J17" s="23">
        <f>'S4 Arabica'!J17+'S5 Robusta'!J17+Peru!J17</f>
        <v>9775990.7815333325</v>
      </c>
      <c r="K17" s="23">
        <f>'S4 Arabica'!K17+'S5 Robusta'!K17+Peru!K17</f>
        <v>9361828.0642416682</v>
      </c>
      <c r="L17" s="23">
        <f>'S4 Arabica'!L17+'S5 Robusta'!L17+Peru!L17</f>
        <v>9263188.3832099997</v>
      </c>
      <c r="M17" s="23">
        <f>'S4 Arabica'!M17+'S5 Robusta'!M17+Peru!M17</f>
        <v>9135478.4728855565</v>
      </c>
      <c r="N17" s="23">
        <f>'S4 Arabica'!N17+'S5 Robusta'!N17+Peru!N17</f>
        <v>9558429.3620770592</v>
      </c>
      <c r="O17" s="6" t="s">
        <v>25</v>
      </c>
      <c r="P17" s="5">
        <f t="shared" si="0"/>
        <v>114428419.44561929</v>
      </c>
      <c r="Q17" s="7"/>
      <c r="R17" s="2"/>
      <c r="S17" s="6" t="s">
        <v>25</v>
      </c>
      <c r="T17" s="20">
        <f t="shared" ca="1" si="1"/>
        <v>114428419.44561929</v>
      </c>
      <c r="U17" s="7">
        <f t="shared" ca="1" si="3"/>
        <v>3.9227987889727256E-3</v>
      </c>
    </row>
    <row r="18" spans="1:21" x14ac:dyDescent="0.55000000000000004">
      <c r="A18" s="14">
        <v>12</v>
      </c>
      <c r="B18" s="6" t="s">
        <v>26</v>
      </c>
      <c r="C18" s="23">
        <f>'S4 Arabica'!C18+'S5 Robusta'!C18+Peru!C18</f>
        <v>9267879.1907850001</v>
      </c>
      <c r="D18" s="23">
        <f>'S4 Arabica'!D18+'S5 Robusta'!D18+Peru!D18</f>
        <v>8871933.2524816673</v>
      </c>
      <c r="E18" s="23">
        <f>'S4 Arabica'!E18+'S5 Robusta'!E18+Peru!E18</f>
        <v>9594239.5027983338</v>
      </c>
      <c r="F18" s="23">
        <f>'S4 Arabica'!F18+'S5 Robusta'!F18+Peru!F18</f>
        <v>9591414</v>
      </c>
      <c r="G18" s="23">
        <f>'S4 Arabica'!G18+'S5 Robusta'!G18+Peru!G18</f>
        <v>8393792.333333334</v>
      </c>
      <c r="H18" s="23">
        <f>'S4 Arabica'!H18+'S5 Robusta'!H18+Peru!H18</f>
        <v>9569299.333333334</v>
      </c>
      <c r="I18" s="23">
        <f>'S4 Arabica'!I18+'S5 Robusta'!I18+Peru!I18</f>
        <v>9619436</v>
      </c>
      <c r="J18" s="23" t="e">
        <f>'S4 Arabica'!J18+'S5 Robusta'!J18+Peru!J18</f>
        <v>#N/A</v>
      </c>
      <c r="K18" s="23" t="e">
        <f>'S4 Arabica'!K18+'S5 Robusta'!K18+Peru!K18</f>
        <v>#N/A</v>
      </c>
      <c r="L18" s="23" t="e">
        <f>'S4 Arabica'!L18+'S5 Robusta'!L18+Peru!L18</f>
        <v>#N/A</v>
      </c>
      <c r="M18" s="23" t="e">
        <f>'S4 Arabica'!M18+'S5 Robusta'!M18+Peru!M18</f>
        <v>#N/A</v>
      </c>
      <c r="N18" s="23" t="e">
        <f>'S4 Arabica'!N18+'S5 Robusta'!N18+Peru!N18</f>
        <v>#N/A</v>
      </c>
      <c r="O18" s="6" t="s">
        <v>26</v>
      </c>
      <c r="P18" s="5" t="str">
        <f t="shared" si="0"/>
        <v/>
      </c>
      <c r="Q18" s="7"/>
      <c r="R18" s="2"/>
      <c r="S18" s="6" t="s">
        <v>26</v>
      </c>
      <c r="T18" s="20" t="str">
        <f t="shared" ca="1" si="1"/>
        <v/>
      </c>
      <c r="U18" s="7"/>
    </row>
    <row r="19" spans="1:21" x14ac:dyDescent="0.55000000000000004">
      <c r="A19" s="14">
        <v>13</v>
      </c>
      <c r="B19" s="6" t="s">
        <v>27</v>
      </c>
      <c r="C19" s="23" t="e">
        <f>'S4 Arabica'!C19+'S5 Robusta'!C19+Peru!C19</f>
        <v>#N/A</v>
      </c>
      <c r="D19" s="23" t="e">
        <f>'S4 Arabica'!D19+'S5 Robusta'!D19+Peru!D19</f>
        <v>#N/A</v>
      </c>
      <c r="E19" s="23" t="e">
        <f>'S4 Arabica'!E19+'S5 Robusta'!E19+Peru!E19</f>
        <v>#N/A</v>
      </c>
      <c r="F19" s="23" t="e">
        <f>'S4 Arabica'!F19+'S5 Robusta'!F19+Peru!F19</f>
        <v>#N/A</v>
      </c>
      <c r="G19" s="23" t="e">
        <f>'S4 Arabica'!G19+'S5 Robusta'!G19+Peru!G19</f>
        <v>#N/A</v>
      </c>
      <c r="H19" s="23" t="e">
        <f>'S4 Arabica'!H19+'S5 Robusta'!H19+Peru!H19</f>
        <v>#N/A</v>
      </c>
      <c r="I19" s="23" t="e">
        <f>'S4 Arabica'!I19+'S5 Robusta'!I19+Peru!I19</f>
        <v>#N/A</v>
      </c>
      <c r="J19" s="23" t="e">
        <f>'S4 Arabica'!J19+'S5 Robusta'!J19+Peru!J19</f>
        <v>#N/A</v>
      </c>
      <c r="K19" s="23" t="e">
        <f>'S4 Arabica'!K19+'S5 Robusta'!K19+Peru!K19</f>
        <v>#N/A</v>
      </c>
      <c r="L19" s="23" t="e">
        <f>'S4 Arabica'!L19+'S5 Robusta'!L19+Peru!L19</f>
        <v>#N/A</v>
      </c>
      <c r="M19" s="23" t="e">
        <f>'S4 Arabica'!M19+'S5 Robusta'!M19+Peru!M19</f>
        <v>#N/A</v>
      </c>
      <c r="N19" s="23" t="e">
        <f>'S4 Arabica'!N19+'S5 Robusta'!N19+Peru!N19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t="shared" ca="1" si="1"/>
        <v/>
      </c>
      <c r="U19" s="7"/>
    </row>
    <row r="20" spans="1:21" x14ac:dyDescent="0.55000000000000004">
      <c r="B20" s="8" t="s">
        <v>28</v>
      </c>
      <c r="C20" s="22">
        <f>IFERROR(C17/C16-1,"")</f>
        <v>0.1631501734014662</v>
      </c>
      <c r="D20" s="22">
        <f t="shared" ref="D20:N20" si="4">IFERROR(D17/D16-1,"")</f>
        <v>-8.6562573132123899E-2</v>
      </c>
      <c r="E20" s="22">
        <f t="shared" si="4"/>
        <v>-2.2851141677681208E-2</v>
      </c>
      <c r="F20" s="22">
        <f t="shared" si="4"/>
        <v>-0.12934680581124003</v>
      </c>
      <c r="G20" s="22">
        <f t="shared" si="4"/>
        <v>3.2637371458275055E-2</v>
      </c>
      <c r="H20" s="22">
        <f t="shared" si="4"/>
        <v>-7.0203742483235798E-3</v>
      </c>
      <c r="I20" s="22">
        <f t="shared" si="4"/>
        <v>-1.2262501382290902E-2</v>
      </c>
      <c r="J20" s="22">
        <f t="shared" si="4"/>
        <v>3.7703542089471354E-2</v>
      </c>
      <c r="K20" s="22">
        <f t="shared" si="4"/>
        <v>8.3051651597400467E-2</v>
      </c>
      <c r="L20" s="22">
        <f t="shared" si="4"/>
        <v>-1.0010440019073585E-2</v>
      </c>
      <c r="M20" s="22">
        <f t="shared" si="4"/>
        <v>-1.1827448385226536E-4</v>
      </c>
      <c r="N20" s="22">
        <f t="shared" si="4"/>
        <v>5.054560268230035E-2</v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Robusta + Arabica Exports | YTD : Oct-Sep</v>
      </c>
      <c r="Q27" s="13" t="str">
        <f>_xlfn.CONCAT(A1," | ","Cumulative")</f>
        <v>Robusta + Arabica Exports | Cumulative</v>
      </c>
    </row>
    <row r="56" spans="2:6" x14ac:dyDescent="0.55000000000000004">
      <c r="B56" s="9" t="s">
        <v>29</v>
      </c>
      <c r="C56" s="9">
        <f>COUNT(C17:N17)</f>
        <v>12</v>
      </c>
      <c r="D56" s="25" t="str">
        <f ca="1">OFFSET(B6,0,$C$56,1,1)</f>
        <v>Sep</v>
      </c>
      <c r="E56" s="11" t="str">
        <f>B17</f>
        <v>24/25</v>
      </c>
      <c r="F56" s="11" t="str">
        <f ca="1">_xlfn.CONCAT(D56,"'",E56)</f>
        <v>Sep'24/25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 t="shared" ref="A66:M66" si="5">B17</f>
        <v>24/25</v>
      </c>
      <c r="B66" s="12">
        <f t="shared" si="5"/>
        <v>9371220.0583149996</v>
      </c>
      <c r="C66" s="12">
        <f t="shared" si="5"/>
        <v>8597891.4460866675</v>
      </c>
      <c r="D66" s="12">
        <f t="shared" si="5"/>
        <v>10108385.550711667</v>
      </c>
      <c r="E66" s="12">
        <f t="shared" si="5"/>
        <v>9244913.2908616681</v>
      </c>
      <c r="F66" s="12">
        <f t="shared" si="5"/>
        <v>9870648.5750183314</v>
      </c>
      <c r="G66" s="12">
        <f t="shared" si="5"/>
        <v>10688058.119809998</v>
      </c>
      <c r="H66" s="12">
        <f t="shared" si="5"/>
        <v>9452387.3408683334</v>
      </c>
      <c r="I66" s="12">
        <f t="shared" si="5"/>
        <v>9775990.7815333325</v>
      </c>
      <c r="J66" s="12">
        <f t="shared" si="5"/>
        <v>9361828.0642416682</v>
      </c>
      <c r="K66" s="12">
        <f t="shared" si="5"/>
        <v>9263188.3832099997</v>
      </c>
      <c r="L66" s="12">
        <f t="shared" si="5"/>
        <v>9135478.4728855565</v>
      </c>
      <c r="M66" s="12">
        <f t="shared" si="5"/>
        <v>9558429.3620770592</v>
      </c>
    </row>
    <row r="67" spans="1:25" x14ac:dyDescent="0.55000000000000004">
      <c r="A67" s="11" t="s">
        <v>30</v>
      </c>
      <c r="B67" s="12">
        <f t="shared" ref="B67:M67" si="6">MIN(C7:C16)</f>
        <v>7532256.5093916673</v>
      </c>
      <c r="C67" s="12">
        <f t="shared" si="6"/>
        <v>8059784.448640272</v>
      </c>
      <c r="D67" s="12">
        <f t="shared" si="6"/>
        <v>8991527.9701816682</v>
      </c>
      <c r="E67" s="12">
        <f t="shared" si="6"/>
        <v>8309169.3171172645</v>
      </c>
      <c r="F67" s="12">
        <f t="shared" si="6"/>
        <v>8131431.9662061539</v>
      </c>
      <c r="G67" s="12">
        <f t="shared" si="6"/>
        <v>9112084.6904783323</v>
      </c>
      <c r="H67" s="12">
        <f t="shared" si="6"/>
        <v>8082163.6946383333</v>
      </c>
      <c r="I67" s="12">
        <f t="shared" si="6"/>
        <v>7517139.8898583334</v>
      </c>
      <c r="J67" s="12">
        <f t="shared" si="6"/>
        <v>8200382.9766400009</v>
      </c>
      <c r="K67" s="12">
        <f t="shared" si="6"/>
        <v>7836038.2810966661</v>
      </c>
      <c r="L67" s="12">
        <f t="shared" si="6"/>
        <v>8370520.3567933338</v>
      </c>
      <c r="M67" s="12">
        <f t="shared" si="6"/>
        <v>7224401.9092211118</v>
      </c>
      <c r="N67" s="12"/>
    </row>
    <row r="68" spans="1:25" x14ac:dyDescent="0.55000000000000004">
      <c r="A68" s="11" t="s">
        <v>31</v>
      </c>
      <c r="B68" s="12">
        <f t="shared" ref="B68:M68" si="7">MAX(C7:C16)</f>
        <v>9312780.5264833346</v>
      </c>
      <c r="C68" s="12">
        <f t="shared" si="7"/>
        <v>9561900.3207583334</v>
      </c>
      <c r="D68" s="12">
        <f t="shared" si="7"/>
        <v>10596655.251703333</v>
      </c>
      <c r="E68" s="12">
        <f t="shared" si="7"/>
        <v>10945405.364991667</v>
      </c>
      <c r="F68" s="12">
        <f t="shared" si="7"/>
        <v>9558678.4362444188</v>
      </c>
      <c r="G68" s="12">
        <f t="shared" si="7"/>
        <v>11034727.429591669</v>
      </c>
      <c r="H68" s="12">
        <f t="shared" si="7"/>
        <v>9569736.2447983325</v>
      </c>
      <c r="I68" s="12">
        <f t="shared" si="7"/>
        <v>9447737.6715066675</v>
      </c>
      <c r="J68" s="12">
        <f t="shared" si="7"/>
        <v>8948562.804303335</v>
      </c>
      <c r="K68" s="12">
        <f t="shared" si="7"/>
        <v>9356854.6151016671</v>
      </c>
      <c r="L68" s="12">
        <f t="shared" si="7"/>
        <v>9136559.094696667</v>
      </c>
      <c r="M68" s="12">
        <f t="shared" si="7"/>
        <v>9098538.2620916665</v>
      </c>
      <c r="N68" s="12"/>
    </row>
    <row r="69" spans="1:25" x14ac:dyDescent="0.55000000000000004">
      <c r="A69" s="11" t="s">
        <v>32</v>
      </c>
      <c r="B69" s="12">
        <f>AVERAGE(C13:C17)</f>
        <v>8616503.2489326671</v>
      </c>
      <c r="C69" s="12">
        <f t="shared" ref="C69:M69" si="8">AVERAGE(D13:D17)</f>
        <v>9004789.0231280047</v>
      </c>
      <c r="D69" s="12">
        <f t="shared" si="8"/>
        <v>10096246.265549334</v>
      </c>
      <c r="E69" s="12">
        <f t="shared" si="8"/>
        <v>9714356.9568831194</v>
      </c>
      <c r="F69" s="12">
        <f t="shared" si="8"/>
        <v>9257160.6859034486</v>
      </c>
      <c r="G69" s="12">
        <f t="shared" si="8"/>
        <v>10498617.033451557</v>
      </c>
      <c r="H69" s="12">
        <f t="shared" si="8"/>
        <v>9027407.8679782227</v>
      </c>
      <c r="I69" s="12">
        <f t="shared" si="8"/>
        <v>8823195.6918519046</v>
      </c>
      <c r="J69" s="12">
        <f t="shared" si="8"/>
        <v>8821778.9597535562</v>
      </c>
      <c r="K69" s="12">
        <f t="shared" si="8"/>
        <v>8768250.5634113494</v>
      </c>
      <c r="L69" s="12">
        <f t="shared" si="8"/>
        <v>8727364.6198643334</v>
      </c>
      <c r="M69" s="12">
        <f t="shared" si="8"/>
        <v>8586286.0030353013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0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9">INDEX($C$7:$N$19,MATCH(B75,$A$7:$A$19),MATCH(C75,$C$4:$N$4))</f>
        <v>0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9"/>
        <v>0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>
        <f>C7</f>
        <v>0</v>
      </c>
      <c r="O76" s="5">
        <f t="shared" ref="O76:Y88" si="13">N76+D7</f>
        <v>0</v>
      </c>
      <c r="P76" s="5">
        <f t="shared" si="13"/>
        <v>0</v>
      </c>
      <c r="Q76" s="5">
        <f t="shared" si="13"/>
        <v>0</v>
      </c>
      <c r="R76" s="5">
        <f t="shared" si="13"/>
        <v>0</v>
      </c>
      <c r="S76" s="5">
        <f t="shared" si="13"/>
        <v>0</v>
      </c>
      <c r="T76" s="5">
        <f t="shared" si="13"/>
        <v>0</v>
      </c>
      <c r="U76" s="5">
        <f t="shared" si="13"/>
        <v>0</v>
      </c>
      <c r="V76" s="5">
        <f t="shared" si="13"/>
        <v>0</v>
      </c>
      <c r="W76" s="5">
        <f t="shared" si="13"/>
        <v>0</v>
      </c>
      <c r="X76" s="5">
        <f t="shared" si="13"/>
        <v>0</v>
      </c>
      <c r="Y76" s="5">
        <f t="shared" si="13"/>
        <v>0</v>
      </c>
    </row>
    <row r="77" spans="1:25" x14ac:dyDescent="0.55000000000000004">
      <c r="B77" s="11">
        <v>1</v>
      </c>
      <c r="C77" s="11">
        <v>4</v>
      </c>
      <c r="D77" s="12">
        <f t="shared" si="9"/>
        <v>0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14">C8</f>
        <v>0</v>
      </c>
      <c r="O77" s="5">
        <f t="shared" si="13"/>
        <v>0</v>
      </c>
      <c r="P77" s="5">
        <f t="shared" si="13"/>
        <v>0</v>
      </c>
      <c r="Q77" s="5">
        <f t="shared" si="13"/>
        <v>0</v>
      </c>
      <c r="R77" s="5">
        <f t="shared" si="13"/>
        <v>0</v>
      </c>
      <c r="S77" s="5">
        <f t="shared" si="13"/>
        <v>0</v>
      </c>
      <c r="T77" s="5">
        <f t="shared" si="13"/>
        <v>0</v>
      </c>
      <c r="U77" s="5">
        <f t="shared" si="13"/>
        <v>0</v>
      </c>
      <c r="V77" s="5">
        <f t="shared" si="13"/>
        <v>0</v>
      </c>
      <c r="W77" s="5">
        <f t="shared" si="13"/>
        <v>0</v>
      </c>
      <c r="X77" s="5">
        <f t="shared" si="13"/>
        <v>0</v>
      </c>
      <c r="Y77" s="5">
        <f t="shared" si="13"/>
        <v>0</v>
      </c>
    </row>
    <row r="78" spans="1:25" x14ac:dyDescent="0.55000000000000004">
      <c r="B78" s="11">
        <v>1</v>
      </c>
      <c r="C78" s="11">
        <v>5</v>
      </c>
      <c r="D78" s="12">
        <f t="shared" si="9"/>
        <v>0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14"/>
        <v>0</v>
      </c>
      <c r="O78" s="5">
        <f t="shared" si="13"/>
        <v>0</v>
      </c>
      <c r="P78" s="5">
        <f t="shared" si="13"/>
        <v>0</v>
      </c>
      <c r="Q78" s="5">
        <f t="shared" si="13"/>
        <v>0</v>
      </c>
      <c r="R78" s="5">
        <f t="shared" si="13"/>
        <v>0</v>
      </c>
      <c r="S78" s="5">
        <f t="shared" si="13"/>
        <v>0</v>
      </c>
      <c r="T78" s="5">
        <f t="shared" si="13"/>
        <v>0</v>
      </c>
      <c r="U78" s="5">
        <f t="shared" si="13"/>
        <v>0</v>
      </c>
      <c r="V78" s="5">
        <f t="shared" si="13"/>
        <v>0</v>
      </c>
      <c r="W78" s="5">
        <f t="shared" si="13"/>
        <v>0</v>
      </c>
      <c r="X78" s="5">
        <f t="shared" si="13"/>
        <v>0</v>
      </c>
      <c r="Y78" s="5">
        <f t="shared" si="13"/>
        <v>0</v>
      </c>
    </row>
    <row r="79" spans="1:25" x14ac:dyDescent="0.55000000000000004">
      <c r="B79" s="11">
        <v>1</v>
      </c>
      <c r="C79" s="11">
        <v>6</v>
      </c>
      <c r="D79" s="12">
        <f t="shared" si="9"/>
        <v>0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14"/>
        <v>7532256.5093916673</v>
      </c>
      <c r="O79" s="5">
        <f t="shared" si="13"/>
        <v>15592040.958031939</v>
      </c>
      <c r="P79" s="5">
        <f t="shared" si="13"/>
        <v>24583568.928213608</v>
      </c>
      <c r="Q79" s="5">
        <f t="shared" si="13"/>
        <v>34147200.595821939</v>
      </c>
      <c r="R79" s="5">
        <f t="shared" si="13"/>
        <v>42296570.993255273</v>
      </c>
      <c r="S79" s="5">
        <f t="shared" si="13"/>
        <v>51408655.683733605</v>
      </c>
      <c r="T79" s="5">
        <f t="shared" si="13"/>
        <v>59490819.378371939</v>
      </c>
      <c r="U79" s="5">
        <f t="shared" si="13"/>
        <v>67007959.268230274</v>
      </c>
      <c r="V79" s="5">
        <f t="shared" si="13"/>
        <v>75277801.699166939</v>
      </c>
      <c r="W79" s="5">
        <f t="shared" si="13"/>
        <v>83113839.980263606</v>
      </c>
      <c r="X79" s="5">
        <f t="shared" si="13"/>
        <v>92001892.462880269</v>
      </c>
      <c r="Y79" s="5">
        <f t="shared" si="13"/>
        <v>100311694.65180027</v>
      </c>
    </row>
    <row r="80" spans="1:25" x14ac:dyDescent="0.55000000000000004">
      <c r="B80" s="11">
        <v>1</v>
      </c>
      <c r="C80" s="11">
        <v>7</v>
      </c>
      <c r="D80" s="12">
        <f t="shared" si="9"/>
        <v>0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14"/>
        <v>9312780.5264833346</v>
      </c>
      <c r="O80" s="5">
        <f t="shared" si="13"/>
        <v>18874680.84724167</v>
      </c>
      <c r="P80" s="5">
        <f t="shared" si="13"/>
        <v>28574549.623530004</v>
      </c>
      <c r="Q80" s="5">
        <f t="shared" si="13"/>
        <v>38779334.70220834</v>
      </c>
      <c r="R80" s="5">
        <f t="shared" si="13"/>
        <v>47608911.167048343</v>
      </c>
      <c r="S80" s="5">
        <f t="shared" si="13"/>
        <v>56889740.854403347</v>
      </c>
      <c r="T80" s="5">
        <f t="shared" si="13"/>
        <v>65528930.353233345</v>
      </c>
      <c r="U80" s="5">
        <f t="shared" si="13"/>
        <v>74976668.02474001</v>
      </c>
      <c r="V80" s="5">
        <f t="shared" si="13"/>
        <v>83762427.940163344</v>
      </c>
      <c r="W80" s="5">
        <f t="shared" si="13"/>
        <v>92967550.727551669</v>
      </c>
      <c r="X80" s="5">
        <f t="shared" si="13"/>
        <v>101870566.43567833</v>
      </c>
      <c r="Y80" s="5">
        <f t="shared" si="13"/>
        <v>110361038.99808334</v>
      </c>
    </row>
    <row r="81" spans="2:25" x14ac:dyDescent="0.55000000000000004">
      <c r="B81" s="11">
        <v>1</v>
      </c>
      <c r="C81" s="11">
        <v>8</v>
      </c>
      <c r="D81" s="12">
        <f t="shared" si="9"/>
        <v>0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14"/>
        <v>8683914.7794200014</v>
      </c>
      <c r="O81" s="5">
        <f t="shared" si="13"/>
        <v>17266349.528491668</v>
      </c>
      <c r="P81" s="5">
        <f t="shared" si="13"/>
        <v>26850513.873948336</v>
      </c>
      <c r="Q81" s="5">
        <f t="shared" si="13"/>
        <v>35983009.318935007</v>
      </c>
      <c r="R81" s="5">
        <f t="shared" si="13"/>
        <v>45348582.238801673</v>
      </c>
      <c r="S81" s="5">
        <f t="shared" si="13"/>
        <v>55275796.978110008</v>
      </c>
      <c r="T81" s="5">
        <f t="shared" si="13"/>
        <v>64113005.838760011</v>
      </c>
      <c r="U81" s="5">
        <f t="shared" si="13"/>
        <v>72345629.44476001</v>
      </c>
      <c r="V81" s="5">
        <f t="shared" si="13"/>
        <v>80546012.421400011</v>
      </c>
      <c r="W81" s="5">
        <f t="shared" si="13"/>
        <v>88831697.075125009</v>
      </c>
      <c r="X81" s="5">
        <f t="shared" si="13"/>
        <v>97270355.234216675</v>
      </c>
      <c r="Y81" s="5">
        <f t="shared" si="13"/>
        <v>106165017.96189834</v>
      </c>
    </row>
    <row r="82" spans="2:25" x14ac:dyDescent="0.55000000000000004">
      <c r="B82" s="11">
        <v>1</v>
      </c>
      <c r="C82" s="11">
        <v>9</v>
      </c>
      <c r="D82" s="12">
        <f t="shared" si="9"/>
        <v>0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14"/>
        <v>8868913.0515083335</v>
      </c>
      <c r="O82" s="5">
        <f t="shared" si="13"/>
        <v>18248466.787878335</v>
      </c>
      <c r="P82" s="5">
        <f t="shared" si="13"/>
        <v>28431959.348379999</v>
      </c>
      <c r="Q82" s="5">
        <f t="shared" si="13"/>
        <v>37885891.290129997</v>
      </c>
      <c r="R82" s="5">
        <f t="shared" si="13"/>
        <v>47321486.281976663</v>
      </c>
      <c r="S82" s="5">
        <f t="shared" si="13"/>
        <v>57691216.928284995</v>
      </c>
      <c r="T82" s="5">
        <f t="shared" si="13"/>
        <v>66917878.412843332</v>
      </c>
      <c r="U82" s="5">
        <f t="shared" si="13"/>
        <v>74999451.280919999</v>
      </c>
      <c r="V82" s="5">
        <f t="shared" si="13"/>
        <v>83948014.085223332</v>
      </c>
      <c r="W82" s="5">
        <f t="shared" si="13"/>
        <v>92752935.814288333</v>
      </c>
      <c r="X82" s="5">
        <f t="shared" si="13"/>
        <v>101144889.66436</v>
      </c>
      <c r="Y82" s="5">
        <f t="shared" si="13"/>
        <v>109774786.37004501</v>
      </c>
    </row>
    <row r="83" spans="2:25" x14ac:dyDescent="0.55000000000000004">
      <c r="B83" s="11">
        <v>1</v>
      </c>
      <c r="C83" s="11">
        <v>10</v>
      </c>
      <c r="D83" s="12">
        <f t="shared" si="9"/>
        <v>0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14"/>
        <v>8682954.3866033331</v>
      </c>
      <c r="O83" s="5">
        <f t="shared" si="13"/>
        <v>17408574.663726665</v>
      </c>
      <c r="P83" s="5">
        <f t="shared" si="13"/>
        <v>28005229.915429998</v>
      </c>
      <c r="Q83" s="5">
        <f t="shared" si="13"/>
        <v>38950635.280421667</v>
      </c>
      <c r="R83" s="5">
        <f t="shared" si="13"/>
        <v>48240084.740623333</v>
      </c>
      <c r="S83" s="5">
        <f t="shared" si="13"/>
        <v>59274812.170215003</v>
      </c>
      <c r="T83" s="5">
        <f t="shared" si="13"/>
        <v>67948414.254869998</v>
      </c>
      <c r="U83" s="5">
        <f t="shared" si="13"/>
        <v>76517086.675249994</v>
      </c>
      <c r="V83" s="5">
        <f t="shared" si="13"/>
        <v>85420563.352338329</v>
      </c>
      <c r="W83" s="5">
        <f t="shared" si="13"/>
        <v>93503244.261484995</v>
      </c>
      <c r="X83" s="5">
        <f t="shared" si="13"/>
        <v>101873764.61827832</v>
      </c>
      <c r="Y83" s="5">
        <f t="shared" si="13"/>
        <v>110293928.39437999</v>
      </c>
    </row>
    <row r="84" spans="2:25" x14ac:dyDescent="0.55000000000000004">
      <c r="B84" s="11">
        <v>1</v>
      </c>
      <c r="C84" s="11">
        <v>11</v>
      </c>
      <c r="D84" s="12">
        <f t="shared" si="9"/>
        <v>0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14"/>
        <v>8102670.2379316669</v>
      </c>
      <c r="O84" s="5">
        <f t="shared" si="13"/>
        <v>17010872.907930002</v>
      </c>
      <c r="P84" s="5">
        <f t="shared" si="13"/>
        <v>26258795.391911667</v>
      </c>
      <c r="Q84" s="5">
        <f t="shared" si="13"/>
        <v>34567964.709028929</v>
      </c>
      <c r="R84" s="5">
        <f t="shared" si="13"/>
        <v>42699396.675235085</v>
      </c>
      <c r="S84" s="5">
        <f t="shared" si="13"/>
        <v>52336342.866789535</v>
      </c>
      <c r="T84" s="5">
        <f t="shared" si="13"/>
        <v>60550995.051800646</v>
      </c>
      <c r="U84" s="5">
        <f t="shared" si="13"/>
        <v>68819943.943681836</v>
      </c>
      <c r="V84" s="5">
        <f t="shared" si="13"/>
        <v>77071036.20956628</v>
      </c>
      <c r="W84" s="5">
        <f t="shared" si="13"/>
        <v>85404643.390099689</v>
      </c>
      <c r="X84" s="5">
        <f t="shared" si="13"/>
        <v>94006954.714974135</v>
      </c>
      <c r="Y84" s="5">
        <f t="shared" si="13"/>
        <v>101231356.62419525</v>
      </c>
    </row>
    <row r="85" spans="2:25" x14ac:dyDescent="0.55000000000000004">
      <c r="B85" s="11">
        <v>1</v>
      </c>
      <c r="C85" s="11">
        <v>12</v>
      </c>
      <c r="D85" s="12">
        <f t="shared" si="9"/>
        <v>0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>
        <f>SUM(D74:D85)/1000000</f>
        <v>0</v>
      </c>
      <c r="M85" s="6" t="s">
        <v>24</v>
      </c>
      <c r="N85" s="5">
        <f t="shared" si="14"/>
        <v>8056758.5103050005</v>
      </c>
      <c r="O85" s="5">
        <f t="shared" si="13"/>
        <v>17469435.496366695</v>
      </c>
      <c r="P85" s="5">
        <f t="shared" si="13"/>
        <v>27814210.977215029</v>
      </c>
      <c r="Q85" s="5">
        <f t="shared" si="13"/>
        <v>38432575.84691003</v>
      </c>
      <c r="R85" s="5">
        <f t="shared" si="13"/>
        <v>47991254.28315445</v>
      </c>
      <c r="S85" s="5">
        <f t="shared" si="13"/>
        <v>58754877.063147783</v>
      </c>
      <c r="T85" s="5">
        <f t="shared" si="13"/>
        <v>68324613.307946116</v>
      </c>
      <c r="U85" s="5">
        <f t="shared" si="13"/>
        <v>77745406.805334449</v>
      </c>
      <c r="V85" s="5">
        <f t="shared" si="13"/>
        <v>86389341.792584449</v>
      </c>
      <c r="W85" s="5">
        <f t="shared" si="13"/>
        <v>95746196.407686114</v>
      </c>
      <c r="X85" s="5">
        <f t="shared" si="13"/>
        <v>104882755.50238279</v>
      </c>
      <c r="Y85" s="5">
        <f t="shared" si="13"/>
        <v>113981293.76447445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0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15">G86</f>
        <v>Oct'15/16</v>
      </c>
      <c r="I86" s="11">
        <f t="shared" ref="I86:I149" si="16">SUM(D75:D86)/1000000</f>
        <v>0</v>
      </c>
      <c r="M86" s="6" t="s">
        <v>25</v>
      </c>
      <c r="N86" s="5">
        <f t="shared" si="14"/>
        <v>9371220.0583149996</v>
      </c>
      <c r="O86" s="5">
        <f t="shared" si="13"/>
        <v>17969111.504401669</v>
      </c>
      <c r="P86" s="5">
        <f t="shared" si="13"/>
        <v>28077497.055113338</v>
      </c>
      <c r="Q86" s="5">
        <f t="shared" si="13"/>
        <v>37322410.345975004</v>
      </c>
      <c r="R86" s="5">
        <f t="shared" si="13"/>
        <v>47193058.920993336</v>
      </c>
      <c r="S86" s="5">
        <f t="shared" si="13"/>
        <v>57881117.040803336</v>
      </c>
      <c r="T86" s="5">
        <f t="shared" si="13"/>
        <v>67333504.381671667</v>
      </c>
      <c r="U86" s="5">
        <f t="shared" si="13"/>
        <v>77109495.163204998</v>
      </c>
      <c r="V86" s="5">
        <f t="shared" si="13"/>
        <v>86471323.22744666</v>
      </c>
      <c r="W86" s="5">
        <f t="shared" si="13"/>
        <v>95734511.610656664</v>
      </c>
      <c r="X86" s="5">
        <f t="shared" si="13"/>
        <v>104869990.08354223</v>
      </c>
      <c r="Y86" s="5">
        <f t="shared" si="13"/>
        <v>114428419.44561929</v>
      </c>
    </row>
    <row r="87" spans="2:25" x14ac:dyDescent="0.55000000000000004">
      <c r="B87" s="11">
        <f t="shared" ref="B87:B150" si="17">B75+1</f>
        <v>2</v>
      </c>
      <c r="C87" s="11">
        <f t="shared" ref="C87:C150" si="18">C75</f>
        <v>2</v>
      </c>
      <c r="D87" s="12">
        <f t="shared" si="9"/>
        <v>0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15"/>
        <v>Nov'15/16</v>
      </c>
      <c r="I87" s="11">
        <f t="shared" si="16"/>
        <v>0</v>
      </c>
      <c r="M87" s="6" t="s">
        <v>26</v>
      </c>
      <c r="N87" s="5">
        <f t="shared" si="14"/>
        <v>9267879.1907850001</v>
      </c>
      <c r="O87" s="5">
        <f t="shared" si="13"/>
        <v>18139812.443266667</v>
      </c>
      <c r="P87" s="5">
        <f t="shared" si="13"/>
        <v>27734051.946065001</v>
      </c>
      <c r="Q87" s="5">
        <f t="shared" si="13"/>
        <v>37325465.946065001</v>
      </c>
      <c r="R87" s="5">
        <f t="shared" si="13"/>
        <v>45719258.279398337</v>
      </c>
      <c r="S87" s="5">
        <f t="shared" si="13"/>
        <v>55288557.612731673</v>
      </c>
      <c r="T87" s="5">
        <f t="shared" si="13"/>
        <v>64907993.612731673</v>
      </c>
      <c r="U87" s="5" t="e">
        <f t="shared" si="13"/>
        <v>#N/A</v>
      </c>
      <c r="V87" s="5" t="e">
        <f t="shared" si="13"/>
        <v>#N/A</v>
      </c>
      <c r="W87" s="5" t="e">
        <f t="shared" si="13"/>
        <v>#N/A</v>
      </c>
      <c r="X87" s="5" t="e">
        <f t="shared" si="13"/>
        <v>#N/A</v>
      </c>
      <c r="Y87" s="5" t="e">
        <f t="shared" si="13"/>
        <v>#N/A</v>
      </c>
    </row>
    <row r="88" spans="2:25" x14ac:dyDescent="0.55000000000000004">
      <c r="B88" s="11">
        <f t="shared" si="17"/>
        <v>2</v>
      </c>
      <c r="C88" s="11">
        <f t="shared" si="18"/>
        <v>3</v>
      </c>
      <c r="D88" s="12">
        <f t="shared" si="9"/>
        <v>0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15"/>
        <v>Dec'15/16</v>
      </c>
      <c r="I88" s="11">
        <f t="shared" si="16"/>
        <v>0</v>
      </c>
      <c r="M88" s="6" t="s">
        <v>27</v>
      </c>
      <c r="N88" s="5" t="e">
        <f t="shared" si="14"/>
        <v>#N/A</v>
      </c>
      <c r="O88" s="5" t="e">
        <f t="shared" si="13"/>
        <v>#N/A</v>
      </c>
      <c r="P88" s="5" t="e">
        <f t="shared" si="13"/>
        <v>#N/A</v>
      </c>
      <c r="Q88" s="5" t="e">
        <f t="shared" si="13"/>
        <v>#N/A</v>
      </c>
      <c r="R88" s="5" t="e">
        <f t="shared" si="13"/>
        <v>#N/A</v>
      </c>
      <c r="S88" s="5" t="e">
        <f t="shared" si="13"/>
        <v>#N/A</v>
      </c>
      <c r="T88" s="5" t="e">
        <f t="shared" si="13"/>
        <v>#N/A</v>
      </c>
      <c r="U88" s="5" t="e">
        <f t="shared" si="13"/>
        <v>#N/A</v>
      </c>
      <c r="V88" s="5" t="e">
        <f t="shared" si="13"/>
        <v>#N/A</v>
      </c>
      <c r="W88" s="5" t="e">
        <f t="shared" si="13"/>
        <v>#N/A</v>
      </c>
      <c r="X88" s="5" t="e">
        <f t="shared" si="13"/>
        <v>#N/A</v>
      </c>
      <c r="Y88" s="5" t="e">
        <f t="shared" si="13"/>
        <v>#N/A</v>
      </c>
    </row>
    <row r="89" spans="2:25" x14ac:dyDescent="0.55000000000000004">
      <c r="B89" s="11">
        <f t="shared" si="17"/>
        <v>2</v>
      </c>
      <c r="C89" s="11">
        <f t="shared" si="18"/>
        <v>4</v>
      </c>
      <c r="D89" s="12">
        <f t="shared" si="9"/>
        <v>0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15"/>
        <v>Jan'15/16</v>
      </c>
      <c r="I89" s="11">
        <f t="shared" si="16"/>
        <v>0</v>
      </c>
    </row>
    <row r="90" spans="2:25" x14ac:dyDescent="0.55000000000000004">
      <c r="B90" s="11">
        <f t="shared" si="17"/>
        <v>2</v>
      </c>
      <c r="C90" s="11">
        <f t="shared" si="18"/>
        <v>5</v>
      </c>
      <c r="D90" s="12">
        <f t="shared" si="9"/>
        <v>0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15"/>
        <v>Feb'15/16</v>
      </c>
      <c r="I90" s="11">
        <f t="shared" si="16"/>
        <v>0</v>
      </c>
    </row>
    <row r="91" spans="2:25" x14ac:dyDescent="0.55000000000000004">
      <c r="B91" s="11">
        <f t="shared" si="17"/>
        <v>2</v>
      </c>
      <c r="C91" s="11">
        <f t="shared" si="18"/>
        <v>6</v>
      </c>
      <c r="D91" s="12">
        <f t="shared" si="9"/>
        <v>0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15"/>
        <v>Mar'15/16</v>
      </c>
      <c r="I91" s="11">
        <f t="shared" si="16"/>
        <v>0</v>
      </c>
    </row>
    <row r="92" spans="2:25" x14ac:dyDescent="0.55000000000000004">
      <c r="B92" s="11">
        <f t="shared" si="17"/>
        <v>2</v>
      </c>
      <c r="C92" s="11">
        <f t="shared" si="18"/>
        <v>7</v>
      </c>
      <c r="D92" s="12">
        <f t="shared" si="9"/>
        <v>0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15"/>
        <v>Apr'15/16</v>
      </c>
      <c r="I92" s="11">
        <f t="shared" si="16"/>
        <v>0</v>
      </c>
    </row>
    <row r="93" spans="2:25" x14ac:dyDescent="0.55000000000000004">
      <c r="B93" s="11">
        <f t="shared" si="17"/>
        <v>2</v>
      </c>
      <c r="C93" s="11">
        <f t="shared" si="18"/>
        <v>8</v>
      </c>
      <c r="D93" s="12">
        <f t="shared" si="9"/>
        <v>0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15"/>
        <v>May'15/16</v>
      </c>
      <c r="I93" s="11">
        <f t="shared" si="16"/>
        <v>0</v>
      </c>
    </row>
    <row r="94" spans="2:25" x14ac:dyDescent="0.55000000000000004">
      <c r="B94" s="11">
        <f t="shared" si="17"/>
        <v>2</v>
      </c>
      <c r="C94" s="11">
        <f t="shared" si="18"/>
        <v>9</v>
      </c>
      <c r="D94" s="12">
        <f t="shared" si="9"/>
        <v>0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15"/>
        <v>Jun'15/16</v>
      </c>
      <c r="I94" s="11">
        <f t="shared" si="16"/>
        <v>0</v>
      </c>
    </row>
    <row r="95" spans="2:25" x14ac:dyDescent="0.55000000000000004">
      <c r="B95" s="11">
        <f t="shared" si="17"/>
        <v>2</v>
      </c>
      <c r="C95" s="11">
        <f t="shared" si="18"/>
        <v>10</v>
      </c>
      <c r="D95" s="12">
        <f t="shared" si="9"/>
        <v>0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15"/>
        <v>Jul'15/16</v>
      </c>
      <c r="I95" s="11">
        <f t="shared" si="16"/>
        <v>0</v>
      </c>
    </row>
    <row r="96" spans="2:25" x14ac:dyDescent="0.55000000000000004">
      <c r="B96" s="11">
        <f t="shared" si="17"/>
        <v>2</v>
      </c>
      <c r="C96" s="11">
        <f t="shared" si="18"/>
        <v>11</v>
      </c>
      <c r="D96" s="12">
        <f t="shared" si="9"/>
        <v>0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15"/>
        <v>Aug'15/16</v>
      </c>
      <c r="I96" s="11">
        <f t="shared" si="16"/>
        <v>0</v>
      </c>
    </row>
    <row r="97" spans="2:12" x14ac:dyDescent="0.55000000000000004">
      <c r="B97" s="11">
        <f t="shared" si="17"/>
        <v>2</v>
      </c>
      <c r="C97" s="11">
        <f t="shared" si="18"/>
        <v>12</v>
      </c>
      <c r="D97" s="12">
        <f t="shared" si="9"/>
        <v>0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15"/>
        <v>Sep'15/16</v>
      </c>
      <c r="I97" s="11">
        <f t="shared" si="16"/>
        <v>0</v>
      </c>
    </row>
    <row r="98" spans="2:12" x14ac:dyDescent="0.55000000000000004">
      <c r="B98" s="11">
        <f t="shared" si="17"/>
        <v>3</v>
      </c>
      <c r="C98" s="11">
        <f t="shared" si="18"/>
        <v>1</v>
      </c>
      <c r="D98" s="12">
        <f t="shared" si="9"/>
        <v>0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15"/>
        <v>Oct'16/17</v>
      </c>
      <c r="I98" s="11">
        <f t="shared" si="16"/>
        <v>0</v>
      </c>
    </row>
    <row r="99" spans="2:12" x14ac:dyDescent="0.55000000000000004">
      <c r="B99" s="11">
        <f t="shared" si="17"/>
        <v>3</v>
      </c>
      <c r="C99" s="11">
        <f t="shared" si="18"/>
        <v>2</v>
      </c>
      <c r="D99" s="12">
        <f t="shared" si="9"/>
        <v>0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15"/>
        <v>Nov'16/17</v>
      </c>
      <c r="I99" s="11">
        <f t="shared" si="16"/>
        <v>0</v>
      </c>
    </row>
    <row r="100" spans="2:12" x14ac:dyDescent="0.55000000000000004">
      <c r="B100" s="11">
        <f t="shared" si="17"/>
        <v>3</v>
      </c>
      <c r="C100" s="11">
        <f t="shared" si="18"/>
        <v>3</v>
      </c>
      <c r="D100" s="12">
        <f t="shared" si="9"/>
        <v>0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15"/>
        <v>Dec'16/17</v>
      </c>
      <c r="I100" s="11">
        <f t="shared" si="16"/>
        <v>0</v>
      </c>
    </row>
    <row r="101" spans="2:12" x14ac:dyDescent="0.55000000000000004">
      <c r="B101" s="11">
        <f t="shared" si="17"/>
        <v>3</v>
      </c>
      <c r="C101" s="11">
        <f t="shared" si="18"/>
        <v>4</v>
      </c>
      <c r="D101" s="12">
        <f t="shared" si="9"/>
        <v>0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15"/>
        <v>Jan'16/17</v>
      </c>
      <c r="I101" s="11">
        <f t="shared" si="16"/>
        <v>0</v>
      </c>
    </row>
    <row r="102" spans="2:12" x14ac:dyDescent="0.55000000000000004">
      <c r="B102" s="11">
        <f t="shared" si="17"/>
        <v>3</v>
      </c>
      <c r="C102" s="11">
        <f t="shared" si="18"/>
        <v>5</v>
      </c>
      <c r="D102" s="12">
        <f t="shared" si="9"/>
        <v>0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15"/>
        <v>Feb'16/17</v>
      </c>
      <c r="I102" s="11">
        <f t="shared" si="16"/>
        <v>0</v>
      </c>
    </row>
    <row r="103" spans="2:12" x14ac:dyDescent="0.55000000000000004">
      <c r="B103" s="11">
        <f t="shared" si="17"/>
        <v>3</v>
      </c>
      <c r="C103" s="11">
        <f t="shared" si="18"/>
        <v>6</v>
      </c>
      <c r="D103" s="12">
        <f t="shared" si="9"/>
        <v>0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15"/>
        <v>Mar'16/17</v>
      </c>
      <c r="I103" s="11">
        <f t="shared" si="16"/>
        <v>0</v>
      </c>
    </row>
    <row r="104" spans="2:12" x14ac:dyDescent="0.55000000000000004">
      <c r="B104" s="11">
        <f t="shared" si="17"/>
        <v>3</v>
      </c>
      <c r="C104" s="11">
        <f t="shared" si="18"/>
        <v>7</v>
      </c>
      <c r="D104" s="12">
        <f t="shared" si="9"/>
        <v>0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15"/>
        <v>Apr'16/17</v>
      </c>
      <c r="I104" s="11">
        <f t="shared" si="16"/>
        <v>0</v>
      </c>
    </row>
    <row r="105" spans="2:12" x14ac:dyDescent="0.55000000000000004">
      <c r="B105" s="11">
        <f t="shared" si="17"/>
        <v>3</v>
      </c>
      <c r="C105" s="11">
        <f t="shared" si="18"/>
        <v>8</v>
      </c>
      <c r="D105" s="12">
        <f t="shared" si="9"/>
        <v>0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15"/>
        <v>May'16/17</v>
      </c>
      <c r="I105" s="11">
        <f t="shared" si="16"/>
        <v>0</v>
      </c>
    </row>
    <row r="106" spans="2:12" x14ac:dyDescent="0.55000000000000004">
      <c r="B106" s="11">
        <f t="shared" si="17"/>
        <v>3</v>
      </c>
      <c r="C106" s="11">
        <f t="shared" si="18"/>
        <v>9</v>
      </c>
      <c r="D106" s="12">
        <f t="shared" si="9"/>
        <v>0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15"/>
        <v>Jun'16/17</v>
      </c>
      <c r="I106" s="11">
        <f t="shared" si="16"/>
        <v>0</v>
      </c>
    </row>
    <row r="107" spans="2:12" x14ac:dyDescent="0.55000000000000004">
      <c r="B107" s="11">
        <f t="shared" si="17"/>
        <v>3</v>
      </c>
      <c r="C107" s="11">
        <f t="shared" si="18"/>
        <v>10</v>
      </c>
      <c r="D107" s="12">
        <f t="shared" si="9"/>
        <v>0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15"/>
        <v>Jul'16/17</v>
      </c>
      <c r="I107" s="11">
        <f t="shared" si="16"/>
        <v>0</v>
      </c>
    </row>
    <row r="108" spans="2:12" x14ac:dyDescent="0.55000000000000004">
      <c r="B108" s="11">
        <f t="shared" si="17"/>
        <v>3</v>
      </c>
      <c r="C108" s="11">
        <f t="shared" si="18"/>
        <v>11</v>
      </c>
      <c r="D108" s="12">
        <f t="shared" si="9"/>
        <v>0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15"/>
        <v>Aug'16/17</v>
      </c>
      <c r="I108" s="11">
        <f t="shared" si="16"/>
        <v>0</v>
      </c>
    </row>
    <row r="109" spans="2:12" x14ac:dyDescent="0.55000000000000004">
      <c r="B109" s="11">
        <f t="shared" si="17"/>
        <v>3</v>
      </c>
      <c r="C109" s="11">
        <f t="shared" si="18"/>
        <v>12</v>
      </c>
      <c r="D109" s="12">
        <f t="shared" si="9"/>
        <v>0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15"/>
        <v>Sep'16/17</v>
      </c>
      <c r="I109" s="11">
        <f t="shared" si="16"/>
        <v>0</v>
      </c>
      <c r="J109" s="11" t="s">
        <v>34</v>
      </c>
      <c r="K109" s="11" t="s">
        <v>41</v>
      </c>
      <c r="L109" s="11" t="s">
        <v>42</v>
      </c>
    </row>
    <row r="110" spans="2:12" x14ac:dyDescent="0.55000000000000004">
      <c r="B110" s="11">
        <f t="shared" si="17"/>
        <v>4</v>
      </c>
      <c r="C110" s="11">
        <f t="shared" si="18"/>
        <v>1</v>
      </c>
      <c r="D110" s="12">
        <f t="shared" si="9"/>
        <v>7532256.5093916673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15"/>
        <v>Oct'17/18</v>
      </c>
      <c r="I110" s="11">
        <f t="shared" si="16"/>
        <v>7.5322565093916669</v>
      </c>
      <c r="J110" s="11" t="str">
        <f>H110</f>
        <v>Oct'17/18</v>
      </c>
      <c r="K110" s="41">
        <f>'S4 Arabica'!I110</f>
        <v>4.0501096674166668</v>
      </c>
      <c r="L110" s="41">
        <f>'S5 Robusta'!I110</f>
        <v>44.720151644679106</v>
      </c>
    </row>
    <row r="111" spans="2:12" x14ac:dyDescent="0.55000000000000004">
      <c r="B111" s="11">
        <f t="shared" si="17"/>
        <v>4</v>
      </c>
      <c r="C111" s="11">
        <f t="shared" si="18"/>
        <v>2</v>
      </c>
      <c r="D111" s="12">
        <f t="shared" si="9"/>
        <v>8059784.448640272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15"/>
        <v>Nov'17/18</v>
      </c>
      <c r="I111" s="11">
        <f t="shared" si="16"/>
        <v>15.592040958031939</v>
      </c>
      <c r="J111" s="11" t="str">
        <f t="shared" ref="J111:J174" si="19">H111</f>
        <v>Nov'17/18</v>
      </c>
      <c r="K111" s="41">
        <f>'S4 Arabica'!I111</f>
        <v>8.3854715701299991</v>
      </c>
      <c r="L111" s="41">
        <f>'S5 Robusta'!I111</f>
        <v>44.287513746139375</v>
      </c>
    </row>
    <row r="112" spans="2:12" x14ac:dyDescent="0.55000000000000004">
      <c r="B112" s="11">
        <f t="shared" si="17"/>
        <v>4</v>
      </c>
      <c r="C112" s="11">
        <f t="shared" si="18"/>
        <v>3</v>
      </c>
      <c r="D112" s="12">
        <f t="shared" si="9"/>
        <v>8991527.9701816682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15"/>
        <v>Dec'17/18</v>
      </c>
      <c r="I112" s="11">
        <f t="shared" si="16"/>
        <v>24.583568928213609</v>
      </c>
      <c r="J112" s="11" t="str">
        <f t="shared" si="19"/>
        <v>Dec'17/18</v>
      </c>
      <c r="K112" s="41">
        <f>'S4 Arabica'!I112</f>
        <v>12.938878896788333</v>
      </c>
      <c r="L112" s="41">
        <f>'S5 Robusta'!I112</f>
        <v>44.167626320331046</v>
      </c>
    </row>
    <row r="113" spans="2:12" x14ac:dyDescent="0.55000000000000004">
      <c r="B113" s="11">
        <f t="shared" si="17"/>
        <v>4</v>
      </c>
      <c r="C113" s="11">
        <f t="shared" si="18"/>
        <v>4</v>
      </c>
      <c r="D113" s="12">
        <f t="shared" si="9"/>
        <v>9563631.6676083319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15"/>
        <v>Jan'17/18</v>
      </c>
      <c r="I113" s="11">
        <f t="shared" si="16"/>
        <v>34.147200595821943</v>
      </c>
      <c r="J113" s="11" t="str">
        <f t="shared" si="19"/>
        <v>Jan'17/18</v>
      </c>
      <c r="K113" s="41">
        <f>'S4 Arabica'!I113</f>
        <v>17.601149509288334</v>
      </c>
      <c r="L113" s="41">
        <f>'S5 Robusta'!I113</f>
        <v>44.408490207887716</v>
      </c>
    </row>
    <row r="114" spans="2:12" x14ac:dyDescent="0.55000000000000004">
      <c r="B114" s="11">
        <f t="shared" si="17"/>
        <v>4</v>
      </c>
      <c r="C114" s="11">
        <f t="shared" si="18"/>
        <v>5</v>
      </c>
      <c r="D114" s="12">
        <f t="shared" si="9"/>
        <v>8149370.3974333331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15"/>
        <v>Feb'17/18</v>
      </c>
      <c r="I114" s="11">
        <f t="shared" si="16"/>
        <v>42.296570993255273</v>
      </c>
      <c r="J114" s="11" t="str">
        <f t="shared" si="19"/>
        <v>Feb'17/18</v>
      </c>
      <c r="K114" s="41">
        <f>'S4 Arabica'!I114</f>
        <v>22.174116525046667</v>
      </c>
      <c r="L114" s="41">
        <f>'S5 Robusta'!I114</f>
        <v>43.618076837269385</v>
      </c>
    </row>
    <row r="115" spans="2:12" x14ac:dyDescent="0.55000000000000004">
      <c r="B115" s="11">
        <f t="shared" si="17"/>
        <v>4</v>
      </c>
      <c r="C115" s="11">
        <f t="shared" si="18"/>
        <v>6</v>
      </c>
      <c r="D115" s="12">
        <f t="shared" si="9"/>
        <v>9112084.6904783323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15"/>
        <v>Mar'17/18</v>
      </c>
      <c r="I115" s="11">
        <f t="shared" si="16"/>
        <v>51.408655683733606</v>
      </c>
      <c r="J115" s="11" t="str">
        <f t="shared" si="19"/>
        <v>Mar'17/18</v>
      </c>
      <c r="K115" s="41">
        <f>'S4 Arabica'!I115</f>
        <v>26.373993565255002</v>
      </c>
      <c r="L115" s="41">
        <f>'S5 Robusta'!I115</f>
        <v>43.753065652476053</v>
      </c>
    </row>
    <row r="116" spans="2:12" x14ac:dyDescent="0.55000000000000004">
      <c r="B116" s="11">
        <f t="shared" si="17"/>
        <v>4</v>
      </c>
      <c r="C116" s="11">
        <f t="shared" si="18"/>
        <v>7</v>
      </c>
      <c r="D116" s="12">
        <f t="shared" si="9"/>
        <v>8082163.6946383333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15"/>
        <v>Apr'17/18</v>
      </c>
      <c r="I116" s="11">
        <f t="shared" si="16"/>
        <v>59.490819378371938</v>
      </c>
      <c r="J116" s="11" t="str">
        <f t="shared" si="19"/>
        <v>Apr'17/18</v>
      </c>
      <c r="K116" s="41">
        <f>'S4 Arabica'!I116</f>
        <v>30.585979055488334</v>
      </c>
      <c r="L116" s="41">
        <f>'S5 Robusta'!I116</f>
        <v>43.747570826091057</v>
      </c>
    </row>
    <row r="117" spans="2:12" x14ac:dyDescent="0.55000000000000004">
      <c r="B117" s="11">
        <f t="shared" si="17"/>
        <v>4</v>
      </c>
      <c r="C117" s="11">
        <f t="shared" si="18"/>
        <v>8</v>
      </c>
      <c r="D117" s="12">
        <f t="shared" si="9"/>
        <v>7517139.8898583334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15"/>
        <v>May'17/18</v>
      </c>
      <c r="I117" s="11">
        <f t="shared" si="16"/>
        <v>67.00795926823028</v>
      </c>
      <c r="J117" s="11" t="str">
        <f t="shared" si="19"/>
        <v>May'17/18</v>
      </c>
      <c r="K117" s="41">
        <f>'S4 Arabica'!I117</f>
        <v>34.184845974363334</v>
      </c>
      <c r="L117" s="41">
        <f>'S5 Robusta'!I117</f>
        <v>43.797983881032721</v>
      </c>
    </row>
    <row r="118" spans="2:12" x14ac:dyDescent="0.55000000000000004">
      <c r="B118" s="11">
        <f t="shared" si="17"/>
        <v>4</v>
      </c>
      <c r="C118" s="11">
        <f t="shared" si="18"/>
        <v>9</v>
      </c>
      <c r="D118" s="12">
        <f t="shared" si="9"/>
        <v>8269842.4309366671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15"/>
        <v>Jun'17/18</v>
      </c>
      <c r="I118" s="11">
        <f t="shared" si="16"/>
        <v>75.277801699166943</v>
      </c>
      <c r="J118" s="11" t="str">
        <f t="shared" si="19"/>
        <v>Jun'17/18</v>
      </c>
      <c r="K118" s="41">
        <f>'S4 Arabica'!I118</f>
        <v>38.378886065705004</v>
      </c>
      <c r="L118" s="41">
        <f>'S5 Robusta'!I118</f>
        <v>43.941922865416053</v>
      </c>
    </row>
    <row r="119" spans="2:12" x14ac:dyDescent="0.55000000000000004">
      <c r="B119" s="11">
        <f t="shared" si="17"/>
        <v>4</v>
      </c>
      <c r="C119" s="11">
        <f t="shared" si="18"/>
        <v>10</v>
      </c>
      <c r="D119" s="12">
        <f t="shared" si="9"/>
        <v>7836038.2810966661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15"/>
        <v>Jul'17/18</v>
      </c>
      <c r="I119" s="11">
        <f t="shared" si="16"/>
        <v>83.113839980263606</v>
      </c>
      <c r="J119" s="11" t="str">
        <f t="shared" si="19"/>
        <v>Jul'17/18</v>
      </c>
      <c r="K119" s="41">
        <f>'S4 Arabica'!I119</f>
        <v>42.270660822261668</v>
      </c>
      <c r="L119" s="41">
        <f>'S5 Robusta'!I119</f>
        <v>43.895748968257713</v>
      </c>
    </row>
    <row r="120" spans="2:12" x14ac:dyDescent="0.55000000000000004">
      <c r="B120" s="11">
        <f t="shared" si="17"/>
        <v>4</v>
      </c>
      <c r="C120" s="11">
        <f t="shared" si="18"/>
        <v>11</v>
      </c>
      <c r="D120" s="12">
        <f t="shared" si="9"/>
        <v>8888052.4826166667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15"/>
        <v>Aug'17/18</v>
      </c>
      <c r="I120" s="11">
        <f t="shared" si="16"/>
        <v>92.001892462880264</v>
      </c>
      <c r="J120" s="11" t="str">
        <f t="shared" si="19"/>
        <v>Aug'17/18</v>
      </c>
      <c r="K120" s="41">
        <f>'S4 Arabica'!I120</f>
        <v>46.779358415241667</v>
      </c>
      <c r="L120" s="41">
        <f>'S5 Robusta'!I120</f>
        <v>44.252848981756941</v>
      </c>
    </row>
    <row r="121" spans="2:12" x14ac:dyDescent="0.55000000000000004">
      <c r="B121" s="11">
        <f t="shared" si="17"/>
        <v>4</v>
      </c>
      <c r="C121" s="11">
        <f t="shared" si="18"/>
        <v>12</v>
      </c>
      <c r="D121" s="12">
        <f t="shared" si="9"/>
        <v>8309802.1889200006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15"/>
        <v>Sep'17/18</v>
      </c>
      <c r="I121" s="11">
        <f t="shared" si="16"/>
        <v>100.31169465180028</v>
      </c>
      <c r="J121" s="11" t="str">
        <f t="shared" si="19"/>
        <v>Sep'17/18</v>
      </c>
      <c r="K121" s="41">
        <f>'S4 Arabica'!I121</f>
        <v>51.013908466991666</v>
      </c>
      <c r="L121" s="41">
        <f>'S5 Robusta'!I121</f>
        <v>44.84138930892528</v>
      </c>
    </row>
    <row r="122" spans="2:12" x14ac:dyDescent="0.55000000000000004">
      <c r="B122" s="11">
        <f t="shared" si="17"/>
        <v>5</v>
      </c>
      <c r="C122" s="11">
        <f t="shared" si="18"/>
        <v>1</v>
      </c>
      <c r="D122" s="12">
        <f t="shared" si="9"/>
        <v>9312780.5264833346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15"/>
        <v>Oct'18/19</v>
      </c>
      <c r="I122" s="11">
        <f t="shared" si="16"/>
        <v>102.09221866889193</v>
      </c>
      <c r="J122" s="11" t="str">
        <f t="shared" si="19"/>
        <v>Oct'18/19</v>
      </c>
      <c r="K122" s="41">
        <f>'S4 Arabica'!I122</f>
        <v>51.681212442299994</v>
      </c>
      <c r="L122" s="41">
        <f>'S5 Robusta'!I122</f>
        <v>45.808806046173608</v>
      </c>
    </row>
    <row r="123" spans="2:12" x14ac:dyDescent="0.55000000000000004">
      <c r="B123" s="11">
        <f t="shared" si="17"/>
        <v>5</v>
      </c>
      <c r="C123" s="11">
        <f t="shared" si="18"/>
        <v>2</v>
      </c>
      <c r="D123" s="12">
        <f t="shared" si="9"/>
        <v>9561900.3207583334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15"/>
        <v>Nov'18/19</v>
      </c>
      <c r="I123" s="11">
        <f t="shared" si="16"/>
        <v>103.59433454101001</v>
      </c>
      <c r="J123" s="11" t="str">
        <f t="shared" si="19"/>
        <v>Nov'18/19</v>
      </c>
      <c r="K123" s="41">
        <f>'S4 Arabica'!I123</f>
        <v>52.344511679378328</v>
      </c>
      <c r="L123" s="41">
        <f>'S5 Robusta'!I123</f>
        <v>46.680171930326679</v>
      </c>
    </row>
    <row r="124" spans="2:12" x14ac:dyDescent="0.55000000000000004">
      <c r="B124" s="11">
        <f t="shared" si="17"/>
        <v>5</v>
      </c>
      <c r="C124" s="11">
        <f t="shared" si="18"/>
        <v>3</v>
      </c>
      <c r="D124" s="12">
        <f t="shared" si="9"/>
        <v>9699868.7762883343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15"/>
        <v>Dec'18/19</v>
      </c>
      <c r="I124" s="11">
        <f t="shared" si="16"/>
        <v>104.30267534711666</v>
      </c>
      <c r="J124" s="11" t="str">
        <f t="shared" si="19"/>
        <v>Dec'18/19</v>
      </c>
      <c r="K124" s="41">
        <f>'S4 Arabica'!I124</f>
        <v>53.11191224796999</v>
      </c>
      <c r="L124" s="41">
        <f>'S5 Robusta'!I124</f>
        <v>46.615911296745011</v>
      </c>
    </row>
    <row r="125" spans="2:12" x14ac:dyDescent="0.55000000000000004">
      <c r="B125" s="11">
        <f t="shared" si="17"/>
        <v>5</v>
      </c>
      <c r="C125" s="11">
        <f t="shared" si="18"/>
        <v>4</v>
      </c>
      <c r="D125" s="12">
        <f t="shared" si="9"/>
        <v>10204785.078678332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15"/>
        <v>Jan'18/19</v>
      </c>
      <c r="I125" s="11">
        <f t="shared" si="16"/>
        <v>104.94382875818667</v>
      </c>
      <c r="J125" s="11" t="str">
        <f t="shared" si="19"/>
        <v>Jan'18/19</v>
      </c>
      <c r="K125" s="41">
        <f>'S4 Arabica'!I125</f>
        <v>53.503215233406671</v>
      </c>
      <c r="L125" s="41">
        <f>'S5 Robusta'!I125</f>
        <v>46.863405232995014</v>
      </c>
    </row>
    <row r="126" spans="2:12" x14ac:dyDescent="0.55000000000000004">
      <c r="B126" s="11">
        <f t="shared" si="17"/>
        <v>5</v>
      </c>
      <c r="C126" s="11">
        <f t="shared" si="18"/>
        <v>5</v>
      </c>
      <c r="D126" s="12">
        <f t="shared" si="9"/>
        <v>8829576.4648400005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15"/>
        <v>Feb'18/19</v>
      </c>
      <c r="I126" s="11">
        <f t="shared" si="16"/>
        <v>105.62403482559333</v>
      </c>
      <c r="J126" s="11" t="str">
        <f t="shared" si="19"/>
        <v>Feb'18/19</v>
      </c>
      <c r="K126" s="41">
        <f>'S4 Arabica'!I126</f>
        <v>54.296068580248331</v>
      </c>
      <c r="L126" s="41">
        <f>'S5 Robusta'!I126</f>
        <v>46.797088342506669</v>
      </c>
    </row>
    <row r="127" spans="2:12" x14ac:dyDescent="0.55000000000000004">
      <c r="B127" s="11">
        <f t="shared" si="17"/>
        <v>5</v>
      </c>
      <c r="C127" s="11">
        <f t="shared" si="18"/>
        <v>6</v>
      </c>
      <c r="D127" s="12">
        <f t="shared" si="9"/>
        <v>9280829.6873550005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15"/>
        <v>Mar'18/19</v>
      </c>
      <c r="I127" s="11">
        <f t="shared" si="16"/>
        <v>105.79277982247</v>
      </c>
      <c r="J127" s="11" t="str">
        <f t="shared" si="19"/>
        <v>Mar'18/19</v>
      </c>
      <c r="K127" s="41">
        <f>'S4 Arabica'!I127</f>
        <v>54.957041555665</v>
      </c>
      <c r="L127" s="41">
        <f>'S5 Robusta'!I127</f>
        <v>46.325039042428337</v>
      </c>
    </row>
    <row r="128" spans="2:12" x14ac:dyDescent="0.55000000000000004">
      <c r="B128" s="11">
        <f t="shared" si="17"/>
        <v>5</v>
      </c>
      <c r="C128" s="11">
        <f t="shared" si="18"/>
        <v>7</v>
      </c>
      <c r="D128" s="12">
        <f t="shared" si="9"/>
        <v>8639189.4988299999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15"/>
        <v>Apr'18/19</v>
      </c>
      <c r="I128" s="11">
        <f t="shared" si="16"/>
        <v>106.34980562666166</v>
      </c>
      <c r="J128" s="11" t="str">
        <f t="shared" si="19"/>
        <v>Apr'18/19</v>
      </c>
      <c r="K128" s="41">
        <f>'S4 Arabica'!I128</f>
        <v>55.634908946765009</v>
      </c>
      <c r="L128" s="41">
        <f>'S5 Robusta'!I128</f>
        <v>46.198024693978333</v>
      </c>
    </row>
    <row r="129" spans="2:12" x14ac:dyDescent="0.55000000000000004">
      <c r="B129" s="11">
        <f t="shared" si="17"/>
        <v>5</v>
      </c>
      <c r="C129" s="11">
        <f t="shared" si="18"/>
        <v>8</v>
      </c>
      <c r="D129" s="12">
        <f t="shared" si="9"/>
        <v>9447737.6715066675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15"/>
        <v>May'18/19</v>
      </c>
      <c r="I129" s="11">
        <f t="shared" si="16"/>
        <v>108.28040340830999</v>
      </c>
      <c r="J129" s="11" t="str">
        <f t="shared" si="19"/>
        <v>May'18/19</v>
      </c>
      <c r="K129" s="41">
        <f>'S4 Arabica'!I129</f>
        <v>57.547573530556669</v>
      </c>
      <c r="L129" s="41">
        <f>'S5 Robusta'!I129</f>
        <v>46.244511353424997</v>
      </c>
    </row>
    <row r="130" spans="2:12" x14ac:dyDescent="0.55000000000000004">
      <c r="B130" s="11">
        <f t="shared" si="17"/>
        <v>5</v>
      </c>
      <c r="C130" s="11">
        <f t="shared" si="18"/>
        <v>9</v>
      </c>
      <c r="D130" s="12">
        <f t="shared" si="9"/>
        <v>8785759.9154233336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15"/>
        <v>Jun'18/19</v>
      </c>
      <c r="I130" s="11">
        <f t="shared" si="16"/>
        <v>108.79632089279669</v>
      </c>
      <c r="J130" s="11" t="str">
        <f t="shared" si="19"/>
        <v>Jun'18/19</v>
      </c>
      <c r="K130" s="41">
        <f>'S4 Arabica'!I130</f>
        <v>58.192511218506674</v>
      </c>
      <c r="L130" s="41">
        <f>'S5 Robusta'!I130</f>
        <v>46.171218539439998</v>
      </c>
    </row>
    <row r="131" spans="2:12" x14ac:dyDescent="0.55000000000000004">
      <c r="B131" s="11">
        <f t="shared" si="17"/>
        <v>5</v>
      </c>
      <c r="C131" s="11">
        <f t="shared" si="18"/>
        <v>10</v>
      </c>
      <c r="D131" s="12">
        <f t="shared" si="9"/>
        <v>9205122.7873883322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15"/>
        <v>Jul'18/19</v>
      </c>
      <c r="I131" s="11">
        <f t="shared" si="16"/>
        <v>110.16540539908836</v>
      </c>
      <c r="J131" s="11" t="str">
        <f t="shared" si="19"/>
        <v>Jul'18/19</v>
      </c>
      <c r="K131" s="41">
        <f>'S4 Arabica'!I131</f>
        <v>59.071066137658335</v>
      </c>
      <c r="L131" s="41">
        <f>'S5 Robusta'!I131</f>
        <v>46.620077284780002</v>
      </c>
    </row>
    <row r="132" spans="2:12" x14ac:dyDescent="0.55000000000000004">
      <c r="B132" s="11">
        <f t="shared" si="17"/>
        <v>5</v>
      </c>
      <c r="C132" s="11">
        <f t="shared" si="18"/>
        <v>11</v>
      </c>
      <c r="D132" s="12">
        <f t="shared" si="9"/>
        <v>8903015.708126666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15"/>
        <v>Aug'18/19</v>
      </c>
      <c r="I132" s="11">
        <f t="shared" si="16"/>
        <v>110.18036862459836</v>
      </c>
      <c r="J132" s="11" t="str">
        <f t="shared" si="19"/>
        <v>Aug'18/19</v>
      </c>
      <c r="K132" s="41">
        <f>'S4 Arabica'!I132</f>
        <v>59.111375673695001</v>
      </c>
      <c r="L132" s="41">
        <f>'S5 Robusta'!I132</f>
        <v>46.68166316717334</v>
      </c>
    </row>
    <row r="133" spans="2:12" x14ac:dyDescent="0.55000000000000004">
      <c r="B133" s="11">
        <f t="shared" si="17"/>
        <v>5</v>
      </c>
      <c r="C133" s="11">
        <f t="shared" si="18"/>
        <v>12</v>
      </c>
      <c r="D133" s="12">
        <f t="shared" si="9"/>
        <v>8490472.5624050014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15"/>
        <v>Sep'18/19</v>
      </c>
      <c r="I133" s="11">
        <f t="shared" si="16"/>
        <v>110.36103899808334</v>
      </c>
      <c r="J133" s="11" t="str">
        <f t="shared" si="19"/>
        <v>Sep'18/19</v>
      </c>
      <c r="K133" s="41">
        <f>'S4 Arabica'!I133</f>
        <v>59.326847967778335</v>
      </c>
      <c r="L133" s="41">
        <f>'S5 Robusta'!I133</f>
        <v>46.65630389068501</v>
      </c>
    </row>
    <row r="134" spans="2:12" x14ac:dyDescent="0.55000000000000004">
      <c r="B134" s="11">
        <f t="shared" si="17"/>
        <v>6</v>
      </c>
      <c r="C134" s="11">
        <f t="shared" si="18"/>
        <v>1</v>
      </c>
      <c r="D134" s="12">
        <f t="shared" si="9"/>
        <v>8683914.7794200014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15"/>
        <v>Oct'19/20</v>
      </c>
      <c r="I134" s="11">
        <f t="shared" si="16"/>
        <v>109.73217325102001</v>
      </c>
      <c r="J134" s="11" t="str">
        <f t="shared" si="19"/>
        <v>Oct'19/20</v>
      </c>
      <c r="K134" s="41">
        <f>'S4 Arabica'!I134</f>
        <v>59.245112220020005</v>
      </c>
      <c r="L134" s="41">
        <f>'S5 Robusta'!I134</f>
        <v>46.363347663550002</v>
      </c>
    </row>
    <row r="135" spans="2:12" x14ac:dyDescent="0.55000000000000004">
      <c r="B135" s="11">
        <f t="shared" si="17"/>
        <v>6</v>
      </c>
      <c r="C135" s="11">
        <f t="shared" si="18"/>
        <v>2</v>
      </c>
      <c r="D135" s="12">
        <f t="shared" si="9"/>
        <v>8582434.7490716688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15"/>
        <v>Nov'19/20</v>
      </c>
      <c r="I135" s="11">
        <f t="shared" si="16"/>
        <v>108.75270767933334</v>
      </c>
      <c r="J135" s="11" t="str">
        <f t="shared" si="19"/>
        <v>Nov'19/20</v>
      </c>
      <c r="K135" s="41">
        <f>'S4 Arabica'!I135</f>
        <v>58.616468650228327</v>
      </c>
      <c r="L135" s="41">
        <f>'S5 Robusta'!I135</f>
        <v>46.085378470485004</v>
      </c>
    </row>
    <row r="136" spans="2:12" x14ac:dyDescent="0.55000000000000004">
      <c r="B136" s="11">
        <f t="shared" si="17"/>
        <v>6</v>
      </c>
      <c r="C136" s="11">
        <f t="shared" si="18"/>
        <v>3</v>
      </c>
      <c r="D136" s="12">
        <f t="shared" si="9"/>
        <v>9584164.3454566672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15"/>
        <v>Dec'19/20</v>
      </c>
      <c r="I136" s="11">
        <f t="shared" si="16"/>
        <v>108.63700324850168</v>
      </c>
      <c r="J136" s="11" t="str">
        <f t="shared" si="19"/>
        <v>Dec'19/20</v>
      </c>
      <c r="K136" s="41">
        <f>'S4 Arabica'!I136</f>
        <v>57.699715757895</v>
      </c>
      <c r="L136" s="41">
        <f>'S5 Robusta'!I136</f>
        <v>46.859524319374998</v>
      </c>
    </row>
    <row r="137" spans="2:12" x14ac:dyDescent="0.55000000000000004">
      <c r="B137" s="11">
        <f t="shared" si="17"/>
        <v>6</v>
      </c>
      <c r="C137" s="11">
        <f t="shared" si="18"/>
        <v>4</v>
      </c>
      <c r="D137" s="12">
        <f t="shared" si="9"/>
        <v>9132495.4449866675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15"/>
        <v>Jan'19/20</v>
      </c>
      <c r="I137" s="11">
        <f t="shared" si="16"/>
        <v>107.56471361481002</v>
      </c>
      <c r="J137" s="11" t="str">
        <f t="shared" si="19"/>
        <v>Jan'19/20</v>
      </c>
      <c r="K137" s="41">
        <f>'S4 Arabica'!I137</f>
        <v>57.617926944051668</v>
      </c>
      <c r="L137" s="41">
        <f>'S5 Robusta'!I137</f>
        <v>45.973760246634995</v>
      </c>
    </row>
    <row r="138" spans="2:12" x14ac:dyDescent="0.55000000000000004">
      <c r="B138" s="11">
        <f t="shared" si="17"/>
        <v>6</v>
      </c>
      <c r="C138" s="11">
        <f t="shared" si="18"/>
        <v>5</v>
      </c>
      <c r="D138" s="12">
        <f t="shared" si="9"/>
        <v>9365572.9198666681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15"/>
        <v>Feb'19/20</v>
      </c>
      <c r="I138" s="11">
        <f t="shared" si="16"/>
        <v>108.10071006983669</v>
      </c>
      <c r="J138" s="11" t="str">
        <f t="shared" si="19"/>
        <v>Feb'19/20</v>
      </c>
      <c r="K138" s="41">
        <f>'S4 Arabica'!I138</f>
        <v>56.882962994835005</v>
      </c>
      <c r="L138" s="41">
        <f>'S5 Robusta'!I138</f>
        <v>47.282994295021666</v>
      </c>
    </row>
    <row r="139" spans="2:12" x14ac:dyDescent="0.55000000000000004">
      <c r="B139" s="11">
        <f t="shared" si="17"/>
        <v>6</v>
      </c>
      <c r="C139" s="11">
        <f t="shared" si="18"/>
        <v>6</v>
      </c>
      <c r="D139" s="12">
        <f t="shared" ref="D139:D202" si="20">INDEX($C$7:$N$19,MATCH(B139,$A$7:$A$19),MATCH(C139,$C$4:$N$4))</f>
        <v>9927214.739308333</v>
      </c>
      <c r="E139" s="11" t="str">
        <f t="shared" ref="E139:E202" si="21">_xlfn.XLOOKUP(B139,$A$7:$A$19,$B$7:$B$19)</f>
        <v>19/20</v>
      </c>
      <c r="F139" s="11" t="str">
        <f t="shared" ref="F139:F202" si="22">_xlfn.XLOOKUP(C139,$C$4:$N$4,$C$6:$N$6)</f>
        <v>Mar</v>
      </c>
      <c r="G139" s="11" t="str">
        <f t="shared" ref="G139:G202" si="23">_xlfn.CONCAT(F139,"'",E139)</f>
        <v>Mar'19/20</v>
      </c>
      <c r="H139" s="11" t="str">
        <f t="shared" si="15"/>
        <v>Mar'19/20</v>
      </c>
      <c r="I139" s="11">
        <f t="shared" si="16"/>
        <v>108.74709512179001</v>
      </c>
      <c r="J139" s="11" t="str">
        <f t="shared" si="19"/>
        <v>Mar'19/20</v>
      </c>
      <c r="K139" s="41">
        <f>'S4 Arabica'!I139</f>
        <v>57.08669637691834</v>
      </c>
      <c r="L139" s="41">
        <f>'S5 Robusta'!I139</f>
        <v>47.747517975091668</v>
      </c>
    </row>
    <row r="140" spans="2:12" x14ac:dyDescent="0.55000000000000004">
      <c r="B140" s="11">
        <f t="shared" si="17"/>
        <v>6</v>
      </c>
      <c r="C140" s="11">
        <f t="shared" si="18"/>
        <v>7</v>
      </c>
      <c r="D140" s="12">
        <f t="shared" si="20"/>
        <v>8837208.8606500011</v>
      </c>
      <c r="E140" s="11" t="str">
        <f t="shared" si="21"/>
        <v>19/20</v>
      </c>
      <c r="F140" s="11" t="str">
        <f t="shared" si="22"/>
        <v>Apr</v>
      </c>
      <c r="G140" s="11" t="str">
        <f t="shared" si="23"/>
        <v>Apr'19/20</v>
      </c>
      <c r="H140" s="11" t="str">
        <f t="shared" si="15"/>
        <v>Apr'19/20</v>
      </c>
      <c r="I140" s="11">
        <f t="shared" si="16"/>
        <v>108.94511448361001</v>
      </c>
      <c r="J140" s="11" t="str">
        <f t="shared" si="19"/>
        <v>Apr'19/20</v>
      </c>
      <c r="K140" s="41">
        <f>'S4 Arabica'!I140</f>
        <v>56.893204532918332</v>
      </c>
      <c r="L140" s="41">
        <f>'S5 Robusta'!I140</f>
        <v>48.143289051033335</v>
      </c>
    </row>
    <row r="141" spans="2:12" x14ac:dyDescent="0.55000000000000004">
      <c r="B141" s="11">
        <f t="shared" si="17"/>
        <v>6</v>
      </c>
      <c r="C141" s="11">
        <f t="shared" si="18"/>
        <v>8</v>
      </c>
      <c r="D141" s="12">
        <f t="shared" si="20"/>
        <v>8232623.6060000006</v>
      </c>
      <c r="E141" s="11" t="str">
        <f t="shared" si="21"/>
        <v>19/20</v>
      </c>
      <c r="F141" s="11" t="str">
        <f t="shared" si="22"/>
        <v>May</v>
      </c>
      <c r="G141" s="11" t="str">
        <f t="shared" si="23"/>
        <v>May'19/20</v>
      </c>
      <c r="H141" s="11" t="str">
        <f t="shared" si="15"/>
        <v>May'19/20</v>
      </c>
      <c r="I141" s="11">
        <f t="shared" si="16"/>
        <v>107.73000041810334</v>
      </c>
      <c r="J141" s="11" t="str">
        <f t="shared" si="19"/>
        <v>May'19/20</v>
      </c>
      <c r="K141" s="41">
        <f>'S4 Arabica'!I141</f>
        <v>55.964779307085003</v>
      </c>
      <c r="L141" s="41">
        <f>'S5 Robusta'!I141</f>
        <v>47.835471318878341</v>
      </c>
    </row>
    <row r="142" spans="2:12" x14ac:dyDescent="0.55000000000000004">
      <c r="B142" s="11">
        <f t="shared" si="17"/>
        <v>6</v>
      </c>
      <c r="C142" s="11">
        <f t="shared" si="18"/>
        <v>9</v>
      </c>
      <c r="D142" s="12">
        <f t="shared" si="20"/>
        <v>8200382.9766400009</v>
      </c>
      <c r="E142" s="11" t="str">
        <f t="shared" si="21"/>
        <v>19/20</v>
      </c>
      <c r="F142" s="11" t="str">
        <f t="shared" si="22"/>
        <v>Jun</v>
      </c>
      <c r="G142" s="11" t="str">
        <f t="shared" si="23"/>
        <v>Jun'19/20</v>
      </c>
      <c r="H142" s="11" t="str">
        <f t="shared" si="15"/>
        <v>Jun'19/20</v>
      </c>
      <c r="I142" s="11">
        <f t="shared" si="16"/>
        <v>107.14462347932</v>
      </c>
      <c r="J142" s="11" t="str">
        <f t="shared" si="19"/>
        <v>Jun'19/20</v>
      </c>
      <c r="K142" s="41">
        <f>'S4 Arabica'!I142</f>
        <v>55.451835944959996</v>
      </c>
      <c r="L142" s="41">
        <f>'S5 Robusta'!I142</f>
        <v>47.794633876311664</v>
      </c>
    </row>
    <row r="143" spans="2:12" x14ac:dyDescent="0.55000000000000004">
      <c r="B143" s="11">
        <f t="shared" si="17"/>
        <v>6</v>
      </c>
      <c r="C143" s="11">
        <f t="shared" si="18"/>
        <v>10</v>
      </c>
      <c r="D143" s="12">
        <f t="shared" si="20"/>
        <v>8285684.6537250001</v>
      </c>
      <c r="E143" s="11" t="str">
        <f t="shared" si="21"/>
        <v>19/20</v>
      </c>
      <c r="F143" s="11" t="str">
        <f t="shared" si="22"/>
        <v>Jul</v>
      </c>
      <c r="G143" s="11" t="str">
        <f t="shared" si="23"/>
        <v>Jul'19/20</v>
      </c>
      <c r="H143" s="11" t="str">
        <f t="shared" si="15"/>
        <v>Jul'19/20</v>
      </c>
      <c r="I143" s="11">
        <f t="shared" si="16"/>
        <v>106.22518534565668</v>
      </c>
      <c r="J143" s="11" t="str">
        <f t="shared" si="19"/>
        <v>Jul'19/20</v>
      </c>
      <c r="K143" s="41">
        <f>'S4 Arabica'!I143</f>
        <v>54.92607227347667</v>
      </c>
      <c r="L143" s="41">
        <f>'S5 Robusta'!I143</f>
        <v>47.454413469088337</v>
      </c>
    </row>
    <row r="144" spans="2:12" x14ac:dyDescent="0.55000000000000004">
      <c r="B144" s="11">
        <f t="shared" si="17"/>
        <v>6</v>
      </c>
      <c r="C144" s="11">
        <f t="shared" si="18"/>
        <v>11</v>
      </c>
      <c r="D144" s="12">
        <f t="shared" si="20"/>
        <v>8438658.1590916663</v>
      </c>
      <c r="E144" s="11" t="str">
        <f t="shared" si="21"/>
        <v>19/20</v>
      </c>
      <c r="F144" s="11" t="str">
        <f t="shared" si="22"/>
        <v>Aug</v>
      </c>
      <c r="G144" s="11" t="str">
        <f t="shared" si="23"/>
        <v>Aug'19/20</v>
      </c>
      <c r="H144" s="11" t="str">
        <f t="shared" si="15"/>
        <v>Aug'19/20</v>
      </c>
      <c r="I144" s="11">
        <f t="shared" si="16"/>
        <v>105.76082779662168</v>
      </c>
      <c r="J144" s="11" t="str">
        <f t="shared" si="19"/>
        <v>Aug'19/20</v>
      </c>
      <c r="K144" s="41">
        <f>'S4 Arabica'!I144</f>
        <v>54.754618362201668</v>
      </c>
      <c r="L144" s="41">
        <f>'S5 Robusta'!I144</f>
        <v>47.165300493030003</v>
      </c>
    </row>
    <row r="145" spans="2:12" x14ac:dyDescent="0.55000000000000004">
      <c r="B145" s="11">
        <f t="shared" si="17"/>
        <v>6</v>
      </c>
      <c r="C145" s="11">
        <f t="shared" si="18"/>
        <v>12</v>
      </c>
      <c r="D145" s="12">
        <f t="shared" si="20"/>
        <v>8894662.7276816666</v>
      </c>
      <c r="E145" s="11" t="str">
        <f t="shared" si="21"/>
        <v>19/20</v>
      </c>
      <c r="F145" s="11" t="str">
        <f t="shared" si="22"/>
        <v>Sep</v>
      </c>
      <c r="G145" s="11" t="str">
        <f t="shared" si="23"/>
        <v>Sep'19/20</v>
      </c>
      <c r="H145" s="11" t="str">
        <f t="shared" si="15"/>
        <v>Sep'19/20</v>
      </c>
      <c r="I145" s="11">
        <f t="shared" si="16"/>
        <v>106.16501796189834</v>
      </c>
      <c r="J145" s="11" t="str">
        <f t="shared" si="19"/>
        <v>Sep'19/20</v>
      </c>
      <c r="K145" s="41">
        <f>'S4 Arabica'!I145</f>
        <v>54.829064970701673</v>
      </c>
      <c r="L145" s="41">
        <f>'S5 Robusta'!I145</f>
        <v>47.58468593206667</v>
      </c>
    </row>
    <row r="146" spans="2:12" x14ac:dyDescent="0.55000000000000004">
      <c r="B146" s="11">
        <f t="shared" si="17"/>
        <v>7</v>
      </c>
      <c r="C146" s="11">
        <f t="shared" si="18"/>
        <v>1</v>
      </c>
      <c r="D146" s="12">
        <f t="shared" si="20"/>
        <v>8868913.0515083335</v>
      </c>
      <c r="E146" s="11" t="str">
        <f t="shared" si="21"/>
        <v>20/21</v>
      </c>
      <c r="F146" s="11" t="str">
        <f t="shared" si="22"/>
        <v>Oct</v>
      </c>
      <c r="G146" s="11" t="str">
        <f t="shared" si="23"/>
        <v>Oct'20/21</v>
      </c>
      <c r="H146" s="11" t="str">
        <f t="shared" si="15"/>
        <v>Oct'20/21</v>
      </c>
      <c r="I146" s="11">
        <f t="shared" si="16"/>
        <v>106.35001623398668</v>
      </c>
      <c r="J146" s="11" t="str">
        <f t="shared" si="19"/>
        <v>Oct'20/21</v>
      </c>
      <c r="K146" s="41">
        <f>'S4 Arabica'!I146</f>
        <v>55.224750269168332</v>
      </c>
      <c r="L146" s="41">
        <f>'S5 Robusta'!I146</f>
        <v>47.549044662059998</v>
      </c>
    </row>
    <row r="147" spans="2:12" x14ac:dyDescent="0.55000000000000004">
      <c r="B147" s="11">
        <f t="shared" si="17"/>
        <v>7</v>
      </c>
      <c r="C147" s="11">
        <f t="shared" si="18"/>
        <v>2</v>
      </c>
      <c r="D147" s="12">
        <f t="shared" si="20"/>
        <v>9379553.7363699991</v>
      </c>
      <c r="E147" s="11" t="str">
        <f t="shared" si="21"/>
        <v>20/21</v>
      </c>
      <c r="F147" s="11" t="str">
        <f t="shared" si="22"/>
        <v>Nov</v>
      </c>
      <c r="G147" s="11" t="str">
        <f t="shared" si="23"/>
        <v>Nov'20/21</v>
      </c>
      <c r="H147" s="11" t="str">
        <f t="shared" si="15"/>
        <v>Nov'20/21</v>
      </c>
      <c r="I147" s="11">
        <f t="shared" si="16"/>
        <v>107.14713522128501</v>
      </c>
      <c r="J147" s="11" t="str">
        <f t="shared" si="19"/>
        <v>Nov'20/21</v>
      </c>
      <c r="K147" s="41">
        <f>'S4 Arabica'!I147</f>
        <v>56.510141261168336</v>
      </c>
      <c r="L147" s="41">
        <f>'S5 Robusta'!I147</f>
        <v>47.086823245125011</v>
      </c>
    </row>
    <row r="148" spans="2:12" x14ac:dyDescent="0.55000000000000004">
      <c r="B148" s="11">
        <f t="shared" si="17"/>
        <v>7</v>
      </c>
      <c r="C148" s="11">
        <f t="shared" si="18"/>
        <v>3</v>
      </c>
      <c r="D148" s="12">
        <f t="shared" si="20"/>
        <v>10183492.560501665</v>
      </c>
      <c r="E148" s="11" t="str">
        <f t="shared" si="21"/>
        <v>20/21</v>
      </c>
      <c r="F148" s="11" t="str">
        <f t="shared" si="22"/>
        <v>Dec</v>
      </c>
      <c r="G148" s="11" t="str">
        <f t="shared" si="23"/>
        <v>Dec'20/21</v>
      </c>
      <c r="H148" s="11" t="str">
        <f t="shared" si="15"/>
        <v>Dec'20/21</v>
      </c>
      <c r="I148" s="11">
        <f t="shared" si="16"/>
        <v>107.74646343633</v>
      </c>
      <c r="J148" s="11" t="str">
        <f t="shared" si="19"/>
        <v>Dec'20/21</v>
      </c>
      <c r="K148" s="41">
        <f>'S4 Arabica'!I148</f>
        <v>57.475564989876673</v>
      </c>
      <c r="L148" s="41">
        <f>'S5 Robusta'!I148</f>
        <v>46.818244458768341</v>
      </c>
    </row>
    <row r="149" spans="2:12" x14ac:dyDescent="0.55000000000000004">
      <c r="B149" s="11">
        <f t="shared" si="17"/>
        <v>7</v>
      </c>
      <c r="C149" s="11">
        <f t="shared" si="18"/>
        <v>4</v>
      </c>
      <c r="D149" s="12">
        <f t="shared" si="20"/>
        <v>9453931.9417499993</v>
      </c>
      <c r="E149" s="11" t="str">
        <f t="shared" si="21"/>
        <v>20/21</v>
      </c>
      <c r="F149" s="11" t="str">
        <f t="shared" si="22"/>
        <v>Jan</v>
      </c>
      <c r="G149" s="11" t="str">
        <f t="shared" si="23"/>
        <v>Jan'20/21</v>
      </c>
      <c r="H149" s="11" t="str">
        <f t="shared" si="15"/>
        <v>Jan'20/21</v>
      </c>
      <c r="I149" s="11">
        <f t="shared" si="16"/>
        <v>108.06789993309334</v>
      </c>
      <c r="J149" s="11" t="str">
        <f t="shared" si="19"/>
        <v>Jan'20/21</v>
      </c>
      <c r="K149" s="41">
        <f>'S4 Arabica'!I149</f>
        <v>57.365120081941669</v>
      </c>
      <c r="L149" s="41">
        <f>'S5 Robusta'!I149</f>
        <v>47.236084625755005</v>
      </c>
    </row>
    <row r="150" spans="2:12" x14ac:dyDescent="0.55000000000000004">
      <c r="B150" s="11">
        <f t="shared" si="17"/>
        <v>7</v>
      </c>
      <c r="C150" s="11">
        <f t="shared" si="18"/>
        <v>5</v>
      </c>
      <c r="D150" s="12">
        <f t="shared" si="20"/>
        <v>9435594.9918466657</v>
      </c>
      <c r="E150" s="11" t="str">
        <f t="shared" si="21"/>
        <v>20/21</v>
      </c>
      <c r="F150" s="11" t="str">
        <f t="shared" si="22"/>
        <v>Feb</v>
      </c>
      <c r="G150" s="11" t="str">
        <f t="shared" si="23"/>
        <v>Feb'20/21</v>
      </c>
      <c r="H150" s="11" t="str">
        <f t="shared" ref="H150:H213" si="24">G150</f>
        <v>Feb'20/21</v>
      </c>
      <c r="I150" s="11">
        <f t="shared" ref="I150:I213" si="25">SUM(D139:D150)/1000000</f>
        <v>108.13792200507334</v>
      </c>
      <c r="J150" s="11" t="str">
        <f t="shared" si="19"/>
        <v>Feb'20/21</v>
      </c>
      <c r="K150" s="41">
        <f>'S4 Arabica'!I150</f>
        <v>58.258575744391671</v>
      </c>
      <c r="L150" s="41">
        <f>'S5 Robusta'!I150</f>
        <v>46.40619303519</v>
      </c>
    </row>
    <row r="151" spans="2:12" x14ac:dyDescent="0.55000000000000004">
      <c r="B151" s="11">
        <f t="shared" ref="B151:B214" si="26">B139+1</f>
        <v>7</v>
      </c>
      <c r="C151" s="11">
        <f t="shared" ref="C151:C214" si="27">C139</f>
        <v>6</v>
      </c>
      <c r="D151" s="12">
        <f t="shared" si="20"/>
        <v>10369730.646308333</v>
      </c>
      <c r="E151" s="11" t="str">
        <f t="shared" si="21"/>
        <v>20/21</v>
      </c>
      <c r="F151" s="11" t="str">
        <f t="shared" si="22"/>
        <v>Mar</v>
      </c>
      <c r="G151" s="11" t="str">
        <f t="shared" si="23"/>
        <v>Mar'20/21</v>
      </c>
      <c r="H151" s="11" t="str">
        <f t="shared" si="24"/>
        <v>Mar'20/21</v>
      </c>
      <c r="I151" s="11">
        <f t="shared" si="25"/>
        <v>108.58043791207334</v>
      </c>
      <c r="J151" s="11" t="str">
        <f t="shared" si="19"/>
        <v>Mar'20/21</v>
      </c>
      <c r="K151" s="41">
        <f>'S4 Arabica'!I151</f>
        <v>58.669867331100001</v>
      </c>
      <c r="L151" s="41">
        <f>'S5 Robusta'!I151</f>
        <v>46.411593198570003</v>
      </c>
    </row>
    <row r="152" spans="2:12" x14ac:dyDescent="0.55000000000000004">
      <c r="B152" s="11">
        <f t="shared" si="26"/>
        <v>7</v>
      </c>
      <c r="C152" s="11">
        <f t="shared" si="27"/>
        <v>7</v>
      </c>
      <c r="D152" s="12">
        <f t="shared" si="20"/>
        <v>9226661.4845583327</v>
      </c>
      <c r="E152" s="11" t="str">
        <f t="shared" si="21"/>
        <v>20/21</v>
      </c>
      <c r="F152" s="11" t="str">
        <f t="shared" si="22"/>
        <v>Apr</v>
      </c>
      <c r="G152" s="11" t="str">
        <f t="shared" si="23"/>
        <v>Apr'20/21</v>
      </c>
      <c r="H152" s="11" t="str">
        <f t="shared" si="24"/>
        <v>Apr'20/21</v>
      </c>
      <c r="I152" s="11">
        <f t="shared" si="25"/>
        <v>108.96989053598168</v>
      </c>
      <c r="J152" s="11" t="str">
        <f t="shared" si="19"/>
        <v>Apr'20/21</v>
      </c>
      <c r="K152" s="41">
        <f>'S4 Arabica'!I152</f>
        <v>59.3366088796</v>
      </c>
      <c r="L152" s="41">
        <f>'S5 Robusta'!I152</f>
        <v>46.141489296998337</v>
      </c>
    </row>
    <row r="153" spans="2:12" x14ac:dyDescent="0.55000000000000004">
      <c r="B153" s="11">
        <f t="shared" si="26"/>
        <v>7</v>
      </c>
      <c r="C153" s="11">
        <f t="shared" si="27"/>
        <v>8</v>
      </c>
      <c r="D153" s="12">
        <f t="shared" si="20"/>
        <v>8081572.8680766672</v>
      </c>
      <c r="E153" s="11" t="str">
        <f t="shared" si="21"/>
        <v>20/21</v>
      </c>
      <c r="F153" s="11" t="str">
        <f t="shared" si="22"/>
        <v>May</v>
      </c>
      <c r="G153" s="11" t="str">
        <f t="shared" si="23"/>
        <v>May'20/21</v>
      </c>
      <c r="H153" s="11" t="str">
        <f t="shared" si="24"/>
        <v>May'20/21</v>
      </c>
      <c r="I153" s="11">
        <f t="shared" si="25"/>
        <v>108.81883979805833</v>
      </c>
      <c r="J153" s="11" t="str">
        <f t="shared" si="19"/>
        <v>May'20/21</v>
      </c>
      <c r="K153" s="41">
        <f>'S4 Arabica'!I153</f>
        <v>59.143641327933324</v>
      </c>
      <c r="L153" s="41">
        <f>'S5 Robusta'!I153</f>
        <v>46.22670369203334</v>
      </c>
    </row>
    <row r="154" spans="2:12" x14ac:dyDescent="0.55000000000000004">
      <c r="B154" s="11">
        <f t="shared" si="26"/>
        <v>7</v>
      </c>
      <c r="C154" s="11">
        <f t="shared" si="27"/>
        <v>9</v>
      </c>
      <c r="D154" s="12">
        <f t="shared" si="20"/>
        <v>8948562.804303335</v>
      </c>
      <c r="E154" s="11" t="str">
        <f t="shared" si="21"/>
        <v>20/21</v>
      </c>
      <c r="F154" s="11" t="str">
        <f t="shared" si="22"/>
        <v>Jun</v>
      </c>
      <c r="G154" s="11" t="str">
        <f t="shared" si="23"/>
        <v>Jun'20/21</v>
      </c>
      <c r="H154" s="11" t="str">
        <f t="shared" si="24"/>
        <v>Jun'20/21</v>
      </c>
      <c r="I154" s="11">
        <f t="shared" si="25"/>
        <v>109.56701962572164</v>
      </c>
      <c r="J154" s="11" t="str">
        <f t="shared" si="19"/>
        <v>Jun'20/21</v>
      </c>
      <c r="K154" s="41">
        <f>'S4 Arabica'!I154</f>
        <v>59.571603464008334</v>
      </c>
      <c r="L154" s="41">
        <f>'S5 Robusta'!I154</f>
        <v>46.548417096603345</v>
      </c>
    </row>
    <row r="155" spans="2:12" x14ac:dyDescent="0.55000000000000004">
      <c r="B155" s="11">
        <f t="shared" si="26"/>
        <v>7</v>
      </c>
      <c r="C155" s="11">
        <f t="shared" si="27"/>
        <v>10</v>
      </c>
      <c r="D155" s="12">
        <f t="shared" si="20"/>
        <v>8804921.729065001</v>
      </c>
      <c r="E155" s="11" t="str">
        <f t="shared" si="21"/>
        <v>20/21</v>
      </c>
      <c r="F155" s="11" t="str">
        <f t="shared" si="22"/>
        <v>Jul</v>
      </c>
      <c r="G155" s="11" t="str">
        <f t="shared" si="23"/>
        <v>Jul'20/21</v>
      </c>
      <c r="H155" s="11" t="str">
        <f t="shared" si="24"/>
        <v>Jul'20/21</v>
      </c>
      <c r="I155" s="11">
        <f t="shared" si="25"/>
        <v>110.08625670106166</v>
      </c>
      <c r="J155" s="11" t="str">
        <f t="shared" si="19"/>
        <v>Jul'20/21</v>
      </c>
      <c r="K155" s="41">
        <f>'S4 Arabica'!I155</f>
        <v>59.927282850874995</v>
      </c>
      <c r="L155" s="41">
        <f>'S5 Robusta'!I155</f>
        <v>46.813770715175004</v>
      </c>
    </row>
    <row r="156" spans="2:12" x14ac:dyDescent="0.55000000000000004">
      <c r="B156" s="11">
        <f t="shared" si="26"/>
        <v>7</v>
      </c>
      <c r="C156" s="11">
        <f t="shared" si="27"/>
        <v>11</v>
      </c>
      <c r="D156" s="12">
        <f t="shared" si="20"/>
        <v>8391953.8500716686</v>
      </c>
      <c r="E156" s="11" t="str">
        <f t="shared" si="21"/>
        <v>20/21</v>
      </c>
      <c r="F156" s="11" t="str">
        <f t="shared" si="22"/>
        <v>Aug</v>
      </c>
      <c r="G156" s="11" t="str">
        <f t="shared" si="23"/>
        <v>Aug'20/21</v>
      </c>
      <c r="H156" s="11" t="str">
        <f t="shared" si="24"/>
        <v>Aug'20/21</v>
      </c>
      <c r="I156" s="11">
        <f t="shared" si="25"/>
        <v>110.03955239204167</v>
      </c>
      <c r="J156" s="11" t="str">
        <f t="shared" si="19"/>
        <v>Aug'20/21</v>
      </c>
      <c r="K156" s="41">
        <f>'S4 Arabica'!I156</f>
        <v>59.732135501133342</v>
      </c>
      <c r="L156" s="41">
        <f>'S5 Robusta'!I156</f>
        <v>47.16936060369833</v>
      </c>
    </row>
    <row r="157" spans="2:12" x14ac:dyDescent="0.55000000000000004">
      <c r="B157" s="11">
        <f t="shared" si="26"/>
        <v>7</v>
      </c>
      <c r="C157" s="11">
        <f t="shared" si="27"/>
        <v>12</v>
      </c>
      <c r="D157" s="12">
        <f t="shared" si="20"/>
        <v>8629896.7056850009</v>
      </c>
      <c r="E157" s="11" t="str">
        <f t="shared" si="21"/>
        <v>20/21</v>
      </c>
      <c r="F157" s="11" t="str">
        <f t="shared" si="22"/>
        <v>Sep</v>
      </c>
      <c r="G157" s="11" t="str">
        <f t="shared" si="23"/>
        <v>Sep'20/21</v>
      </c>
      <c r="H157" s="11" t="str">
        <f t="shared" si="24"/>
        <v>Sep'20/21</v>
      </c>
      <c r="I157" s="11">
        <f t="shared" si="25"/>
        <v>109.77478637004501</v>
      </c>
      <c r="J157" s="11" t="str">
        <f t="shared" si="19"/>
        <v>Sep'20/21</v>
      </c>
      <c r="K157" s="41">
        <f>'S4 Arabica'!I157</f>
        <v>59.471118417799993</v>
      </c>
      <c r="L157" s="41">
        <f>'S5 Robusta'!I157</f>
        <v>47.198156729934993</v>
      </c>
    </row>
    <row r="158" spans="2:12" x14ac:dyDescent="0.55000000000000004">
      <c r="B158" s="11">
        <f t="shared" si="26"/>
        <v>8</v>
      </c>
      <c r="C158" s="11">
        <f t="shared" si="27"/>
        <v>1</v>
      </c>
      <c r="D158" s="12">
        <f t="shared" si="20"/>
        <v>8682954.3866033331</v>
      </c>
      <c r="E158" s="11" t="str">
        <f t="shared" si="21"/>
        <v>21/22</v>
      </c>
      <c r="F158" s="11" t="str">
        <f t="shared" si="22"/>
        <v>Oct</v>
      </c>
      <c r="G158" s="11" t="str">
        <f t="shared" si="23"/>
        <v>Oct'21/22</v>
      </c>
      <c r="H158" s="11" t="str">
        <f t="shared" si="24"/>
        <v>Oct'21/22</v>
      </c>
      <c r="I158" s="11">
        <f t="shared" si="25"/>
        <v>109.58882770513999</v>
      </c>
      <c r="J158" s="11" t="str">
        <f t="shared" si="19"/>
        <v>Oct'21/22</v>
      </c>
      <c r="K158" s="41">
        <f>'S4 Arabica'!I158</f>
        <v>58.849852949991664</v>
      </c>
      <c r="L158" s="41">
        <f>'S5 Robusta'!I158</f>
        <v>47.484613388648334</v>
      </c>
    </row>
    <row r="159" spans="2:12" x14ac:dyDescent="0.55000000000000004">
      <c r="B159" s="11">
        <f t="shared" si="26"/>
        <v>8</v>
      </c>
      <c r="C159" s="11">
        <f t="shared" si="27"/>
        <v>2</v>
      </c>
      <c r="D159" s="12">
        <f t="shared" si="20"/>
        <v>8725620.277123332</v>
      </c>
      <c r="E159" s="11" t="str">
        <f t="shared" si="21"/>
        <v>21/22</v>
      </c>
      <c r="F159" s="11" t="str">
        <f t="shared" si="22"/>
        <v>Nov</v>
      </c>
      <c r="G159" s="11" t="str">
        <f t="shared" si="23"/>
        <v>Nov'21/22</v>
      </c>
      <c r="H159" s="11" t="str">
        <f t="shared" si="24"/>
        <v>Nov'21/22</v>
      </c>
      <c r="I159" s="11">
        <f t="shared" si="25"/>
        <v>108.93489424589333</v>
      </c>
      <c r="J159" s="11" t="str">
        <f t="shared" si="19"/>
        <v>Nov'21/22</v>
      </c>
      <c r="K159" s="41">
        <f>'S4 Arabica'!I159</f>
        <v>57.469741777716663</v>
      </c>
      <c r="L159" s="41">
        <f>'S5 Robusta'!I159</f>
        <v>48.178507231993329</v>
      </c>
    </row>
    <row r="160" spans="2:12" x14ac:dyDescent="0.55000000000000004">
      <c r="B160" s="11">
        <f t="shared" si="26"/>
        <v>8</v>
      </c>
      <c r="C160" s="11">
        <f t="shared" si="27"/>
        <v>3</v>
      </c>
      <c r="D160" s="12">
        <f t="shared" si="20"/>
        <v>10596655.251703333</v>
      </c>
      <c r="E160" s="11" t="str">
        <f t="shared" si="21"/>
        <v>21/22</v>
      </c>
      <c r="F160" s="11" t="str">
        <f t="shared" si="22"/>
        <v>Dec</v>
      </c>
      <c r="G160" s="11" t="str">
        <f t="shared" si="23"/>
        <v>Dec'21/22</v>
      </c>
      <c r="H160" s="11" t="str">
        <f t="shared" si="24"/>
        <v>Dec'21/22</v>
      </c>
      <c r="I160" s="11">
        <f t="shared" si="25"/>
        <v>109.348056937095</v>
      </c>
      <c r="J160" s="11" t="str">
        <f t="shared" si="19"/>
        <v>Dec'21/22</v>
      </c>
      <c r="K160" s="41">
        <f>'S4 Arabica'!I160</f>
        <v>57.200836251424995</v>
      </c>
      <c r="L160" s="41">
        <f>'S5 Robusta'!I160</f>
        <v>48.725147462220001</v>
      </c>
    </row>
    <row r="161" spans="2:12" x14ac:dyDescent="0.55000000000000004">
      <c r="B161" s="11">
        <f t="shared" si="26"/>
        <v>8</v>
      </c>
      <c r="C161" s="11">
        <f t="shared" si="27"/>
        <v>4</v>
      </c>
      <c r="D161" s="12">
        <f t="shared" si="20"/>
        <v>10945405.364991667</v>
      </c>
      <c r="E161" s="11" t="str">
        <f t="shared" si="21"/>
        <v>21/22</v>
      </c>
      <c r="F161" s="11" t="str">
        <f t="shared" si="22"/>
        <v>Jan</v>
      </c>
      <c r="G161" s="11" t="str">
        <f t="shared" si="23"/>
        <v>Jan'21/22</v>
      </c>
      <c r="H161" s="11" t="str">
        <f t="shared" si="24"/>
        <v>Jan'21/22</v>
      </c>
      <c r="I161" s="11">
        <f t="shared" si="25"/>
        <v>110.83953036033668</v>
      </c>
      <c r="J161" s="11" t="str">
        <f t="shared" si="19"/>
        <v>Jan'21/22</v>
      </c>
      <c r="K161" s="41">
        <f>'S4 Arabica'!I161</f>
        <v>57.105346018516677</v>
      </c>
      <c r="L161" s="41">
        <f>'S5 Robusta'!I161</f>
        <v>49.985556637838336</v>
      </c>
    </row>
    <row r="162" spans="2:12" x14ac:dyDescent="0.55000000000000004">
      <c r="B162" s="11">
        <f t="shared" si="26"/>
        <v>8</v>
      </c>
      <c r="C162" s="11">
        <f t="shared" si="27"/>
        <v>5</v>
      </c>
      <c r="D162" s="12">
        <f t="shared" si="20"/>
        <v>9289449.4602016658</v>
      </c>
      <c r="E162" s="11" t="str">
        <f t="shared" si="21"/>
        <v>21/22</v>
      </c>
      <c r="F162" s="11" t="str">
        <f t="shared" si="22"/>
        <v>Feb</v>
      </c>
      <c r="G162" s="11" t="str">
        <f t="shared" si="23"/>
        <v>Feb'21/22</v>
      </c>
      <c r="H162" s="11" t="str">
        <f t="shared" si="24"/>
        <v>Feb'21/22</v>
      </c>
      <c r="I162" s="11">
        <f t="shared" si="25"/>
        <v>110.69338482869166</v>
      </c>
      <c r="J162" s="11" t="str">
        <f t="shared" si="19"/>
        <v>Feb'21/22</v>
      </c>
      <c r="K162" s="41">
        <f>'S4 Arabica'!I162</f>
        <v>56.503479199746671</v>
      </c>
      <c r="L162" s="41">
        <f>'S5 Robusta'!I162</f>
        <v>50.090144805863339</v>
      </c>
    </row>
    <row r="163" spans="2:12" x14ac:dyDescent="0.55000000000000004">
      <c r="B163" s="11">
        <f t="shared" si="26"/>
        <v>8</v>
      </c>
      <c r="C163" s="11">
        <f t="shared" si="27"/>
        <v>6</v>
      </c>
      <c r="D163" s="12">
        <f t="shared" si="20"/>
        <v>11034727.429591669</v>
      </c>
      <c r="E163" s="11" t="str">
        <f t="shared" si="21"/>
        <v>21/22</v>
      </c>
      <c r="F163" s="11" t="str">
        <f t="shared" si="22"/>
        <v>Mar</v>
      </c>
      <c r="G163" s="11" t="str">
        <f t="shared" si="23"/>
        <v>Mar'21/22</v>
      </c>
      <c r="H163" s="11" t="str">
        <f t="shared" si="24"/>
        <v>Mar'21/22</v>
      </c>
      <c r="I163" s="11">
        <f t="shared" si="25"/>
        <v>111.35838161197501</v>
      </c>
      <c r="J163" s="11" t="str">
        <f t="shared" si="19"/>
        <v>Mar'21/22</v>
      </c>
      <c r="K163" s="41">
        <f>'S4 Arabica'!I163</f>
        <v>56.674208183148338</v>
      </c>
      <c r="L163" s="41">
        <f>'S5 Robusta'!I163</f>
        <v>50.400568162490003</v>
      </c>
    </row>
    <row r="164" spans="2:12" x14ac:dyDescent="0.55000000000000004">
      <c r="B164" s="11">
        <f t="shared" si="26"/>
        <v>8</v>
      </c>
      <c r="C164" s="11">
        <f t="shared" si="27"/>
        <v>7</v>
      </c>
      <c r="D164" s="12">
        <f t="shared" si="20"/>
        <v>8673602.0846550018</v>
      </c>
      <c r="E164" s="11" t="str">
        <f t="shared" si="21"/>
        <v>21/22</v>
      </c>
      <c r="F164" s="11" t="str">
        <f t="shared" si="22"/>
        <v>Apr</v>
      </c>
      <c r="G164" s="11" t="str">
        <f t="shared" si="23"/>
        <v>Apr'21/22</v>
      </c>
      <c r="H164" s="11" t="str">
        <f t="shared" si="24"/>
        <v>Apr'21/22</v>
      </c>
      <c r="I164" s="11">
        <f t="shared" si="25"/>
        <v>110.80532221207167</v>
      </c>
      <c r="J164" s="11" t="str">
        <f t="shared" si="19"/>
        <v>Apr'21/22</v>
      </c>
      <c r="K164" s="41">
        <f>'S4 Arabica'!I164</f>
        <v>55.827922066998333</v>
      </c>
      <c r="L164" s="41">
        <f>'S5 Robusta'!I164</f>
        <v>50.636794342200012</v>
      </c>
    </row>
    <row r="165" spans="2:12" x14ac:dyDescent="0.55000000000000004">
      <c r="B165" s="11">
        <f t="shared" si="26"/>
        <v>8</v>
      </c>
      <c r="C165" s="11">
        <f t="shared" si="27"/>
        <v>8</v>
      </c>
      <c r="D165" s="12">
        <f t="shared" si="20"/>
        <v>8568672.42038</v>
      </c>
      <c r="E165" s="11" t="str">
        <f t="shared" si="21"/>
        <v>21/22</v>
      </c>
      <c r="F165" s="11" t="str">
        <f t="shared" si="22"/>
        <v>May</v>
      </c>
      <c r="G165" s="11" t="str">
        <f t="shared" si="23"/>
        <v>May'21/22</v>
      </c>
      <c r="H165" s="11" t="str">
        <f t="shared" si="24"/>
        <v>May'21/22</v>
      </c>
      <c r="I165" s="11">
        <f t="shared" si="25"/>
        <v>111.29242176437501</v>
      </c>
      <c r="J165" s="11" t="str">
        <f t="shared" si="19"/>
        <v>May'21/22</v>
      </c>
      <c r="K165" s="41">
        <f>'S4 Arabica'!I165</f>
        <v>55.940727319548337</v>
      </c>
      <c r="L165" s="41">
        <f>'S5 Robusta'!I165</f>
        <v>50.963866864518337</v>
      </c>
    </row>
    <row r="166" spans="2:12" x14ac:dyDescent="0.55000000000000004">
      <c r="B166" s="11">
        <f t="shared" si="26"/>
        <v>8</v>
      </c>
      <c r="C166" s="11">
        <f t="shared" si="27"/>
        <v>9</v>
      </c>
      <c r="D166" s="12">
        <f t="shared" si="20"/>
        <v>8903476.6770883333</v>
      </c>
      <c r="E166" s="11" t="str">
        <f t="shared" si="21"/>
        <v>21/22</v>
      </c>
      <c r="F166" s="11" t="str">
        <f t="shared" si="22"/>
        <v>Jun</v>
      </c>
      <c r="G166" s="11" t="str">
        <f t="shared" si="23"/>
        <v>Jun'21/22</v>
      </c>
      <c r="H166" s="11" t="str">
        <f t="shared" si="24"/>
        <v>Jun'21/22</v>
      </c>
      <c r="I166" s="11">
        <f t="shared" si="25"/>
        <v>111.24733563716001</v>
      </c>
      <c r="J166" s="11" t="str">
        <f t="shared" si="19"/>
        <v>Jun'21/22</v>
      </c>
      <c r="K166" s="41">
        <f>'S4 Arabica'!I166</f>
        <v>55.959276306806672</v>
      </c>
      <c r="L166" s="41">
        <f>'S5 Robusta'!I166</f>
        <v>50.835281129605008</v>
      </c>
    </row>
    <row r="167" spans="2:12" x14ac:dyDescent="0.55000000000000004">
      <c r="B167" s="11">
        <f t="shared" si="26"/>
        <v>8</v>
      </c>
      <c r="C167" s="11">
        <f t="shared" si="27"/>
        <v>10</v>
      </c>
      <c r="D167" s="12">
        <f t="shared" si="20"/>
        <v>8082680.9091466675</v>
      </c>
      <c r="E167" s="11" t="str">
        <f t="shared" si="21"/>
        <v>21/22</v>
      </c>
      <c r="F167" s="11" t="str">
        <f t="shared" si="22"/>
        <v>Jul</v>
      </c>
      <c r="G167" s="11" t="str">
        <f t="shared" si="23"/>
        <v>Jul'21/22</v>
      </c>
      <c r="H167" s="11" t="str">
        <f t="shared" si="24"/>
        <v>Jul'21/22</v>
      </c>
      <c r="I167" s="11">
        <f t="shared" si="25"/>
        <v>110.52509481724167</v>
      </c>
      <c r="J167" s="11" t="str">
        <f t="shared" si="19"/>
        <v>Jul'21/22</v>
      </c>
      <c r="K167" s="41">
        <f>'S4 Arabica'!I167</f>
        <v>55.433399876748339</v>
      </c>
      <c r="L167" s="41">
        <f>'S5 Robusta'!I167</f>
        <v>50.556356928425004</v>
      </c>
    </row>
    <row r="168" spans="2:12" x14ac:dyDescent="0.55000000000000004">
      <c r="B168" s="11">
        <f t="shared" si="26"/>
        <v>8</v>
      </c>
      <c r="C168" s="11">
        <f t="shared" si="27"/>
        <v>11</v>
      </c>
      <c r="D168" s="12">
        <f t="shared" si="20"/>
        <v>8370520.3567933338</v>
      </c>
      <c r="E168" s="11" t="str">
        <f t="shared" si="21"/>
        <v>21/22</v>
      </c>
      <c r="F168" s="11" t="str">
        <f t="shared" si="22"/>
        <v>Aug</v>
      </c>
      <c r="G168" s="11" t="str">
        <f t="shared" si="23"/>
        <v>Aug'21/22</v>
      </c>
      <c r="H168" s="11" t="str">
        <f t="shared" si="24"/>
        <v>Aug'21/22</v>
      </c>
      <c r="I168" s="11">
        <f t="shared" si="25"/>
        <v>110.50366132396333</v>
      </c>
      <c r="J168" s="11" t="str">
        <f t="shared" si="19"/>
        <v>Aug'21/22</v>
      </c>
      <c r="K168" s="41">
        <f>'S4 Arabica'!I168</f>
        <v>55.208119453081665</v>
      </c>
      <c r="L168" s="41">
        <f>'S5 Robusta'!I168</f>
        <v>50.560357707076669</v>
      </c>
    </row>
    <row r="169" spans="2:12" x14ac:dyDescent="0.55000000000000004">
      <c r="B169" s="11">
        <f t="shared" si="26"/>
        <v>8</v>
      </c>
      <c r="C169" s="11">
        <f t="shared" si="27"/>
        <v>12</v>
      </c>
      <c r="D169" s="12">
        <f t="shared" si="20"/>
        <v>8420163.7761016656</v>
      </c>
      <c r="E169" s="11" t="str">
        <f t="shared" si="21"/>
        <v>21/22</v>
      </c>
      <c r="F169" s="11" t="str">
        <f t="shared" si="22"/>
        <v>Sep</v>
      </c>
      <c r="G169" s="11" t="str">
        <f t="shared" si="23"/>
        <v>Sep'21/22</v>
      </c>
      <c r="H169" s="11" t="str">
        <f t="shared" si="24"/>
        <v>Sep'21/22</v>
      </c>
      <c r="I169" s="11">
        <f t="shared" si="25"/>
        <v>110.29392839437999</v>
      </c>
      <c r="J169" s="11" t="str">
        <f t="shared" si="19"/>
        <v>Sep'21/22</v>
      </c>
      <c r="K169" s="41">
        <f>'S4 Arabica'!I169</f>
        <v>55.280244815748325</v>
      </c>
      <c r="L169" s="41">
        <f>'S5 Robusta'!I169</f>
        <v>50.244529200886667</v>
      </c>
    </row>
    <row r="170" spans="2:12" x14ac:dyDescent="0.55000000000000004">
      <c r="B170" s="11">
        <f t="shared" si="26"/>
        <v>9</v>
      </c>
      <c r="C170" s="11">
        <f t="shared" si="27"/>
        <v>1</v>
      </c>
      <c r="D170" s="12">
        <f t="shared" si="20"/>
        <v>8102670.2379316669</v>
      </c>
      <c r="E170" s="11" t="str">
        <f t="shared" si="21"/>
        <v>22/23</v>
      </c>
      <c r="F170" s="11" t="str">
        <f t="shared" si="22"/>
        <v>Oct</v>
      </c>
      <c r="G170" s="11" t="str">
        <f t="shared" si="23"/>
        <v>Oct'22/23</v>
      </c>
      <c r="H170" s="11" t="str">
        <f t="shared" si="24"/>
        <v>Oct'22/23</v>
      </c>
      <c r="I170" s="11">
        <f t="shared" si="25"/>
        <v>109.71364424570834</v>
      </c>
      <c r="J170" s="11" t="str">
        <f t="shared" si="19"/>
        <v>Oct'22/23</v>
      </c>
      <c r="K170" s="41">
        <f>'S4 Arabica'!I170</f>
        <v>55.374984808389996</v>
      </c>
      <c r="L170" s="41">
        <f>'S5 Robusta'!I170</f>
        <v>49.592621739123338</v>
      </c>
    </row>
    <row r="171" spans="2:12" x14ac:dyDescent="0.55000000000000004">
      <c r="B171" s="11">
        <f t="shared" si="26"/>
        <v>9</v>
      </c>
      <c r="C171" s="11">
        <f t="shared" si="27"/>
        <v>2</v>
      </c>
      <c r="D171" s="12">
        <f t="shared" si="20"/>
        <v>8908202.6699983347</v>
      </c>
      <c r="E171" s="11" t="str">
        <f t="shared" si="21"/>
        <v>22/23</v>
      </c>
      <c r="F171" s="11" t="str">
        <f t="shared" si="22"/>
        <v>Nov</v>
      </c>
      <c r="G171" s="11" t="str">
        <f t="shared" si="23"/>
        <v>Nov'22/23</v>
      </c>
      <c r="H171" s="11" t="str">
        <f t="shared" si="24"/>
        <v>Nov'22/23</v>
      </c>
      <c r="I171" s="11">
        <f t="shared" si="25"/>
        <v>109.89622663858333</v>
      </c>
      <c r="J171" s="11" t="str">
        <f t="shared" si="19"/>
        <v>Nov'22/23</v>
      </c>
      <c r="K171" s="41">
        <f>'S4 Arabica'!I171</f>
        <v>55.670752053831649</v>
      </c>
      <c r="L171" s="41">
        <f>'S5 Robusta'!I171</f>
        <v>49.629430013146674</v>
      </c>
    </row>
    <row r="172" spans="2:12" x14ac:dyDescent="0.55000000000000004">
      <c r="B172" s="11">
        <f t="shared" si="26"/>
        <v>9</v>
      </c>
      <c r="C172" s="11">
        <f t="shared" si="27"/>
        <v>3</v>
      </c>
      <c r="D172" s="12">
        <f t="shared" si="20"/>
        <v>9247922.4839816652</v>
      </c>
      <c r="E172" s="11" t="str">
        <f t="shared" si="21"/>
        <v>22/23</v>
      </c>
      <c r="F172" s="11" t="str">
        <f t="shared" si="22"/>
        <v>Dec</v>
      </c>
      <c r="G172" s="11" t="str">
        <f t="shared" si="23"/>
        <v>Dec'22/23</v>
      </c>
      <c r="H172" s="11" t="str">
        <f t="shared" si="24"/>
        <v>Dec'22/23</v>
      </c>
      <c r="I172" s="11">
        <f t="shared" si="25"/>
        <v>108.54749387086166</v>
      </c>
      <c r="J172" s="11" t="str">
        <f t="shared" si="19"/>
        <v>Dec'22/23</v>
      </c>
      <c r="K172" s="41">
        <f>'S4 Arabica'!I172</f>
        <v>54.819738385373334</v>
      </c>
      <c r="L172" s="41">
        <f>'S5 Robusta'!I172</f>
        <v>49.375949456438342</v>
      </c>
    </row>
    <row r="173" spans="2:12" x14ac:dyDescent="0.55000000000000004">
      <c r="B173" s="11">
        <f t="shared" si="26"/>
        <v>9</v>
      </c>
      <c r="C173" s="11">
        <f t="shared" si="27"/>
        <v>4</v>
      </c>
      <c r="D173" s="12">
        <f t="shared" si="20"/>
        <v>8309169.3171172645</v>
      </c>
      <c r="E173" s="11" t="str">
        <f t="shared" si="21"/>
        <v>22/23</v>
      </c>
      <c r="F173" s="11" t="str">
        <f t="shared" si="22"/>
        <v>Jan</v>
      </c>
      <c r="G173" s="11" t="str">
        <f t="shared" si="23"/>
        <v>Jan'22/23</v>
      </c>
      <c r="H173" s="11" t="str">
        <f t="shared" si="24"/>
        <v>Jan'22/23</v>
      </c>
      <c r="I173" s="11">
        <f t="shared" si="25"/>
        <v>105.91125782298727</v>
      </c>
      <c r="J173" s="11" t="str">
        <f t="shared" si="19"/>
        <v>Jan'22/23</v>
      </c>
      <c r="K173" s="41">
        <f>'S4 Arabica'!I173</f>
        <v>53.978098934569999</v>
      </c>
      <c r="L173" s="41">
        <f>'S5 Robusta'!I173</f>
        <v>47.876721149120606</v>
      </c>
    </row>
    <row r="174" spans="2:12" x14ac:dyDescent="0.55000000000000004">
      <c r="B174" s="11">
        <f t="shared" si="26"/>
        <v>9</v>
      </c>
      <c r="C174" s="11">
        <f t="shared" si="27"/>
        <v>5</v>
      </c>
      <c r="D174" s="12">
        <f t="shared" si="20"/>
        <v>8131431.9662061539</v>
      </c>
      <c r="E174" s="11" t="str">
        <f t="shared" si="21"/>
        <v>22/23</v>
      </c>
      <c r="F174" s="11" t="str">
        <f t="shared" si="22"/>
        <v>Feb</v>
      </c>
      <c r="G174" s="11" t="str">
        <f t="shared" si="23"/>
        <v>Feb'22/23</v>
      </c>
      <c r="H174" s="11" t="str">
        <f t="shared" si="24"/>
        <v>Feb'22/23</v>
      </c>
      <c r="I174" s="11">
        <f t="shared" si="25"/>
        <v>104.75324032899174</v>
      </c>
      <c r="J174" s="11" t="str">
        <f t="shared" si="19"/>
        <v>Feb'22/23</v>
      </c>
      <c r="K174" s="41">
        <f>'S4 Arabica'!I174</f>
        <v>52.863807223781663</v>
      </c>
      <c r="L174" s="41">
        <f>'S5 Robusta'!I174</f>
        <v>48.192930141223414</v>
      </c>
    </row>
    <row r="175" spans="2:12" x14ac:dyDescent="0.55000000000000004">
      <c r="B175" s="11">
        <f t="shared" si="26"/>
        <v>9</v>
      </c>
      <c r="C175" s="11">
        <f t="shared" si="27"/>
        <v>6</v>
      </c>
      <c r="D175" s="12">
        <f t="shared" si="20"/>
        <v>9636946.1915544458</v>
      </c>
      <c r="E175" s="11" t="str">
        <f t="shared" si="21"/>
        <v>22/23</v>
      </c>
      <c r="F175" s="11" t="str">
        <f t="shared" si="22"/>
        <v>Mar</v>
      </c>
      <c r="G175" s="11" t="str">
        <f t="shared" si="23"/>
        <v>Mar'22/23</v>
      </c>
      <c r="H175" s="11" t="str">
        <f t="shared" si="24"/>
        <v>Mar'22/23</v>
      </c>
      <c r="I175" s="11">
        <f t="shared" si="25"/>
        <v>103.35545909095453</v>
      </c>
      <c r="J175" s="11" t="str">
        <f t="shared" ref="J175:J229" si="28">H175</f>
        <v>Mar'22/23</v>
      </c>
      <c r="K175" s="41">
        <f>'S4 Arabica'!I175</f>
        <v>51.801873184613328</v>
      </c>
      <c r="L175" s="41">
        <f>'S5 Robusta'!I175</f>
        <v>48.055019918546193</v>
      </c>
    </row>
    <row r="176" spans="2:12" x14ac:dyDescent="0.55000000000000004">
      <c r="B176" s="11">
        <f t="shared" si="26"/>
        <v>9</v>
      </c>
      <c r="C176" s="11">
        <f t="shared" si="27"/>
        <v>7</v>
      </c>
      <c r="D176" s="12">
        <f t="shared" si="20"/>
        <v>8214652.1850111112</v>
      </c>
      <c r="E176" s="11" t="str">
        <f t="shared" si="21"/>
        <v>22/23</v>
      </c>
      <c r="F176" s="11" t="str">
        <f t="shared" si="22"/>
        <v>Apr</v>
      </c>
      <c r="G176" s="11" t="str">
        <f t="shared" si="23"/>
        <v>Apr'22/23</v>
      </c>
      <c r="H176" s="11" t="str">
        <f t="shared" si="24"/>
        <v>Apr'22/23</v>
      </c>
      <c r="I176" s="11">
        <f t="shared" si="25"/>
        <v>102.89650919131061</v>
      </c>
      <c r="J176" s="11" t="str">
        <f t="shared" si="28"/>
        <v>Apr'22/23</v>
      </c>
      <c r="K176" s="41">
        <f>'S4 Arabica'!I176</f>
        <v>51.393962997929989</v>
      </c>
      <c r="L176" s="41">
        <f>'S5 Robusta'!I176</f>
        <v>48.068618306053985</v>
      </c>
    </row>
    <row r="177" spans="2:12" x14ac:dyDescent="0.55000000000000004">
      <c r="B177" s="11">
        <f t="shared" si="26"/>
        <v>9</v>
      </c>
      <c r="C177" s="11">
        <f t="shared" si="27"/>
        <v>8</v>
      </c>
      <c r="D177" s="12">
        <f t="shared" si="20"/>
        <v>8268948.8918811949</v>
      </c>
      <c r="E177" s="11" t="str">
        <f t="shared" si="21"/>
        <v>22/23</v>
      </c>
      <c r="F177" s="11" t="str">
        <f t="shared" si="22"/>
        <v>May</v>
      </c>
      <c r="G177" s="11" t="str">
        <f t="shared" si="23"/>
        <v>May'22/23</v>
      </c>
      <c r="H177" s="11" t="str">
        <f t="shared" si="24"/>
        <v>May'22/23</v>
      </c>
      <c r="I177" s="11">
        <f t="shared" si="25"/>
        <v>102.59678566281181</v>
      </c>
      <c r="J177" s="11" t="str">
        <f t="shared" si="28"/>
        <v>May'22/23</v>
      </c>
      <c r="K177" s="41">
        <f>'S4 Arabica'!I177</f>
        <v>50.991130110879993</v>
      </c>
      <c r="L177" s="41">
        <f>'S5 Robusta'!I177</f>
        <v>48.1884026809185</v>
      </c>
    </row>
    <row r="178" spans="2:12" x14ac:dyDescent="0.55000000000000004">
      <c r="B178" s="11">
        <f t="shared" si="26"/>
        <v>9</v>
      </c>
      <c r="C178" s="11">
        <f t="shared" si="27"/>
        <v>9</v>
      </c>
      <c r="D178" s="12">
        <f t="shared" si="20"/>
        <v>8251092.2658844441</v>
      </c>
      <c r="E178" s="11" t="str">
        <f t="shared" si="21"/>
        <v>22/23</v>
      </c>
      <c r="F178" s="11" t="str">
        <f t="shared" si="22"/>
        <v>Jun</v>
      </c>
      <c r="G178" s="11" t="str">
        <f t="shared" si="23"/>
        <v>Jun'22/23</v>
      </c>
      <c r="H178" s="11" t="str">
        <f t="shared" si="24"/>
        <v>Jun'22/23</v>
      </c>
      <c r="I178" s="11">
        <f t="shared" si="25"/>
        <v>101.94440125160794</v>
      </c>
      <c r="J178" s="11" t="str">
        <f t="shared" si="28"/>
        <v>Jun'22/23</v>
      </c>
      <c r="K178" s="41">
        <f>'S4 Arabica'!I178</f>
        <v>50.182851500421663</v>
      </c>
      <c r="L178" s="41">
        <f>'S5 Robusta'!I178</f>
        <v>48.425177227151273</v>
      </c>
    </row>
    <row r="179" spans="2:12" x14ac:dyDescent="0.55000000000000004">
      <c r="B179" s="11">
        <f t="shared" si="26"/>
        <v>9</v>
      </c>
      <c r="C179" s="11">
        <f t="shared" si="27"/>
        <v>10</v>
      </c>
      <c r="D179" s="12">
        <f t="shared" si="20"/>
        <v>8333607.1805334128</v>
      </c>
      <c r="E179" s="11" t="str">
        <f t="shared" si="21"/>
        <v>22/23</v>
      </c>
      <c r="F179" s="11" t="str">
        <f t="shared" si="22"/>
        <v>Jul</v>
      </c>
      <c r="G179" s="11" t="str">
        <f t="shared" si="23"/>
        <v>Jul'22/23</v>
      </c>
      <c r="H179" s="11" t="str">
        <f t="shared" si="24"/>
        <v>Jul'22/23</v>
      </c>
      <c r="I179" s="11">
        <f t="shared" si="25"/>
        <v>102.19532752299469</v>
      </c>
      <c r="J179" s="11" t="str">
        <f t="shared" si="28"/>
        <v>Jul'22/23</v>
      </c>
      <c r="K179" s="41">
        <f>'S4 Arabica'!I179</f>
        <v>50.152588670638337</v>
      </c>
      <c r="L179" s="41">
        <f>'S5 Robusta'!I179</f>
        <v>48.793532474816352</v>
      </c>
    </row>
    <row r="180" spans="2:12" x14ac:dyDescent="0.55000000000000004">
      <c r="B180" s="11">
        <f t="shared" si="26"/>
        <v>9</v>
      </c>
      <c r="C180" s="11">
        <f t="shared" si="27"/>
        <v>11</v>
      </c>
      <c r="D180" s="12">
        <f t="shared" si="20"/>
        <v>8602311.3248744439</v>
      </c>
      <c r="E180" s="11" t="str">
        <f t="shared" si="21"/>
        <v>22/23</v>
      </c>
      <c r="F180" s="11" t="str">
        <f t="shared" si="22"/>
        <v>Aug</v>
      </c>
      <c r="G180" s="11" t="str">
        <f t="shared" si="23"/>
        <v>Aug'22/23</v>
      </c>
      <c r="H180" s="11" t="str">
        <f t="shared" si="24"/>
        <v>Aug'22/23</v>
      </c>
      <c r="I180" s="11">
        <f t="shared" si="25"/>
        <v>102.42711849107582</v>
      </c>
      <c r="J180" s="11" t="str">
        <f t="shared" si="28"/>
        <v>Aug'22/23</v>
      </c>
      <c r="K180" s="41">
        <f>'S4 Arabica'!I180</f>
        <v>50.494233280388336</v>
      </c>
      <c r="L180" s="41">
        <f>'S5 Robusta'!I180</f>
        <v>48.780145182647459</v>
      </c>
    </row>
    <row r="181" spans="2:12" x14ac:dyDescent="0.55000000000000004">
      <c r="B181" s="11">
        <f t="shared" si="26"/>
        <v>9</v>
      </c>
      <c r="C181" s="11">
        <f t="shared" si="27"/>
        <v>12</v>
      </c>
      <c r="D181" s="12">
        <f t="shared" si="20"/>
        <v>7224401.9092211118</v>
      </c>
      <c r="E181" s="11" t="str">
        <f t="shared" si="21"/>
        <v>22/23</v>
      </c>
      <c r="F181" s="11" t="str">
        <f t="shared" si="22"/>
        <v>Sep</v>
      </c>
      <c r="G181" s="11" t="str">
        <f t="shared" si="23"/>
        <v>Sep'22/23</v>
      </c>
      <c r="H181" s="11" t="str">
        <f t="shared" si="24"/>
        <v>Sep'22/23</v>
      </c>
      <c r="I181" s="11">
        <f t="shared" si="25"/>
        <v>101.23135662419524</v>
      </c>
      <c r="J181" s="11" t="str">
        <f t="shared" si="28"/>
        <v>Sep'22/23</v>
      </c>
      <c r="K181" s="41">
        <f>'S4 Arabica'!I181</f>
        <v>49.944699453605004</v>
      </c>
      <c r="L181" s="41">
        <f>'S5 Robusta'!I181</f>
        <v>48.180374839780242</v>
      </c>
    </row>
    <row r="182" spans="2:12" x14ac:dyDescent="0.55000000000000004">
      <c r="B182" s="11">
        <f t="shared" si="26"/>
        <v>10</v>
      </c>
      <c r="C182" s="11">
        <f t="shared" si="27"/>
        <v>1</v>
      </c>
      <c r="D182" s="12">
        <f t="shared" si="20"/>
        <v>8056758.5103050005</v>
      </c>
      <c r="E182" s="11" t="str">
        <f t="shared" si="21"/>
        <v>23/24</v>
      </c>
      <c r="F182" s="11" t="str">
        <f t="shared" si="22"/>
        <v>Oct</v>
      </c>
      <c r="G182" s="11" t="str">
        <f t="shared" si="23"/>
        <v>Oct'23/24</v>
      </c>
      <c r="H182" s="11" t="str">
        <f t="shared" si="24"/>
        <v>Oct'23/24</v>
      </c>
      <c r="I182" s="11">
        <f t="shared" si="25"/>
        <v>101.1854448965686</v>
      </c>
      <c r="J182" s="11" t="str">
        <f t="shared" si="28"/>
        <v>Oct'23/24</v>
      </c>
      <c r="K182" s="41">
        <f>'S4 Arabica'!I182</f>
        <v>50.177653420738338</v>
      </c>
      <c r="L182" s="41">
        <f>'S5 Robusta'!I182</f>
        <v>47.822396353891911</v>
      </c>
    </row>
    <row r="183" spans="2:12" x14ac:dyDescent="0.55000000000000004">
      <c r="B183" s="11">
        <f t="shared" si="26"/>
        <v>10</v>
      </c>
      <c r="C183" s="11">
        <f t="shared" si="27"/>
        <v>2</v>
      </c>
      <c r="D183" s="12">
        <f t="shared" si="20"/>
        <v>9412676.9860616922</v>
      </c>
      <c r="E183" s="11" t="str">
        <f t="shared" si="21"/>
        <v>23/24</v>
      </c>
      <c r="F183" s="11" t="str">
        <f t="shared" si="22"/>
        <v>Nov</v>
      </c>
      <c r="G183" s="11" t="str">
        <f t="shared" si="23"/>
        <v>Nov'23/24</v>
      </c>
      <c r="H183" s="11" t="str">
        <f t="shared" si="24"/>
        <v>Nov'23/24</v>
      </c>
      <c r="I183" s="11">
        <f t="shared" si="25"/>
        <v>101.68991921263195</v>
      </c>
      <c r="J183" s="11" t="str">
        <f t="shared" si="28"/>
        <v>Nov'23/24</v>
      </c>
      <c r="K183" s="41">
        <f>'S4 Arabica'!I183</f>
        <v>50.354855897738339</v>
      </c>
      <c r="L183" s="41">
        <f>'S5 Robusta'!I183</f>
        <v>47.958458793925267</v>
      </c>
    </row>
    <row r="184" spans="2:12" x14ac:dyDescent="0.55000000000000004">
      <c r="B184" s="11">
        <f t="shared" si="26"/>
        <v>10</v>
      </c>
      <c r="C184" s="11">
        <f t="shared" si="27"/>
        <v>3</v>
      </c>
      <c r="D184" s="12">
        <f t="shared" si="20"/>
        <v>10344775.480848335</v>
      </c>
      <c r="E184" s="11" t="str">
        <f t="shared" si="21"/>
        <v>23/24</v>
      </c>
      <c r="F184" s="11" t="str">
        <f t="shared" si="22"/>
        <v>Dec</v>
      </c>
      <c r="G184" s="11" t="str">
        <f t="shared" si="23"/>
        <v>Dec'23/24</v>
      </c>
      <c r="H184" s="11" t="str">
        <f t="shared" si="24"/>
        <v>Dec'23/24</v>
      </c>
      <c r="I184" s="11">
        <f t="shared" si="25"/>
        <v>102.78677220949861</v>
      </c>
      <c r="J184" s="11" t="str">
        <f t="shared" si="28"/>
        <v>Dec'23/24</v>
      </c>
      <c r="K184" s="41">
        <f>'S4 Arabica'!I184</f>
        <v>50.903885783896669</v>
      </c>
      <c r="L184" s="41">
        <f>'S5 Robusta'!I184</f>
        <v>48.244193761283604</v>
      </c>
    </row>
    <row r="185" spans="2:12" x14ac:dyDescent="0.55000000000000004">
      <c r="B185" s="11">
        <f t="shared" si="26"/>
        <v>10</v>
      </c>
      <c r="C185" s="11">
        <f t="shared" si="27"/>
        <v>4</v>
      </c>
      <c r="D185" s="12">
        <f t="shared" si="20"/>
        <v>10618364.869695</v>
      </c>
      <c r="E185" s="11" t="str">
        <f t="shared" si="21"/>
        <v>23/24</v>
      </c>
      <c r="F185" s="11" t="str">
        <f t="shared" si="22"/>
        <v>Jan</v>
      </c>
      <c r="G185" s="11" t="str">
        <f t="shared" si="23"/>
        <v>Jan'23/24</v>
      </c>
      <c r="H185" s="11" t="str">
        <f t="shared" si="24"/>
        <v>Jan'23/24</v>
      </c>
      <c r="I185" s="11">
        <f t="shared" si="25"/>
        <v>105.09596776207634</v>
      </c>
      <c r="J185" s="11" t="str">
        <f t="shared" si="28"/>
        <v>Jan'23/24</v>
      </c>
      <c r="K185" s="41">
        <f>'S4 Arabica'!I185</f>
        <v>51.749637083283332</v>
      </c>
      <c r="L185" s="41">
        <f>'S5 Robusta'!I185</f>
        <v>49.511068541666347</v>
      </c>
    </row>
    <row r="186" spans="2:12" x14ac:dyDescent="0.55000000000000004">
      <c r="B186" s="11">
        <f t="shared" si="26"/>
        <v>10</v>
      </c>
      <c r="C186" s="11">
        <f t="shared" si="27"/>
        <v>5</v>
      </c>
      <c r="D186" s="12">
        <f t="shared" si="20"/>
        <v>9558678.4362444188</v>
      </c>
      <c r="E186" s="11" t="str">
        <f t="shared" si="21"/>
        <v>23/24</v>
      </c>
      <c r="F186" s="11" t="str">
        <f t="shared" si="22"/>
        <v>Feb</v>
      </c>
      <c r="G186" s="11" t="str">
        <f t="shared" si="23"/>
        <v>Feb'23/24</v>
      </c>
      <c r="H186" s="11" t="str">
        <f t="shared" si="24"/>
        <v>Feb'23/24</v>
      </c>
      <c r="I186" s="11">
        <f t="shared" si="25"/>
        <v>106.52321423211463</v>
      </c>
      <c r="J186" s="11" t="str">
        <f t="shared" si="28"/>
        <v>Feb'23/24</v>
      </c>
      <c r="K186" s="41">
        <f>'S4 Arabica'!I186</f>
        <v>52.710171281925</v>
      </c>
      <c r="L186" s="41">
        <f>'S5 Robusta'!I186</f>
        <v>49.777753269786267</v>
      </c>
    </row>
    <row r="187" spans="2:12" x14ac:dyDescent="0.55000000000000004">
      <c r="B187" s="11">
        <f t="shared" si="26"/>
        <v>10</v>
      </c>
      <c r="C187" s="11">
        <f t="shared" si="27"/>
        <v>6</v>
      </c>
      <c r="D187" s="12">
        <f t="shared" si="20"/>
        <v>10763622.779993333</v>
      </c>
      <c r="E187" s="11" t="str">
        <f t="shared" si="21"/>
        <v>23/24</v>
      </c>
      <c r="F187" s="11" t="str">
        <f t="shared" si="22"/>
        <v>Mar</v>
      </c>
      <c r="G187" s="11" t="str">
        <f t="shared" si="23"/>
        <v>Mar'23/24</v>
      </c>
      <c r="H187" s="11" t="str">
        <f t="shared" si="24"/>
        <v>Mar'23/24</v>
      </c>
      <c r="I187" s="11">
        <f t="shared" si="25"/>
        <v>107.64989082055351</v>
      </c>
      <c r="J187" s="11" t="str">
        <f t="shared" si="28"/>
        <v>Mar'23/24</v>
      </c>
      <c r="K187" s="41">
        <f>'S4 Arabica'!I187</f>
        <v>53.400611977441677</v>
      </c>
      <c r="L187" s="41">
        <f>'S5 Robusta'!I187</f>
        <v>50.112344050245149</v>
      </c>
    </row>
    <row r="188" spans="2:12" x14ac:dyDescent="0.55000000000000004">
      <c r="B188" s="11">
        <f t="shared" si="26"/>
        <v>10</v>
      </c>
      <c r="C188" s="11">
        <f t="shared" si="27"/>
        <v>7</v>
      </c>
      <c r="D188" s="12">
        <f t="shared" si="20"/>
        <v>9569736.2447983325</v>
      </c>
      <c r="E188" s="11" t="str">
        <f t="shared" si="21"/>
        <v>23/24</v>
      </c>
      <c r="F188" s="11" t="str">
        <f t="shared" si="22"/>
        <v>Apr</v>
      </c>
      <c r="G188" s="11" t="str">
        <f t="shared" si="23"/>
        <v>Apr'23/24</v>
      </c>
      <c r="H188" s="11" t="str">
        <f t="shared" si="24"/>
        <v>Apr'23/24</v>
      </c>
      <c r="I188" s="11">
        <f t="shared" si="25"/>
        <v>109.00497488034073</v>
      </c>
      <c r="J188" s="11" t="str">
        <f t="shared" si="28"/>
        <v>Apr'23/24</v>
      </c>
      <c r="K188" s="41">
        <f>'S4 Arabica'!I188</f>
        <v>54.477491312066675</v>
      </c>
      <c r="L188" s="41">
        <f>'S5 Robusta'!I188</f>
        <v>50.353986169675714</v>
      </c>
    </row>
    <row r="189" spans="2:12" x14ac:dyDescent="0.55000000000000004">
      <c r="B189" s="11">
        <f t="shared" si="26"/>
        <v>10</v>
      </c>
      <c r="C189" s="11">
        <f t="shared" si="27"/>
        <v>8</v>
      </c>
      <c r="D189" s="12">
        <f t="shared" si="20"/>
        <v>9420793.4973883331</v>
      </c>
      <c r="E189" s="11" t="str">
        <f t="shared" si="21"/>
        <v>23/24</v>
      </c>
      <c r="F189" s="11" t="str">
        <f t="shared" si="22"/>
        <v>May</v>
      </c>
      <c r="G189" s="11" t="str">
        <f t="shared" si="23"/>
        <v>May'23/24</v>
      </c>
      <c r="H189" s="11" t="str">
        <f t="shared" si="24"/>
        <v>May'23/24</v>
      </c>
      <c r="I189" s="11">
        <f t="shared" si="25"/>
        <v>110.15681948584786</v>
      </c>
      <c r="J189" s="11" t="str">
        <f t="shared" si="28"/>
        <v>May'23/24</v>
      </c>
      <c r="K189" s="41">
        <f>'S4 Arabica'!I189</f>
        <v>55.989365947825007</v>
      </c>
      <c r="L189" s="41">
        <f>'S5 Robusta'!I189</f>
        <v>49.954046766132855</v>
      </c>
    </row>
    <row r="190" spans="2:12" x14ac:dyDescent="0.55000000000000004">
      <c r="B190" s="11">
        <f t="shared" si="26"/>
        <v>10</v>
      </c>
      <c r="C190" s="11">
        <f t="shared" si="27"/>
        <v>9</v>
      </c>
      <c r="D190" s="12">
        <f t="shared" si="20"/>
        <v>8643934.9872500002</v>
      </c>
      <c r="E190" s="11" t="str">
        <f t="shared" si="21"/>
        <v>23/24</v>
      </c>
      <c r="F190" s="11" t="str">
        <f t="shared" si="22"/>
        <v>Jun</v>
      </c>
      <c r="G190" s="11" t="str">
        <f t="shared" si="23"/>
        <v>Jun'23/24</v>
      </c>
      <c r="H190" s="11" t="str">
        <f t="shared" si="24"/>
        <v>Jun'23/24</v>
      </c>
      <c r="I190" s="11">
        <f t="shared" si="25"/>
        <v>110.5496622072134</v>
      </c>
      <c r="J190" s="11" t="str">
        <f t="shared" si="28"/>
        <v>Jun'23/24</v>
      </c>
      <c r="K190" s="41">
        <f>'S4 Arabica'!I190</f>
        <v>56.851960044450003</v>
      </c>
      <c r="L190" s="41">
        <f>'S5 Robusta'!I190</f>
        <v>49.356232539406747</v>
      </c>
    </row>
    <row r="191" spans="2:12" x14ac:dyDescent="0.55000000000000004">
      <c r="B191" s="11">
        <f t="shared" si="26"/>
        <v>10</v>
      </c>
      <c r="C191" s="11">
        <f t="shared" si="27"/>
        <v>10</v>
      </c>
      <c r="D191" s="12">
        <f t="shared" si="20"/>
        <v>9356854.6151016671</v>
      </c>
      <c r="E191" s="11" t="str">
        <f t="shared" si="21"/>
        <v>23/24</v>
      </c>
      <c r="F191" s="11" t="str">
        <f t="shared" si="22"/>
        <v>Jul</v>
      </c>
      <c r="G191" s="11" t="str">
        <f t="shared" si="23"/>
        <v>Jul'23/24</v>
      </c>
      <c r="H191" s="11" t="str">
        <f t="shared" si="24"/>
        <v>Jul'23/24</v>
      </c>
      <c r="I191" s="11">
        <f t="shared" si="25"/>
        <v>111.57290964178166</v>
      </c>
      <c r="J191" s="11" t="str">
        <f t="shared" si="28"/>
        <v>Jul'23/24</v>
      </c>
      <c r="K191" s="41">
        <f>'S4 Arabica'!I191</f>
        <v>57.535542142916675</v>
      </c>
      <c r="L191" s="41">
        <f>'S5 Robusta'!I191</f>
        <v>49.424660343349998</v>
      </c>
    </row>
    <row r="192" spans="2:12" x14ac:dyDescent="0.55000000000000004">
      <c r="B192" s="11">
        <f t="shared" si="26"/>
        <v>10</v>
      </c>
      <c r="C192" s="11">
        <f t="shared" si="27"/>
        <v>11</v>
      </c>
      <c r="D192" s="12">
        <f t="shared" si="20"/>
        <v>9136559.094696667</v>
      </c>
      <c r="E192" s="11" t="str">
        <f t="shared" si="21"/>
        <v>23/24</v>
      </c>
      <c r="F192" s="11" t="str">
        <f t="shared" si="22"/>
        <v>Aug</v>
      </c>
      <c r="G192" s="11" t="str">
        <f t="shared" si="23"/>
        <v>Aug'23/24</v>
      </c>
      <c r="H192" s="11" t="str">
        <f t="shared" si="24"/>
        <v>Aug'23/24</v>
      </c>
      <c r="I192" s="11">
        <f t="shared" si="25"/>
        <v>112.10715741160389</v>
      </c>
      <c r="J192" s="11" t="str">
        <f t="shared" si="28"/>
        <v>Aug'23/24</v>
      </c>
      <c r="K192" s="41">
        <f>'S4 Arabica'!I192</f>
        <v>57.69002305345834</v>
      </c>
      <c r="L192" s="41">
        <f>'S5 Robusta'!I192</f>
        <v>49.634098353830552</v>
      </c>
    </row>
    <row r="193" spans="2:12" x14ac:dyDescent="0.55000000000000004">
      <c r="B193" s="11">
        <f t="shared" si="26"/>
        <v>10</v>
      </c>
      <c r="C193" s="11">
        <f t="shared" si="27"/>
        <v>12</v>
      </c>
      <c r="D193" s="12">
        <f t="shared" si="20"/>
        <v>9098538.2620916665</v>
      </c>
      <c r="E193" s="11" t="str">
        <f t="shared" si="21"/>
        <v>23/24</v>
      </c>
      <c r="F193" s="11" t="str">
        <f t="shared" si="22"/>
        <v>Sep</v>
      </c>
      <c r="G193" s="11" t="str">
        <f t="shared" si="23"/>
        <v>Sep'23/24</v>
      </c>
      <c r="H193" s="11" t="str">
        <f t="shared" si="24"/>
        <v>Sep'23/24</v>
      </c>
      <c r="I193" s="11">
        <f t="shared" si="25"/>
        <v>113.98129376447446</v>
      </c>
      <c r="J193" s="11" t="str">
        <f t="shared" si="28"/>
        <v>Sep'23/24</v>
      </c>
      <c r="K193" s="41">
        <f>'S4 Arabica'!I193</f>
        <v>59.035438932325</v>
      </c>
      <c r="L193" s="41">
        <f>'S5 Robusta'!I193</f>
        <v>50.042332667836106</v>
      </c>
    </row>
    <row r="194" spans="2:12" x14ac:dyDescent="0.55000000000000004">
      <c r="B194" s="11">
        <f t="shared" si="26"/>
        <v>11</v>
      </c>
      <c r="C194" s="11">
        <f t="shared" si="27"/>
        <v>1</v>
      </c>
      <c r="D194" s="12">
        <f t="shared" si="20"/>
        <v>9371220.0583149996</v>
      </c>
      <c r="E194" s="11" t="str">
        <f t="shared" si="21"/>
        <v>24/25</v>
      </c>
      <c r="F194" s="11" t="str">
        <f t="shared" si="22"/>
        <v>Oct</v>
      </c>
      <c r="G194" s="11" t="str">
        <f t="shared" si="23"/>
        <v>Oct'24/25</v>
      </c>
      <c r="H194" s="11" t="str">
        <f t="shared" si="24"/>
        <v>Oct'24/25</v>
      </c>
      <c r="I194" s="11">
        <f t="shared" si="25"/>
        <v>115.29575531248445</v>
      </c>
      <c r="J194" s="11" t="str">
        <f t="shared" si="28"/>
        <v>Oct'24/25</v>
      </c>
      <c r="K194" s="41">
        <f>'S4 Arabica'!I194</f>
        <v>59.862349712083336</v>
      </c>
      <c r="L194" s="41">
        <f>'S5 Robusta'!I194</f>
        <v>50.617069046034437</v>
      </c>
    </row>
    <row r="195" spans="2:12" x14ac:dyDescent="0.55000000000000004">
      <c r="B195" s="11">
        <f t="shared" si="26"/>
        <v>11</v>
      </c>
      <c r="C195" s="11">
        <f t="shared" si="27"/>
        <v>2</v>
      </c>
      <c r="D195" s="12">
        <f t="shared" si="20"/>
        <v>8597891.4460866675</v>
      </c>
      <c r="E195" s="11" t="str">
        <f t="shared" si="21"/>
        <v>24/25</v>
      </c>
      <c r="F195" s="11" t="str">
        <f t="shared" si="22"/>
        <v>Nov</v>
      </c>
      <c r="G195" s="11" t="str">
        <f t="shared" si="23"/>
        <v>Nov'24/25</v>
      </c>
      <c r="H195" s="11" t="str">
        <f t="shared" si="24"/>
        <v>Nov'24/25</v>
      </c>
      <c r="I195" s="11">
        <f t="shared" si="25"/>
        <v>114.48096977250943</v>
      </c>
      <c r="J195" s="11" t="str">
        <f t="shared" si="28"/>
        <v>Nov'24/25</v>
      </c>
      <c r="K195" s="41">
        <f>'S4 Arabica'!I195</f>
        <v>60.422224348316668</v>
      </c>
      <c r="L195" s="41">
        <f>'S5 Robusta'!I195</f>
        <v>49.507988284952759</v>
      </c>
    </row>
    <row r="196" spans="2:12" x14ac:dyDescent="0.55000000000000004">
      <c r="B196" s="11">
        <f t="shared" si="26"/>
        <v>11</v>
      </c>
      <c r="C196" s="11">
        <f t="shared" si="27"/>
        <v>3</v>
      </c>
      <c r="D196" s="12">
        <f t="shared" si="20"/>
        <v>10108385.550711667</v>
      </c>
      <c r="E196" s="11" t="str">
        <f t="shared" si="21"/>
        <v>24/25</v>
      </c>
      <c r="F196" s="11" t="str">
        <f t="shared" si="22"/>
        <v>Dec</v>
      </c>
      <c r="G196" s="11" t="str">
        <f t="shared" si="23"/>
        <v>Dec'24/25</v>
      </c>
      <c r="H196" s="11" t="str">
        <f t="shared" si="24"/>
        <v>Dec'24/25</v>
      </c>
      <c r="I196" s="11">
        <f t="shared" si="25"/>
        <v>114.24457984237274</v>
      </c>
      <c r="J196" s="11" t="str">
        <f t="shared" si="28"/>
        <v>Dec'24/25</v>
      </c>
      <c r="K196" s="41">
        <f>'S4 Arabica'!I196</f>
        <v>61.388432605616671</v>
      </c>
      <c r="L196" s="41">
        <f>'S5 Robusta'!I196</f>
        <v>48.635559006769419</v>
      </c>
    </row>
    <row r="197" spans="2:12" x14ac:dyDescent="0.55000000000000004">
      <c r="B197" s="11">
        <f t="shared" si="26"/>
        <v>11</v>
      </c>
      <c r="C197" s="11">
        <f t="shared" si="27"/>
        <v>4</v>
      </c>
      <c r="D197" s="12">
        <f t="shared" si="20"/>
        <v>9244913.2908616681</v>
      </c>
      <c r="E197" s="11" t="str">
        <f t="shared" si="21"/>
        <v>24/25</v>
      </c>
      <c r="F197" s="11" t="str">
        <f t="shared" si="22"/>
        <v>Jan</v>
      </c>
      <c r="G197" s="11" t="str">
        <f t="shared" si="23"/>
        <v>Jan'24/25</v>
      </c>
      <c r="H197" s="11" t="str">
        <f t="shared" si="24"/>
        <v>Jan'24/25</v>
      </c>
      <c r="I197" s="11">
        <f t="shared" si="25"/>
        <v>112.8711282635394</v>
      </c>
      <c r="J197" s="11" t="str">
        <f t="shared" si="28"/>
        <v>Jan'24/25</v>
      </c>
      <c r="K197" s="41">
        <f>'S4 Arabica'!I197</f>
        <v>61.782378701108335</v>
      </c>
      <c r="L197" s="41">
        <f>'S5 Robusta'!I197</f>
        <v>47.172667783206087</v>
      </c>
    </row>
    <row r="198" spans="2:12" x14ac:dyDescent="0.55000000000000004">
      <c r="B198" s="11">
        <f t="shared" si="26"/>
        <v>11</v>
      </c>
      <c r="C198" s="11">
        <f t="shared" si="27"/>
        <v>5</v>
      </c>
      <c r="D198" s="12">
        <f t="shared" si="20"/>
        <v>9870648.5750183314</v>
      </c>
      <c r="E198" s="11" t="str">
        <f t="shared" si="21"/>
        <v>24/25</v>
      </c>
      <c r="F198" s="11" t="str">
        <f t="shared" si="22"/>
        <v>Feb</v>
      </c>
      <c r="G198" s="11" t="str">
        <f t="shared" si="23"/>
        <v>Feb'24/25</v>
      </c>
      <c r="H198" s="11" t="str">
        <f t="shared" si="24"/>
        <v>Feb'24/25</v>
      </c>
      <c r="I198" s="11">
        <f t="shared" si="25"/>
        <v>113.18309840231331</v>
      </c>
      <c r="J198" s="11" t="str">
        <f t="shared" si="28"/>
        <v>Feb'24/25</v>
      </c>
      <c r="K198" s="41">
        <f>'S4 Arabica'!I198</f>
        <v>62.177497825858332</v>
      </c>
      <c r="L198" s="41">
        <f>'S5 Robusta'!I198</f>
        <v>47.298197654355008</v>
      </c>
    </row>
    <row r="199" spans="2:12" x14ac:dyDescent="0.55000000000000004">
      <c r="B199" s="11">
        <f t="shared" si="26"/>
        <v>11</v>
      </c>
      <c r="C199" s="11">
        <f t="shared" si="27"/>
        <v>6</v>
      </c>
      <c r="D199" s="12">
        <f t="shared" si="20"/>
        <v>10688058.119809998</v>
      </c>
      <c r="E199" s="11" t="str">
        <f t="shared" si="21"/>
        <v>24/25</v>
      </c>
      <c r="F199" s="11" t="str">
        <f t="shared" si="22"/>
        <v>Mar</v>
      </c>
      <c r="G199" s="11" t="str">
        <f t="shared" si="23"/>
        <v>Mar'24/25</v>
      </c>
      <c r="H199" s="11" t="str">
        <f t="shared" si="24"/>
        <v>Mar'24/25</v>
      </c>
      <c r="I199" s="11">
        <f t="shared" si="25"/>
        <v>113.10753374213</v>
      </c>
      <c r="J199" s="11" t="str">
        <f t="shared" si="28"/>
        <v>Mar'24/25</v>
      </c>
      <c r="K199" s="41">
        <f>'S4 Arabica'!I199</f>
        <v>62.517133923691674</v>
      </c>
      <c r="L199" s="41">
        <f>'S5 Robusta'!I199</f>
        <v>46.972067808203334</v>
      </c>
    </row>
    <row r="200" spans="2:12" x14ac:dyDescent="0.55000000000000004">
      <c r="B200" s="11">
        <f t="shared" si="26"/>
        <v>11</v>
      </c>
      <c r="C200" s="11">
        <f t="shared" si="27"/>
        <v>7</v>
      </c>
      <c r="D200" s="12">
        <f t="shared" si="20"/>
        <v>9452387.3408683334</v>
      </c>
      <c r="E200" s="11" t="str">
        <f t="shared" si="21"/>
        <v>24/25</v>
      </c>
      <c r="F200" s="11" t="str">
        <f t="shared" si="22"/>
        <v>Apr</v>
      </c>
      <c r="G200" s="11" t="str">
        <f t="shared" si="23"/>
        <v>Apr'24/25</v>
      </c>
      <c r="H200" s="11" t="str">
        <f t="shared" si="24"/>
        <v>Apr'24/25</v>
      </c>
      <c r="I200" s="11">
        <f t="shared" si="25"/>
        <v>112.99018483820001</v>
      </c>
      <c r="J200" s="11" t="str">
        <f t="shared" si="28"/>
        <v>Apr'24/25</v>
      </c>
      <c r="K200" s="41">
        <f>'S4 Arabica'!I200</f>
        <v>62.185829464066664</v>
      </c>
      <c r="L200" s="41">
        <f>'S5 Robusta'!I200</f>
        <v>47.196836033565006</v>
      </c>
    </row>
    <row r="201" spans="2:12" x14ac:dyDescent="0.55000000000000004">
      <c r="B201" s="11">
        <f t="shared" si="26"/>
        <v>11</v>
      </c>
      <c r="C201" s="11">
        <f t="shared" si="27"/>
        <v>8</v>
      </c>
      <c r="D201" s="12">
        <f t="shared" si="20"/>
        <v>9775990.7815333325</v>
      </c>
      <c r="E201" s="11" t="str">
        <f t="shared" si="21"/>
        <v>24/25</v>
      </c>
      <c r="F201" s="11" t="str">
        <f t="shared" si="22"/>
        <v>May</v>
      </c>
      <c r="G201" s="11" t="str">
        <f t="shared" si="23"/>
        <v>May'24/25</v>
      </c>
      <c r="H201" s="11" t="str">
        <f t="shared" si="24"/>
        <v>May'24/25</v>
      </c>
      <c r="I201" s="11">
        <f t="shared" si="25"/>
        <v>113.34538212234501</v>
      </c>
      <c r="J201" s="11" t="str">
        <f t="shared" si="28"/>
        <v>May'24/25</v>
      </c>
      <c r="K201" s="41">
        <f>'S4 Arabica'!I201</f>
        <v>61.641774260974991</v>
      </c>
      <c r="L201" s="41">
        <f>'S5 Robusta'!I201</f>
        <v>48.082294885399996</v>
      </c>
    </row>
    <row r="202" spans="2:12" x14ac:dyDescent="0.55000000000000004">
      <c r="B202" s="11">
        <f t="shared" si="26"/>
        <v>11</v>
      </c>
      <c r="C202" s="11">
        <f t="shared" si="27"/>
        <v>9</v>
      </c>
      <c r="D202" s="12">
        <f t="shared" si="20"/>
        <v>9361828.0642416682</v>
      </c>
      <c r="E202" s="11" t="str">
        <f t="shared" si="21"/>
        <v>24/25</v>
      </c>
      <c r="F202" s="11" t="str">
        <f t="shared" si="22"/>
        <v>Jun</v>
      </c>
      <c r="G202" s="11" t="str">
        <f t="shared" si="23"/>
        <v>Jun'24/25</v>
      </c>
      <c r="H202" s="11" t="str">
        <f t="shared" si="24"/>
        <v>Jun'24/25</v>
      </c>
      <c r="I202" s="11">
        <f t="shared" si="25"/>
        <v>114.06327519933666</v>
      </c>
      <c r="J202" s="11" t="str">
        <f t="shared" si="28"/>
        <v>Jun'24/25</v>
      </c>
      <c r="K202" s="41">
        <f>'S4 Arabica'!I202</f>
        <v>61.201468362975</v>
      </c>
      <c r="L202" s="41">
        <f>'S5 Robusta'!I202</f>
        <v>49.159937068946661</v>
      </c>
    </row>
    <row r="203" spans="2:12" x14ac:dyDescent="0.55000000000000004">
      <c r="B203" s="11">
        <f t="shared" si="26"/>
        <v>11</v>
      </c>
      <c r="C203" s="11">
        <f t="shared" si="27"/>
        <v>10</v>
      </c>
      <c r="D203" s="12">
        <f t="shared" ref="D203:D229" si="29">INDEX($C$7:$N$19,MATCH(B203,$A$7:$A$19),MATCH(C203,$C$4:$N$4))</f>
        <v>9263188.3832099997</v>
      </c>
      <c r="E203" s="11" t="str">
        <f t="shared" ref="E203:E229" si="30">_xlfn.XLOOKUP(B203,$A$7:$A$19,$B$7:$B$19)</f>
        <v>24/25</v>
      </c>
      <c r="F203" s="11" t="str">
        <f t="shared" ref="F203:F229" si="31">_xlfn.XLOOKUP(C203,$C$4:$N$4,$C$6:$N$6)</f>
        <v>Jul</v>
      </c>
      <c r="G203" s="11" t="str">
        <f t="shared" ref="G203:G229" si="32">_xlfn.CONCAT(F203,"'",E203)</f>
        <v>Jul'24/25</v>
      </c>
      <c r="H203" s="11" t="str">
        <f t="shared" si="24"/>
        <v>Jul'24/25</v>
      </c>
      <c r="I203" s="11">
        <f t="shared" si="25"/>
        <v>113.969608967445</v>
      </c>
      <c r="J203" s="11" t="str">
        <f t="shared" si="28"/>
        <v>Jul'24/25</v>
      </c>
      <c r="K203" s="41">
        <f>'S4 Arabica'!I203</f>
        <v>60.909971327925</v>
      </c>
      <c r="L203" s="41">
        <f>'S5 Robusta'!I203</f>
        <v>49.425378943948331</v>
      </c>
    </row>
    <row r="204" spans="2:12" x14ac:dyDescent="0.55000000000000004">
      <c r="B204" s="11">
        <f t="shared" si="26"/>
        <v>11</v>
      </c>
      <c r="C204" s="11">
        <f t="shared" si="27"/>
        <v>11</v>
      </c>
      <c r="D204" s="12">
        <f t="shared" si="29"/>
        <v>9135478.4728855565</v>
      </c>
      <c r="E204" s="11" t="str">
        <f t="shared" si="30"/>
        <v>24/25</v>
      </c>
      <c r="F204" s="11" t="str">
        <f t="shared" si="31"/>
        <v>Aug</v>
      </c>
      <c r="G204" s="11" t="str">
        <f t="shared" si="32"/>
        <v>Aug'24/25</v>
      </c>
      <c r="H204" s="11" t="str">
        <f t="shared" si="24"/>
        <v>Aug'24/25</v>
      </c>
      <c r="I204" s="11">
        <f t="shared" si="25"/>
        <v>113.9685283456339</v>
      </c>
      <c r="J204" s="11" t="str">
        <f t="shared" si="28"/>
        <v>Aug'24/25</v>
      </c>
      <c r="K204" s="41">
        <f>'S4 Arabica'!I204</f>
        <v>60.730285191855558</v>
      </c>
      <c r="L204" s="41">
        <f>'S5 Robusta'!I204</f>
        <v>49.599757116408341</v>
      </c>
    </row>
    <row r="205" spans="2:12" x14ac:dyDescent="0.55000000000000004">
      <c r="B205" s="11">
        <f t="shared" si="26"/>
        <v>11</v>
      </c>
      <c r="C205" s="11">
        <f t="shared" si="27"/>
        <v>12</v>
      </c>
      <c r="D205" s="12">
        <f t="shared" si="29"/>
        <v>9558429.3620770592</v>
      </c>
      <c r="E205" s="11" t="str">
        <f t="shared" si="30"/>
        <v>24/25</v>
      </c>
      <c r="F205" s="11" t="str">
        <f t="shared" si="31"/>
        <v>Sep</v>
      </c>
      <c r="G205" s="11" t="str">
        <f t="shared" si="32"/>
        <v>Sep'24/25</v>
      </c>
      <c r="H205" s="11" t="str">
        <f t="shared" si="24"/>
        <v>Sep'24/25</v>
      </c>
      <c r="I205" s="11">
        <f t="shared" si="25"/>
        <v>114.42841944561928</v>
      </c>
      <c r="J205" s="11" t="str">
        <f t="shared" si="28"/>
        <v>Sep'24/25</v>
      </c>
      <c r="K205" s="41">
        <f>'S4 Arabica'!I205</f>
        <v>60.272994320419279</v>
      </c>
      <c r="L205" s="41">
        <f>'S5 Robusta'!I205</f>
        <v>50.389719726979997</v>
      </c>
    </row>
    <row r="206" spans="2:12" x14ac:dyDescent="0.55000000000000004">
      <c r="B206" s="11">
        <f t="shared" si="26"/>
        <v>12</v>
      </c>
      <c r="C206" s="11">
        <f t="shared" si="27"/>
        <v>1</v>
      </c>
      <c r="D206" s="12">
        <f t="shared" si="29"/>
        <v>9267879.1907850001</v>
      </c>
      <c r="E206" s="11" t="str">
        <f t="shared" si="30"/>
        <v>25/26</v>
      </c>
      <c r="F206" s="11" t="str">
        <f t="shared" si="31"/>
        <v>Oct</v>
      </c>
      <c r="G206" s="11" t="str">
        <f t="shared" si="32"/>
        <v>Oct'25/26</v>
      </c>
      <c r="H206" s="11" t="str">
        <f t="shared" si="24"/>
        <v>Oct'25/26</v>
      </c>
      <c r="I206" s="11">
        <f t="shared" si="25"/>
        <v>114.32507857808928</v>
      </c>
      <c r="J206" s="11" t="str">
        <f t="shared" si="28"/>
        <v>Oct'25/26</v>
      </c>
      <c r="K206" s="41">
        <f>'S4 Arabica'!I206</f>
        <v>59.790279091927609</v>
      </c>
      <c r="L206" s="41">
        <f>'S5 Robusta'!I206</f>
        <v>50.643101500838334</v>
      </c>
    </row>
    <row r="207" spans="2:12" x14ac:dyDescent="0.55000000000000004">
      <c r="B207" s="11">
        <f t="shared" si="26"/>
        <v>12</v>
      </c>
      <c r="C207" s="11">
        <f t="shared" si="27"/>
        <v>2</v>
      </c>
      <c r="D207" s="12">
        <f t="shared" si="29"/>
        <v>8871933.2524816673</v>
      </c>
      <c r="E207" s="11" t="str">
        <f t="shared" si="30"/>
        <v>25/26</v>
      </c>
      <c r="F207" s="11" t="str">
        <f t="shared" si="31"/>
        <v>Nov</v>
      </c>
      <c r="G207" s="11" t="str">
        <f t="shared" si="32"/>
        <v>Nov'25/26</v>
      </c>
      <c r="H207" s="11" t="str">
        <f t="shared" si="24"/>
        <v>Nov'25/26</v>
      </c>
      <c r="I207" s="11">
        <f t="shared" si="25"/>
        <v>114.59912038448428</v>
      </c>
      <c r="J207" s="11" t="str">
        <f t="shared" si="28"/>
        <v>Nov'25/26</v>
      </c>
      <c r="K207" s="41">
        <f>'S4 Arabica'!I207</f>
        <v>59.337805700860947</v>
      </c>
      <c r="L207" s="41">
        <f>'S5 Robusta'!I207</f>
        <v>51.170260667500003</v>
      </c>
    </row>
    <row r="208" spans="2:12" x14ac:dyDescent="0.55000000000000004">
      <c r="B208" s="11">
        <f t="shared" si="26"/>
        <v>12</v>
      </c>
      <c r="C208" s="11">
        <f t="shared" si="27"/>
        <v>3</v>
      </c>
      <c r="D208" s="12">
        <f t="shared" si="29"/>
        <v>9594239.5027983338</v>
      </c>
      <c r="E208" s="11" t="str">
        <f t="shared" si="30"/>
        <v>25/26</v>
      </c>
      <c r="F208" s="11" t="str">
        <f t="shared" si="31"/>
        <v>Dec</v>
      </c>
      <c r="G208" s="11" t="str">
        <f t="shared" si="32"/>
        <v>Dec'25/26</v>
      </c>
      <c r="H208" s="11" t="str">
        <f t="shared" si="24"/>
        <v>Dec'25/26</v>
      </c>
      <c r="I208" s="11">
        <f t="shared" si="25"/>
        <v>114.08497433657095</v>
      </c>
      <c r="J208" s="11" t="str">
        <f t="shared" si="28"/>
        <v>Dec'25/26</v>
      </c>
      <c r="K208" s="41">
        <f>'S4 Arabica'!I208</f>
        <v>58.00491345219428</v>
      </c>
      <c r="L208" s="41">
        <f>'S5 Robusta'!I208</f>
        <v>51.850411828711664</v>
      </c>
    </row>
    <row r="209" spans="2:12" x14ac:dyDescent="0.55000000000000004">
      <c r="B209" s="11">
        <f t="shared" si="26"/>
        <v>12</v>
      </c>
      <c r="C209" s="11">
        <f t="shared" si="27"/>
        <v>4</v>
      </c>
      <c r="D209" s="12">
        <f t="shared" si="29"/>
        <v>9591414</v>
      </c>
      <c r="E209" s="11" t="str">
        <f t="shared" si="30"/>
        <v>25/26</v>
      </c>
      <c r="F209" s="11" t="str">
        <f t="shared" si="31"/>
        <v>Jan</v>
      </c>
      <c r="G209" s="11" t="str">
        <f t="shared" si="32"/>
        <v>Jan'25/26</v>
      </c>
      <c r="H209" s="11" t="str">
        <f t="shared" si="24"/>
        <v>Jan'25/26</v>
      </c>
      <c r="I209" s="11">
        <f t="shared" si="25"/>
        <v>114.43147504570928</v>
      </c>
      <c r="J209" s="11" t="str">
        <f t="shared" si="28"/>
        <v>Jan'25/26</v>
      </c>
      <c r="K209" s="41">
        <f>'S4 Arabica'!I209</f>
        <v>57.033007531535937</v>
      </c>
      <c r="L209" s="41">
        <f>'S5 Robusta'!I209</f>
        <v>53.086311021828337</v>
      </c>
    </row>
    <row r="210" spans="2:12" x14ac:dyDescent="0.55000000000000004">
      <c r="B210" s="11">
        <f t="shared" si="26"/>
        <v>12</v>
      </c>
      <c r="C210" s="11">
        <f t="shared" si="27"/>
        <v>5</v>
      </c>
      <c r="D210" s="12">
        <f t="shared" si="29"/>
        <v>8393792.333333334</v>
      </c>
      <c r="E210" s="11" t="str">
        <f t="shared" si="30"/>
        <v>25/26</v>
      </c>
      <c r="F210" s="11" t="str">
        <f t="shared" si="31"/>
        <v>Feb</v>
      </c>
      <c r="G210" s="11" t="str">
        <f t="shared" si="32"/>
        <v>Feb'25/26</v>
      </c>
      <c r="H210" s="11" t="str">
        <f t="shared" si="24"/>
        <v>Feb'25/26</v>
      </c>
      <c r="I210" s="11">
        <f t="shared" si="25"/>
        <v>112.95461880402429</v>
      </c>
      <c r="J210" s="11" t="str">
        <f t="shared" si="28"/>
        <v>Feb'25/26</v>
      </c>
      <c r="K210" s="41">
        <f>'S4 Arabica'!I210</f>
        <v>56.01180499520261</v>
      </c>
      <c r="L210" s="41">
        <f>'S5 Robusta'!I210</f>
        <v>52.625518817506673</v>
      </c>
    </row>
    <row r="211" spans="2:12" x14ac:dyDescent="0.55000000000000004">
      <c r="B211" s="11">
        <f t="shared" si="26"/>
        <v>12</v>
      </c>
      <c r="C211" s="11">
        <f t="shared" si="27"/>
        <v>6</v>
      </c>
      <c r="D211" s="12">
        <f t="shared" si="29"/>
        <v>9569299.333333334</v>
      </c>
      <c r="E211" s="11" t="str">
        <f t="shared" si="30"/>
        <v>25/26</v>
      </c>
      <c r="F211" s="11" t="str">
        <f t="shared" si="31"/>
        <v>Mar</v>
      </c>
      <c r="G211" s="11" t="str">
        <f t="shared" si="32"/>
        <v>Mar'25/26</v>
      </c>
      <c r="H211" s="11" t="str">
        <f t="shared" si="24"/>
        <v>Mar'25/26</v>
      </c>
      <c r="I211" s="11">
        <f t="shared" si="25"/>
        <v>111.8358600175476</v>
      </c>
      <c r="J211" s="11" t="str">
        <f t="shared" si="28"/>
        <v>Mar'25/26</v>
      </c>
      <c r="K211" s="41">
        <f>'S4 Arabica'!I211</f>
        <v>54.948216273202611</v>
      </c>
      <c r="L211" s="41">
        <f>'S5 Robusta'!I211</f>
        <v>52.580114367636675</v>
      </c>
    </row>
    <row r="212" spans="2:12" x14ac:dyDescent="0.55000000000000004">
      <c r="B212" s="11">
        <f t="shared" si="26"/>
        <v>12</v>
      </c>
      <c r="C212" s="11">
        <f t="shared" si="27"/>
        <v>7</v>
      </c>
      <c r="D212" s="12">
        <f t="shared" si="29"/>
        <v>9619436</v>
      </c>
      <c r="E212" s="11" t="str">
        <f t="shared" si="30"/>
        <v>25/26</v>
      </c>
      <c r="F212" s="11" t="str">
        <f t="shared" si="31"/>
        <v>Apr</v>
      </c>
      <c r="G212" s="11" t="str">
        <f t="shared" si="32"/>
        <v>Apr'25/26</v>
      </c>
      <c r="H212" s="11" t="str">
        <f t="shared" si="24"/>
        <v>Apr'25/26</v>
      </c>
      <c r="I212" s="11">
        <f t="shared" si="25"/>
        <v>112.00290867667928</v>
      </c>
      <c r="J212" s="11" t="str">
        <f t="shared" si="28"/>
        <v>Apr'25/26</v>
      </c>
      <c r="K212" s="41">
        <f>'S4 Arabica'!I212</f>
        <v>54.44266444853595</v>
      </c>
      <c r="L212" s="41">
        <f>'S5 Robusta'!I212</f>
        <v>53.254536024865004</v>
      </c>
    </row>
    <row r="213" spans="2:12" x14ac:dyDescent="0.55000000000000004">
      <c r="B213" s="11">
        <f t="shared" si="26"/>
        <v>12</v>
      </c>
      <c r="C213" s="11">
        <f t="shared" si="27"/>
        <v>8</v>
      </c>
      <c r="D213" s="12" t="e">
        <f t="shared" si="29"/>
        <v>#N/A</v>
      </c>
      <c r="E213" s="11" t="str">
        <f t="shared" si="30"/>
        <v>25/26</v>
      </c>
      <c r="F213" s="11" t="str">
        <f t="shared" si="31"/>
        <v>May</v>
      </c>
      <c r="G213" s="11" t="str">
        <f t="shared" si="32"/>
        <v>May'25/26</v>
      </c>
      <c r="H213" s="11" t="str">
        <f t="shared" si="24"/>
        <v>May'25/26</v>
      </c>
      <c r="I213" s="11" t="e">
        <f t="shared" si="25"/>
        <v>#N/A</v>
      </c>
      <c r="J213" s="11" t="str">
        <f t="shared" si="28"/>
        <v>May'25/26</v>
      </c>
      <c r="K213" s="41">
        <f>'S4 Arabica'!I213</f>
        <v>53.867212925202615</v>
      </c>
      <c r="L213" s="41" t="e">
        <f>'S5 Robusta'!I213</f>
        <v>#N/A</v>
      </c>
    </row>
    <row r="214" spans="2:12" x14ac:dyDescent="0.55000000000000004">
      <c r="B214" s="11">
        <f t="shared" si="26"/>
        <v>12</v>
      </c>
      <c r="C214" s="11">
        <f t="shared" si="27"/>
        <v>9</v>
      </c>
      <c r="D214" s="12" t="e">
        <f t="shared" si="29"/>
        <v>#N/A</v>
      </c>
      <c r="E214" s="11" t="str">
        <f t="shared" si="30"/>
        <v>25/26</v>
      </c>
      <c r="F214" s="11" t="str">
        <f t="shared" si="31"/>
        <v>Jun</v>
      </c>
      <c r="G214" s="11" t="str">
        <f t="shared" si="32"/>
        <v>Jun'25/26</v>
      </c>
      <c r="H214" s="11" t="str">
        <f t="shared" ref="H214:H229" si="33">G214</f>
        <v>Jun'25/26</v>
      </c>
      <c r="I214" s="11" t="e">
        <f t="shared" ref="I214:I229" si="34">SUM(D203:D214)/1000000</f>
        <v>#N/A</v>
      </c>
      <c r="J214" s="11" t="str">
        <f t="shared" si="28"/>
        <v>Jun'25/26</v>
      </c>
      <c r="K214" s="41" t="e">
        <f>'S4 Arabica'!I214</f>
        <v>#N/A</v>
      </c>
      <c r="L214" s="41" t="e">
        <f>'S5 Robusta'!I214</f>
        <v>#N/A</v>
      </c>
    </row>
    <row r="215" spans="2:12" x14ac:dyDescent="0.55000000000000004">
      <c r="B215" s="11">
        <f t="shared" ref="B215:B229" si="35">B203+1</f>
        <v>12</v>
      </c>
      <c r="C215" s="11">
        <f t="shared" ref="C215:C229" si="36">C203</f>
        <v>10</v>
      </c>
      <c r="D215" s="12" t="e">
        <f t="shared" si="29"/>
        <v>#N/A</v>
      </c>
      <c r="E215" s="11" t="str">
        <f t="shared" si="30"/>
        <v>25/26</v>
      </c>
      <c r="F215" s="11" t="str">
        <f t="shared" si="31"/>
        <v>Jul</v>
      </c>
      <c r="G215" s="11" t="str">
        <f t="shared" si="32"/>
        <v>Jul'25/26</v>
      </c>
      <c r="H215" s="11" t="str">
        <f t="shared" si="33"/>
        <v>Jul'25/26</v>
      </c>
      <c r="I215" s="11" t="e">
        <f t="shared" si="34"/>
        <v>#N/A</v>
      </c>
      <c r="J215" s="11" t="str">
        <f t="shared" si="28"/>
        <v>Jul'25/26</v>
      </c>
      <c r="K215" s="41" t="e">
        <f>'S4 Arabica'!I215</f>
        <v>#N/A</v>
      </c>
      <c r="L215" s="41" t="e">
        <f>'S5 Robusta'!I215</f>
        <v>#N/A</v>
      </c>
    </row>
    <row r="216" spans="2:12" x14ac:dyDescent="0.55000000000000004">
      <c r="B216" s="11">
        <f t="shared" si="35"/>
        <v>12</v>
      </c>
      <c r="C216" s="11">
        <f t="shared" si="36"/>
        <v>11</v>
      </c>
      <c r="D216" s="12" t="e">
        <f t="shared" si="29"/>
        <v>#N/A</v>
      </c>
      <c r="E216" s="11" t="str">
        <f t="shared" si="30"/>
        <v>25/26</v>
      </c>
      <c r="F216" s="11" t="str">
        <f t="shared" si="31"/>
        <v>Aug</v>
      </c>
      <c r="G216" s="11" t="str">
        <f t="shared" si="32"/>
        <v>Aug'25/26</v>
      </c>
      <c r="H216" s="11" t="str">
        <f t="shared" si="33"/>
        <v>Aug'25/26</v>
      </c>
      <c r="I216" s="11" t="e">
        <f t="shared" si="34"/>
        <v>#N/A</v>
      </c>
      <c r="J216" s="11" t="str">
        <f t="shared" si="28"/>
        <v>Aug'25/26</v>
      </c>
      <c r="K216" s="41" t="e">
        <f>'S4 Arabica'!I216</f>
        <v>#N/A</v>
      </c>
      <c r="L216" s="41" t="e">
        <f>'S5 Robusta'!I216</f>
        <v>#N/A</v>
      </c>
    </row>
    <row r="217" spans="2:12" x14ac:dyDescent="0.55000000000000004">
      <c r="B217" s="11">
        <f t="shared" si="35"/>
        <v>12</v>
      </c>
      <c r="C217" s="11">
        <f t="shared" si="36"/>
        <v>12</v>
      </c>
      <c r="D217" s="12" t="e">
        <f t="shared" si="29"/>
        <v>#N/A</v>
      </c>
      <c r="E217" s="11" t="str">
        <f t="shared" si="30"/>
        <v>25/26</v>
      </c>
      <c r="F217" s="11" t="str">
        <f t="shared" si="31"/>
        <v>Sep</v>
      </c>
      <c r="G217" s="11" t="str">
        <f t="shared" si="32"/>
        <v>Sep'25/26</v>
      </c>
      <c r="H217" s="11" t="str">
        <f t="shared" si="33"/>
        <v>Sep'25/26</v>
      </c>
      <c r="I217" s="11" t="e">
        <f t="shared" si="34"/>
        <v>#N/A</v>
      </c>
      <c r="J217" s="11" t="str">
        <f t="shared" si="28"/>
        <v>Sep'25/26</v>
      </c>
      <c r="K217" s="41" t="e">
        <f>'S4 Arabica'!I217</f>
        <v>#N/A</v>
      </c>
      <c r="L217" s="41" t="e">
        <f>'S5 Robusta'!I217</f>
        <v>#N/A</v>
      </c>
    </row>
    <row r="218" spans="2:12" x14ac:dyDescent="0.55000000000000004">
      <c r="B218" s="11">
        <f t="shared" si="35"/>
        <v>13</v>
      </c>
      <c r="C218" s="11">
        <f t="shared" si="36"/>
        <v>1</v>
      </c>
      <c r="D218" s="12" t="e">
        <f t="shared" si="29"/>
        <v>#N/A</v>
      </c>
      <c r="E218" s="11" t="str">
        <f t="shared" si="30"/>
        <v>26/27</v>
      </c>
      <c r="F218" s="11" t="str">
        <f t="shared" si="31"/>
        <v>Oct</v>
      </c>
      <c r="G218" s="11" t="str">
        <f t="shared" si="32"/>
        <v>Oct'26/27</v>
      </c>
      <c r="H218" s="11" t="str">
        <f t="shared" si="33"/>
        <v>Oct'26/27</v>
      </c>
      <c r="I218" s="11" t="e">
        <f t="shared" si="34"/>
        <v>#N/A</v>
      </c>
      <c r="J218" s="11" t="str">
        <f t="shared" si="28"/>
        <v>Oct'26/27</v>
      </c>
      <c r="K218" s="41" t="e">
        <f>'S4 Arabica'!I218</f>
        <v>#N/A</v>
      </c>
      <c r="L218" s="41" t="e">
        <f>'S5 Robusta'!I218</f>
        <v>#N/A</v>
      </c>
    </row>
    <row r="219" spans="2:12" x14ac:dyDescent="0.55000000000000004">
      <c r="B219" s="11">
        <f t="shared" si="35"/>
        <v>13</v>
      </c>
      <c r="C219" s="11">
        <f t="shared" si="36"/>
        <v>2</v>
      </c>
      <c r="D219" s="12" t="e">
        <f t="shared" si="29"/>
        <v>#N/A</v>
      </c>
      <c r="E219" s="11" t="str">
        <f t="shared" si="30"/>
        <v>26/27</v>
      </c>
      <c r="F219" s="11" t="str">
        <f t="shared" si="31"/>
        <v>Nov</v>
      </c>
      <c r="G219" s="11" t="str">
        <f t="shared" si="32"/>
        <v>Nov'26/27</v>
      </c>
      <c r="H219" s="11" t="str">
        <f t="shared" si="33"/>
        <v>Nov'26/27</v>
      </c>
      <c r="I219" s="11" t="e">
        <f t="shared" si="34"/>
        <v>#N/A</v>
      </c>
      <c r="J219" s="11" t="str">
        <f t="shared" si="28"/>
        <v>Nov'26/27</v>
      </c>
      <c r="K219" s="41" t="e">
        <f>'S4 Arabica'!I219</f>
        <v>#N/A</v>
      </c>
      <c r="L219" s="41" t="e">
        <f>'S5 Robusta'!I219</f>
        <v>#N/A</v>
      </c>
    </row>
    <row r="220" spans="2:12" x14ac:dyDescent="0.55000000000000004">
      <c r="B220" s="11">
        <f t="shared" si="35"/>
        <v>13</v>
      </c>
      <c r="C220" s="11">
        <f t="shared" si="36"/>
        <v>3</v>
      </c>
      <c r="D220" s="12" t="e">
        <f t="shared" si="29"/>
        <v>#N/A</v>
      </c>
      <c r="E220" s="11" t="str">
        <f t="shared" si="30"/>
        <v>26/27</v>
      </c>
      <c r="F220" s="11" t="str">
        <f t="shared" si="31"/>
        <v>Dec</v>
      </c>
      <c r="G220" s="11" t="str">
        <f t="shared" si="32"/>
        <v>Dec'26/27</v>
      </c>
      <c r="H220" s="11" t="str">
        <f t="shared" si="33"/>
        <v>Dec'26/27</v>
      </c>
      <c r="I220" s="11" t="e">
        <f t="shared" si="34"/>
        <v>#N/A</v>
      </c>
      <c r="J220" s="11" t="str">
        <f t="shared" si="28"/>
        <v>Dec'26/27</v>
      </c>
      <c r="K220" s="41" t="e">
        <f>'S4 Arabica'!I220</f>
        <v>#N/A</v>
      </c>
      <c r="L220" s="41" t="e">
        <f>'S5 Robusta'!I220</f>
        <v>#N/A</v>
      </c>
    </row>
    <row r="221" spans="2:12" x14ac:dyDescent="0.55000000000000004">
      <c r="B221" s="11">
        <f t="shared" si="35"/>
        <v>13</v>
      </c>
      <c r="C221" s="11">
        <f t="shared" si="36"/>
        <v>4</v>
      </c>
      <c r="D221" s="12" t="e">
        <f t="shared" si="29"/>
        <v>#N/A</v>
      </c>
      <c r="E221" s="11" t="str">
        <f t="shared" si="30"/>
        <v>26/27</v>
      </c>
      <c r="F221" s="11" t="str">
        <f t="shared" si="31"/>
        <v>Jan</v>
      </c>
      <c r="G221" s="11" t="str">
        <f t="shared" si="32"/>
        <v>Jan'26/27</v>
      </c>
      <c r="H221" s="11" t="str">
        <f t="shared" si="33"/>
        <v>Jan'26/27</v>
      </c>
      <c r="I221" s="11" t="e">
        <f t="shared" si="34"/>
        <v>#N/A</v>
      </c>
      <c r="J221" s="11" t="str">
        <f t="shared" si="28"/>
        <v>Jan'26/27</v>
      </c>
      <c r="K221" s="41" t="e">
        <f>'S4 Arabica'!I221</f>
        <v>#N/A</v>
      </c>
      <c r="L221" s="41" t="e">
        <f>'S5 Robusta'!I221</f>
        <v>#N/A</v>
      </c>
    </row>
    <row r="222" spans="2:12" x14ac:dyDescent="0.55000000000000004">
      <c r="B222" s="11">
        <f t="shared" si="35"/>
        <v>13</v>
      </c>
      <c r="C222" s="11">
        <f t="shared" si="36"/>
        <v>5</v>
      </c>
      <c r="D222" s="12" t="e">
        <f t="shared" si="29"/>
        <v>#N/A</v>
      </c>
      <c r="E222" s="11" t="str">
        <f t="shared" si="30"/>
        <v>26/27</v>
      </c>
      <c r="F222" s="11" t="str">
        <f t="shared" si="31"/>
        <v>Feb</v>
      </c>
      <c r="G222" s="11" t="str">
        <f t="shared" si="32"/>
        <v>Feb'26/27</v>
      </c>
      <c r="H222" s="11" t="str">
        <f t="shared" si="33"/>
        <v>Feb'26/27</v>
      </c>
      <c r="I222" s="11" t="e">
        <f t="shared" si="34"/>
        <v>#N/A</v>
      </c>
      <c r="J222" s="11" t="str">
        <f t="shared" si="28"/>
        <v>Feb'26/27</v>
      </c>
      <c r="K222" s="41" t="e">
        <f>'S4 Arabica'!I222</f>
        <v>#N/A</v>
      </c>
      <c r="L222" s="41" t="e">
        <f>'S5 Robusta'!I222</f>
        <v>#N/A</v>
      </c>
    </row>
    <row r="223" spans="2:12" x14ac:dyDescent="0.55000000000000004">
      <c r="B223" s="11">
        <f t="shared" si="35"/>
        <v>13</v>
      </c>
      <c r="C223" s="11">
        <f t="shared" si="36"/>
        <v>6</v>
      </c>
      <c r="D223" s="12" t="e">
        <f t="shared" si="29"/>
        <v>#N/A</v>
      </c>
      <c r="E223" s="11" t="str">
        <f t="shared" si="30"/>
        <v>26/27</v>
      </c>
      <c r="F223" s="11" t="str">
        <f t="shared" si="31"/>
        <v>Mar</v>
      </c>
      <c r="G223" s="11" t="str">
        <f t="shared" si="32"/>
        <v>Mar'26/27</v>
      </c>
      <c r="H223" s="11" t="str">
        <f t="shared" si="33"/>
        <v>Mar'26/27</v>
      </c>
      <c r="I223" s="11" t="e">
        <f t="shared" si="34"/>
        <v>#N/A</v>
      </c>
      <c r="J223" s="11" t="str">
        <f t="shared" si="28"/>
        <v>Mar'26/27</v>
      </c>
      <c r="K223" s="41" t="e">
        <f>'S4 Arabica'!I223</f>
        <v>#N/A</v>
      </c>
      <c r="L223" s="41" t="e">
        <f>'S5 Robusta'!I223</f>
        <v>#N/A</v>
      </c>
    </row>
    <row r="224" spans="2:12" x14ac:dyDescent="0.55000000000000004">
      <c r="B224" s="11">
        <f t="shared" si="35"/>
        <v>13</v>
      </c>
      <c r="C224" s="11">
        <f t="shared" si="36"/>
        <v>7</v>
      </c>
      <c r="D224" s="12" t="e">
        <f t="shared" si="29"/>
        <v>#N/A</v>
      </c>
      <c r="E224" s="11" t="str">
        <f t="shared" si="30"/>
        <v>26/27</v>
      </c>
      <c r="F224" s="11" t="str">
        <f t="shared" si="31"/>
        <v>Apr</v>
      </c>
      <c r="G224" s="11" t="str">
        <f t="shared" si="32"/>
        <v>Apr'26/27</v>
      </c>
      <c r="H224" s="11" t="str">
        <f t="shared" si="33"/>
        <v>Apr'26/27</v>
      </c>
      <c r="I224" s="11" t="e">
        <f t="shared" si="34"/>
        <v>#N/A</v>
      </c>
      <c r="J224" s="11" t="str">
        <f t="shared" si="28"/>
        <v>Apr'26/27</v>
      </c>
      <c r="K224" s="41" t="e">
        <f>'S4 Arabica'!I224</f>
        <v>#N/A</v>
      </c>
      <c r="L224" s="41" t="e">
        <f>'S5 Robusta'!I224</f>
        <v>#N/A</v>
      </c>
    </row>
    <row r="225" spans="2:12" x14ac:dyDescent="0.55000000000000004">
      <c r="B225" s="11">
        <f t="shared" si="35"/>
        <v>13</v>
      </c>
      <c r="C225" s="11">
        <f t="shared" si="36"/>
        <v>8</v>
      </c>
      <c r="D225" s="12" t="e">
        <f t="shared" si="29"/>
        <v>#N/A</v>
      </c>
      <c r="E225" s="11" t="str">
        <f t="shared" si="30"/>
        <v>26/27</v>
      </c>
      <c r="F225" s="11" t="str">
        <f t="shared" si="31"/>
        <v>May</v>
      </c>
      <c r="G225" s="11" t="str">
        <f t="shared" si="32"/>
        <v>May'26/27</v>
      </c>
      <c r="H225" s="11" t="str">
        <f t="shared" si="33"/>
        <v>May'26/27</v>
      </c>
      <c r="I225" s="11" t="e">
        <f t="shared" si="34"/>
        <v>#N/A</v>
      </c>
      <c r="J225" s="11" t="str">
        <f t="shared" si="28"/>
        <v>May'26/27</v>
      </c>
      <c r="K225" s="41" t="e">
        <f>'S4 Arabica'!I225</f>
        <v>#N/A</v>
      </c>
      <c r="L225" s="41" t="e">
        <f>'S5 Robusta'!I225</f>
        <v>#N/A</v>
      </c>
    </row>
    <row r="226" spans="2:12" x14ac:dyDescent="0.55000000000000004">
      <c r="B226" s="11">
        <f t="shared" si="35"/>
        <v>13</v>
      </c>
      <c r="C226" s="11">
        <f t="shared" si="36"/>
        <v>9</v>
      </c>
      <c r="D226" s="12" t="e">
        <f t="shared" si="29"/>
        <v>#N/A</v>
      </c>
      <c r="E226" s="11" t="str">
        <f t="shared" si="30"/>
        <v>26/27</v>
      </c>
      <c r="F226" s="11" t="str">
        <f t="shared" si="31"/>
        <v>Jun</v>
      </c>
      <c r="G226" s="11" t="str">
        <f t="shared" si="32"/>
        <v>Jun'26/27</v>
      </c>
      <c r="H226" s="11" t="str">
        <f t="shared" si="33"/>
        <v>Jun'26/27</v>
      </c>
      <c r="I226" s="11" t="e">
        <f t="shared" si="34"/>
        <v>#N/A</v>
      </c>
      <c r="J226" s="11" t="str">
        <f t="shared" si="28"/>
        <v>Jun'26/27</v>
      </c>
      <c r="K226" s="41" t="e">
        <f>'S4 Arabica'!I226</f>
        <v>#N/A</v>
      </c>
      <c r="L226" s="41" t="e">
        <f>'S5 Robusta'!I226</f>
        <v>#N/A</v>
      </c>
    </row>
    <row r="227" spans="2:12" x14ac:dyDescent="0.55000000000000004">
      <c r="B227" s="11">
        <f t="shared" si="35"/>
        <v>13</v>
      </c>
      <c r="C227" s="11">
        <f t="shared" si="36"/>
        <v>10</v>
      </c>
      <c r="D227" s="12" t="e">
        <f t="shared" si="29"/>
        <v>#N/A</v>
      </c>
      <c r="E227" s="11" t="str">
        <f t="shared" si="30"/>
        <v>26/27</v>
      </c>
      <c r="F227" s="11" t="str">
        <f t="shared" si="31"/>
        <v>Jul</v>
      </c>
      <c r="G227" s="11" t="str">
        <f t="shared" si="32"/>
        <v>Jul'26/27</v>
      </c>
      <c r="H227" s="11" t="str">
        <f t="shared" si="33"/>
        <v>Jul'26/27</v>
      </c>
      <c r="I227" s="11" t="e">
        <f t="shared" si="34"/>
        <v>#N/A</v>
      </c>
      <c r="J227" s="11" t="str">
        <f t="shared" si="28"/>
        <v>Jul'26/27</v>
      </c>
      <c r="K227" s="41" t="e">
        <f>'S4 Arabica'!I227</f>
        <v>#N/A</v>
      </c>
      <c r="L227" s="41" t="e">
        <f>'S5 Robusta'!I227</f>
        <v>#N/A</v>
      </c>
    </row>
    <row r="228" spans="2:12" x14ac:dyDescent="0.55000000000000004">
      <c r="B228" s="11">
        <f t="shared" si="35"/>
        <v>13</v>
      </c>
      <c r="C228" s="11">
        <f t="shared" si="36"/>
        <v>11</v>
      </c>
      <c r="D228" s="12" t="e">
        <f t="shared" si="29"/>
        <v>#N/A</v>
      </c>
      <c r="E228" s="11" t="str">
        <f t="shared" si="30"/>
        <v>26/27</v>
      </c>
      <c r="F228" s="11" t="str">
        <f t="shared" si="31"/>
        <v>Aug</v>
      </c>
      <c r="G228" s="11" t="str">
        <f t="shared" si="32"/>
        <v>Aug'26/27</v>
      </c>
      <c r="H228" s="11" t="str">
        <f t="shared" si="33"/>
        <v>Aug'26/27</v>
      </c>
      <c r="I228" s="11" t="e">
        <f t="shared" si="34"/>
        <v>#N/A</v>
      </c>
      <c r="J228" s="11" t="str">
        <f t="shared" si="28"/>
        <v>Aug'26/27</v>
      </c>
      <c r="K228" s="41" t="e">
        <f>'S4 Arabica'!I228</f>
        <v>#N/A</v>
      </c>
      <c r="L228" s="41" t="e">
        <f>'S5 Robusta'!I228</f>
        <v>#N/A</v>
      </c>
    </row>
    <row r="229" spans="2:12" x14ac:dyDescent="0.55000000000000004">
      <c r="B229" s="11">
        <f t="shared" si="35"/>
        <v>13</v>
      </c>
      <c r="C229" s="11">
        <f t="shared" si="36"/>
        <v>12</v>
      </c>
      <c r="D229" s="12" t="e">
        <f t="shared" si="29"/>
        <v>#N/A</v>
      </c>
      <c r="E229" s="11" t="str">
        <f t="shared" si="30"/>
        <v>26/27</v>
      </c>
      <c r="F229" s="11" t="str">
        <f t="shared" si="31"/>
        <v>Sep</v>
      </c>
      <c r="G229" s="11" t="str">
        <f t="shared" si="32"/>
        <v>Sep'26/27</v>
      </c>
      <c r="H229" s="11" t="str">
        <f t="shared" si="33"/>
        <v>Sep'26/27</v>
      </c>
      <c r="I229" s="11" t="e">
        <f t="shared" si="34"/>
        <v>#N/A</v>
      </c>
      <c r="J229" s="11" t="str">
        <f t="shared" si="28"/>
        <v>Sep'26/27</v>
      </c>
      <c r="K229" s="41" t="e">
        <f>'S4 Arabica'!I229</f>
        <v>#N/A</v>
      </c>
      <c r="L229" s="41" t="e">
        <f>'S5 Robusta'!I229</f>
        <v>#N/A</v>
      </c>
    </row>
  </sheetData>
  <mergeCells count="6">
    <mergeCell ref="N74:Y74"/>
    <mergeCell ref="A1:P2"/>
    <mergeCell ref="Q1:S2"/>
    <mergeCell ref="P4:R4"/>
    <mergeCell ref="C5:N5"/>
    <mergeCell ref="S6:U6"/>
  </mergeCells>
  <conditionalFormatting sqref="C7:N19">
    <cfRule type="cellIs" dxfId="18" priority="1" operator="greaterThanOrEqual">
      <formula>0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{DA7050AB-D4B5-428E-9DB2-F88B36BE0820}</x14:id>
        </ext>
      </extLst>
    </cfRule>
  </conditionalFormatting>
  <conditionalFormatting sqref="Q17:Q1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{7462E0A8-193A-4617-8F26-FD49264AC90D}</x14:id>
        </ext>
      </extLst>
    </cfRule>
  </conditionalFormatting>
  <conditionalFormatting sqref="T7:T1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{6889B67A-50C1-414E-9DA8-8900FA99AB08}</x14:id>
        </ext>
      </extLst>
    </cfRule>
  </conditionalFormatting>
  <conditionalFormatting sqref="U18:U1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{8BA91F92-DDDD-4B73-B4F0-61416B66BFCC}</x14:id>
        </ext>
      </extLst>
    </cfRule>
  </conditionalFormatting>
  <pageMargins left="0.7" right="0.7" top="0.75" bottom="0.75" header="0.3" footer="0.3"/>
  <ignoredErrors>
    <ignoredError sqref="D17:N19 C18:C19" evalError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050AB-D4B5-428E-9DB2-F88B36BE08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Q8:Q16</xm:sqref>
        </x14:conditionalFormatting>
        <x14:conditionalFormatting xmlns:xm="http://schemas.microsoft.com/office/excel/2006/main">
          <x14:cfRule type="dataBar" id="{7462E0A8-193A-4617-8F26-FD49264AC9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Q17:Q19</xm:sqref>
        </x14:conditionalFormatting>
        <x14:conditionalFormatting xmlns:xm="http://schemas.microsoft.com/office/excel/2006/main">
          <x14:cfRule type="dataBar" id="{6889B67A-50C1-414E-9DA8-8900FA99AB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U8:U17</xm:sqref>
        </x14:conditionalFormatting>
        <x14:conditionalFormatting xmlns:xm="http://schemas.microsoft.com/office/excel/2006/main">
          <x14:cfRule type="dataBar" id="{8BA91F92-DDDD-4B73-B4F0-61416B66BF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U18:U19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BF0F-78EB-4DE5-ABC3-2B0DF49A8235}">
  <sheetPr codeName="Sheet12"/>
  <dimension ref="A1:AI229"/>
  <sheetViews>
    <sheetView showGridLines="0" zoomScale="115" zoomScaleNormal="115" workbookViewId="0">
      <selection activeCell="G18" sqref="G18"/>
    </sheetView>
  </sheetViews>
  <sheetFormatPr defaultColWidth="8.83984375" defaultRowHeight="14.4" x14ac:dyDescent="0.55000000000000004"/>
  <cols>
    <col min="1" max="1" width="5.83984375" style="11" bestFit="1" customWidth="1"/>
    <col min="2" max="6" width="8.578125" style="11" bestFit="1" customWidth="1"/>
    <col min="7" max="8" width="9.41796875" style="11" bestFit="1" customWidth="1"/>
    <col min="9" max="9" width="14.15625" style="11" bestFit="1" customWidth="1"/>
    <col min="10" max="10" width="8.578125" style="11" bestFit="1" customWidth="1"/>
    <col min="11" max="11" width="25.15625" style="11" customWidth="1"/>
    <col min="12" max="13" width="8.578125" style="11" bestFit="1" customWidth="1"/>
    <col min="14" max="14" width="6.41796875" style="11" bestFit="1" customWidth="1"/>
    <col min="15" max="16" width="7.15625" style="11" bestFit="1" customWidth="1"/>
    <col min="17" max="17" width="32.26171875" style="11" bestFit="1" customWidth="1"/>
    <col min="18" max="25" width="7.15625" style="11" bestFit="1" customWidth="1"/>
    <col min="26" max="33" width="8.83984375" style="11"/>
    <col min="34" max="34" width="2.83984375" style="11" bestFit="1" customWidth="1"/>
    <col min="35" max="35" width="10.15625" style="11" bestFit="1" customWidth="1"/>
    <col min="36" max="16384" width="8.83984375" style="11"/>
  </cols>
  <sheetData>
    <row r="1" spans="1:35" s="17" customFormat="1" ht="25.9" customHeight="1" x14ac:dyDescent="0.55000000000000004">
      <c r="A1" s="73" t="s">
        <v>56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83" t="s">
        <v>57</v>
      </c>
      <c r="R1" s="83"/>
      <c r="S1" s="83"/>
      <c r="T1" s="83"/>
      <c r="U1" s="83"/>
      <c r="V1" s="83"/>
      <c r="W1" s="29"/>
      <c r="X1" s="29"/>
      <c r="Y1" s="29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83"/>
      <c r="R2" s="83"/>
      <c r="S2" s="83"/>
      <c r="T2" s="83"/>
      <c r="U2" s="83"/>
      <c r="V2" s="83"/>
      <c r="W2" s="29"/>
      <c r="X2" s="29"/>
      <c r="Y2" s="29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Oct-May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Super 4 : Arabica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Oct-May</v>
      </c>
      <c r="T6" s="75"/>
      <c r="U6" s="75"/>
    </row>
    <row r="7" spans="1:35" x14ac:dyDescent="0.55000000000000004">
      <c r="A7" s="14">
        <v>1</v>
      </c>
      <c r="B7" s="6" t="s">
        <v>15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6" t="s">
        <v>15</v>
      </c>
      <c r="P7" s="20" t="str">
        <f t="shared" ref="P7:P19" si="0">IF(COUNT(C7:N7)=12,SUM(C7:N7),"")</f>
        <v/>
      </c>
      <c r="Q7" s="2"/>
      <c r="R7" s="2"/>
      <c r="S7" s="6" t="s">
        <v>15</v>
      </c>
      <c r="T7" s="20" t="str">
        <f t="shared" ref="T7:T17" ca="1" si="1">IFERROR(IF(SUM(OFFSET(C7,0,0,1,$C$56))=0,"",SUM(OFFSET(C7,0,0,1,$C$56))),"")</f>
        <v/>
      </c>
      <c r="U7" s="2"/>
    </row>
    <row r="8" spans="1:35" x14ac:dyDescent="0.55000000000000004">
      <c r="A8" s="14">
        <v>2</v>
      </c>
      <c r="B8" s="6" t="s">
        <v>16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6" t="s">
        <v>16</v>
      </c>
      <c r="P8" s="20" t="str">
        <f t="shared" si="0"/>
        <v/>
      </c>
      <c r="Q8" s="7" t="str">
        <f t="shared" ref="Q8:Q16" si="2">IFERROR(P8/P7-1,"")</f>
        <v/>
      </c>
      <c r="R8" s="2"/>
      <c r="S8" s="6" t="s">
        <v>16</v>
      </c>
      <c r="T8" s="20" t="str">
        <f t="shared" ca="1" si="1"/>
        <v/>
      </c>
      <c r="U8" s="7" t="str">
        <f t="shared" ref="U8:U18" ca="1" si="3">IFERROR(T8/T7-1,"")</f>
        <v/>
      </c>
    </row>
    <row r="9" spans="1:35" x14ac:dyDescent="0.55000000000000004">
      <c r="A9" s="14">
        <v>3</v>
      </c>
      <c r="B9" s="6" t="s">
        <v>17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6" t="s">
        <v>17</v>
      </c>
      <c r="P9" s="20" t="str">
        <f t="shared" si="0"/>
        <v/>
      </c>
      <c r="Q9" s="7" t="str">
        <f t="shared" si="2"/>
        <v/>
      </c>
      <c r="R9" s="2"/>
      <c r="S9" s="6" t="s">
        <v>17</v>
      </c>
      <c r="T9" s="20" t="str">
        <f t="shared" ca="1" si="1"/>
        <v/>
      </c>
      <c r="U9" s="7" t="str">
        <f t="shared" ca="1" si="3"/>
        <v/>
      </c>
    </row>
    <row r="10" spans="1:35" x14ac:dyDescent="0.55000000000000004">
      <c r="A10" s="14">
        <v>4</v>
      </c>
      <c r="B10" s="6" t="s">
        <v>18</v>
      </c>
      <c r="C10" s="23">
        <f>'Brazil Arabica'!C10+Colombia!C10+Honduras!C10+Ethiopia!C10</f>
        <v>4050109.6674166666</v>
      </c>
      <c r="D10" s="23">
        <f>'Brazil Arabica'!D10+Colombia!D10+Honduras!D10+Ethiopia!D10</f>
        <v>4335361.9027133333</v>
      </c>
      <c r="E10" s="23">
        <f>'Brazil Arabica'!E10+Colombia!E10+Honduras!E10+Ethiopia!E10</f>
        <v>4553407.3266583337</v>
      </c>
      <c r="F10" s="23">
        <f>'Brazil Arabica'!F10+Colombia!F10+Honduras!F10+Ethiopia!F10</f>
        <v>4662270.6124999998</v>
      </c>
      <c r="G10" s="23">
        <f>'Brazil Arabica'!G10+Colombia!G10+Honduras!G10+Ethiopia!G10</f>
        <v>4572967.0157583337</v>
      </c>
      <c r="H10" s="23">
        <f>'Brazil Arabica'!H10+Colombia!H10+Honduras!H10+Ethiopia!H10</f>
        <v>4199877.0402083332</v>
      </c>
      <c r="I10" s="23">
        <f>'Brazil Arabica'!I10+Colombia!I10+Honduras!I10+Ethiopia!I10</f>
        <v>4211985.4902333338</v>
      </c>
      <c r="J10" s="23">
        <f>'Brazil Arabica'!J10+Colombia!J10+Honduras!J10+Ethiopia!J10</f>
        <v>3598866.918875</v>
      </c>
      <c r="K10" s="23">
        <f>'Brazil Arabica'!K10+Colombia!K10+Honduras!K10+Ethiopia!K10</f>
        <v>4194040.0913416669</v>
      </c>
      <c r="L10" s="23">
        <f>'Brazil Arabica'!L10+Colombia!L10+Honduras!L10+Ethiopia!L10</f>
        <v>3891774.7565566669</v>
      </c>
      <c r="M10" s="23">
        <f>'Brazil Arabica'!M10+Colombia!M10+Honduras!M10+Ethiopia!M10</f>
        <v>4508697.5929800002</v>
      </c>
      <c r="N10" s="23">
        <f>'Brazil Arabica'!N10+Colombia!N10+Honduras!N10+Ethiopia!N10</f>
        <v>4234550.0517499996</v>
      </c>
      <c r="O10" s="6" t="s">
        <v>18</v>
      </c>
      <c r="P10" s="20">
        <f t="shared" si="0"/>
        <v>51013908.466991663</v>
      </c>
      <c r="Q10" s="7" t="str">
        <f t="shared" si="2"/>
        <v/>
      </c>
      <c r="R10" s="2"/>
      <c r="S10" s="6" t="s">
        <v>18</v>
      </c>
      <c r="T10" s="20">
        <f t="shared" ca="1" si="1"/>
        <v>34184845.974363334</v>
      </c>
      <c r="U10" s="7" t="str">
        <f t="shared" ca="1" si="3"/>
        <v/>
      </c>
    </row>
    <row r="11" spans="1:35" x14ac:dyDescent="0.55000000000000004">
      <c r="A11" s="14">
        <v>5</v>
      </c>
      <c r="B11" s="6" t="s">
        <v>19</v>
      </c>
      <c r="C11" s="23">
        <f>'Brazil Arabica'!C11+Colombia!C11+Honduras!C11+Ethiopia!C11</f>
        <v>4717413.6427250002</v>
      </c>
      <c r="D11" s="23">
        <f>'Brazil Arabica'!D11+Colombia!D11+Honduras!D11+Ethiopia!D11</f>
        <v>4998661.1397916665</v>
      </c>
      <c r="E11" s="23">
        <f>'Brazil Arabica'!E11+Colombia!E11+Honduras!E11+Ethiopia!E11</f>
        <v>5320807.8952500001</v>
      </c>
      <c r="F11" s="23">
        <f>'Brazil Arabica'!F11+Colombia!F11+Honduras!F11+Ethiopia!F11</f>
        <v>5053573.5979366666</v>
      </c>
      <c r="G11" s="23">
        <f>'Brazil Arabica'!G11+Colombia!G11+Honduras!G11+Ethiopia!G11</f>
        <v>5365820.3625999996</v>
      </c>
      <c r="H11" s="23">
        <f>'Brazil Arabica'!H11+Colombia!H11+Honduras!H11+Ethiopia!H11</f>
        <v>4860850.015625</v>
      </c>
      <c r="I11" s="23">
        <f>'Brazil Arabica'!I11+Colombia!I11+Honduras!I11+Ethiopia!I11</f>
        <v>4889852.8813333334</v>
      </c>
      <c r="J11" s="23">
        <f>'Brazil Arabica'!J11+Colombia!J11+Honduras!J11+Ethiopia!J11</f>
        <v>5511531.5026666671</v>
      </c>
      <c r="K11" s="23">
        <f>'Brazil Arabica'!K11+Colombia!K11+Honduras!K11+Ethiopia!K11</f>
        <v>4838977.779291667</v>
      </c>
      <c r="L11" s="23">
        <f>'Brazil Arabica'!L11+Colombia!L11+Honduras!L11+Ethiopia!L11</f>
        <v>4770329.675708333</v>
      </c>
      <c r="M11" s="23">
        <f>'Brazil Arabica'!M11+Colombia!M11+Honduras!M11+Ethiopia!M11</f>
        <v>4549007.1290166667</v>
      </c>
      <c r="N11" s="23">
        <f>'Brazil Arabica'!N11+Colombia!N11+Honduras!N11+Ethiopia!N11</f>
        <v>4450022.3458333332</v>
      </c>
      <c r="O11" s="6" t="s">
        <v>19</v>
      </c>
      <c r="P11" s="20">
        <f t="shared" si="0"/>
        <v>59326847.967778333</v>
      </c>
      <c r="Q11" s="7">
        <f t="shared" si="2"/>
        <v>0.16295437363254606</v>
      </c>
      <c r="R11" s="2"/>
      <c r="S11" s="6" t="s">
        <v>19</v>
      </c>
      <c r="T11" s="20">
        <f t="shared" ca="1" si="1"/>
        <v>40718511.037928335</v>
      </c>
      <c r="U11" s="7">
        <f t="shared" ca="1" si="3"/>
        <v>0.19112752675454137</v>
      </c>
    </row>
    <row r="12" spans="1:35" x14ac:dyDescent="0.55000000000000004">
      <c r="A12" s="14">
        <v>6</v>
      </c>
      <c r="B12" s="6" t="s">
        <v>20</v>
      </c>
      <c r="C12" s="23">
        <f>'Brazil Arabica'!C12+Colombia!C12+Honduras!C12+Ethiopia!C12</f>
        <v>4635677.8949666666</v>
      </c>
      <c r="D12" s="23">
        <f>'Brazil Arabica'!D12+Colombia!D12+Honduras!D12+Ethiopia!D12</f>
        <v>4370017.57</v>
      </c>
      <c r="E12" s="23">
        <f>'Brazil Arabica'!E12+Colombia!E12+Honduras!E12+Ethiopia!E12</f>
        <v>4404055.0029166667</v>
      </c>
      <c r="F12" s="23">
        <f>'Brazil Arabica'!F12+Colombia!F12+Honduras!F12+Ethiopia!F12</f>
        <v>4971784.7840933334</v>
      </c>
      <c r="G12" s="23">
        <f>'Brazil Arabica'!G12+Colombia!G12+Honduras!G12+Ethiopia!G12</f>
        <v>4630856.413383333</v>
      </c>
      <c r="H12" s="23">
        <f>'Brazil Arabica'!H12+Colombia!H12+Honduras!H12+Ethiopia!H12</f>
        <v>5064583.3977083331</v>
      </c>
      <c r="I12" s="23">
        <f>'Brazil Arabica'!I12+Colombia!I12+Honduras!I12+Ethiopia!I12</f>
        <v>4696361.0373333339</v>
      </c>
      <c r="J12" s="23">
        <f>'Brazil Arabica'!J12+Colombia!J12+Honduras!J12+Ethiopia!J12</f>
        <v>4583106.2768333331</v>
      </c>
      <c r="K12" s="23">
        <f>'Brazil Arabica'!K12+Colombia!K12+Honduras!K12+Ethiopia!K12</f>
        <v>4326034.4171666671</v>
      </c>
      <c r="L12" s="23">
        <f>'Brazil Arabica'!L12+Colombia!L12+Honduras!L12+Ethiopia!L12</f>
        <v>4244566.0042249998</v>
      </c>
      <c r="M12" s="23">
        <f>'Brazil Arabica'!M12+Colombia!M12+Honduras!M12+Ethiopia!M12</f>
        <v>4377553.2177416664</v>
      </c>
      <c r="N12" s="23">
        <f>'Brazil Arabica'!N12+Colombia!N12+Honduras!N12+Ethiopia!N12</f>
        <v>4524468.9543333333</v>
      </c>
      <c r="O12" s="6" t="s">
        <v>20</v>
      </c>
      <c r="P12" s="20">
        <f t="shared" si="0"/>
        <v>54829064.970701672</v>
      </c>
      <c r="Q12" s="7">
        <f t="shared" si="2"/>
        <v>-7.5813618136589711E-2</v>
      </c>
      <c r="R12" s="2"/>
      <c r="S12" s="6" t="s">
        <v>20</v>
      </c>
      <c r="T12" s="20">
        <f t="shared" ca="1" si="1"/>
        <v>37356442.377235003</v>
      </c>
      <c r="U12" s="7">
        <f t="shared" ca="1" si="3"/>
        <v>-8.2568556044734676E-2</v>
      </c>
    </row>
    <row r="13" spans="1:35" x14ac:dyDescent="0.55000000000000004">
      <c r="A13" s="14">
        <v>7</v>
      </c>
      <c r="B13" s="6" t="s">
        <v>21</v>
      </c>
      <c r="C13" s="23">
        <f>'Brazil Arabica'!C13+Colombia!C13+Honduras!C13+Ethiopia!C13</f>
        <v>5031363.1934333332</v>
      </c>
      <c r="D13" s="23">
        <f>'Brazil Arabica'!D13+Colombia!D13+Honduras!D13+Ethiopia!D13</f>
        <v>5655408.5619999999</v>
      </c>
      <c r="E13" s="23">
        <f>'Brazil Arabica'!E13+Colombia!E13+Honduras!E13+Ethiopia!E13</f>
        <v>5369478.731625</v>
      </c>
      <c r="F13" s="23">
        <f>'Brazil Arabica'!F13+Colombia!F13+Honduras!F13+Ethiopia!F13</f>
        <v>4861339.8761583334</v>
      </c>
      <c r="G13" s="23">
        <f>'Brazil Arabica'!G13+Colombia!G13+Honduras!G13+Ethiopia!G13</f>
        <v>5524312.0758333337</v>
      </c>
      <c r="H13" s="23">
        <f>'Brazil Arabica'!H13+Colombia!H13+Honduras!H13+Ethiopia!H13</f>
        <v>5475874.9844166664</v>
      </c>
      <c r="I13" s="23">
        <f>'Brazil Arabica'!I13+Colombia!I13+Honduras!I13+Ethiopia!I13</f>
        <v>5363102.5858333334</v>
      </c>
      <c r="J13" s="23">
        <f>'Brazil Arabica'!J13+Colombia!J13+Honduras!J13+Ethiopia!J13</f>
        <v>4390138.7251666673</v>
      </c>
      <c r="K13" s="23">
        <f>'Brazil Arabica'!K13+Colombia!K13+Honduras!K13+Ethiopia!K13</f>
        <v>4753996.5532416664</v>
      </c>
      <c r="L13" s="23">
        <f>'Brazil Arabica'!L13+Colombia!L13+Honduras!L13+Ethiopia!L13</f>
        <v>4600245.3910916671</v>
      </c>
      <c r="M13" s="23">
        <f>'Brazil Arabica'!M13+Colombia!M13+Honduras!M13+Ethiopia!M13</f>
        <v>4182405.8680000002</v>
      </c>
      <c r="N13" s="23">
        <f>'Brazil Arabica'!N13+Colombia!N13+Honduras!N13+Ethiopia!N13</f>
        <v>4263451.8710000003</v>
      </c>
      <c r="O13" s="6" t="s">
        <v>21</v>
      </c>
      <c r="P13" s="20">
        <f t="shared" si="0"/>
        <v>59471118.417799994</v>
      </c>
      <c r="Q13" s="7">
        <f t="shared" si="2"/>
        <v>8.4664100137013865E-2</v>
      </c>
      <c r="R13" s="2"/>
      <c r="S13" s="6" t="s">
        <v>21</v>
      </c>
      <c r="T13" s="20">
        <f t="shared" ca="1" si="1"/>
        <v>41671018.734466657</v>
      </c>
      <c r="U13" s="7">
        <f t="shared" ca="1" si="3"/>
        <v>0.11549751750078197</v>
      </c>
    </row>
    <row r="14" spans="1:35" x14ac:dyDescent="0.55000000000000004">
      <c r="A14" s="14">
        <v>8</v>
      </c>
      <c r="B14" s="6" t="s">
        <v>22</v>
      </c>
      <c r="C14" s="23">
        <f>'Brazil Arabica'!C14+Colombia!C14+Honduras!C14+Ethiopia!C14</f>
        <v>4410097.725625</v>
      </c>
      <c r="D14" s="23">
        <f>'Brazil Arabica'!D14+Colombia!D14+Honduras!D14+Ethiopia!D14</f>
        <v>4275297.3897249997</v>
      </c>
      <c r="E14" s="23">
        <f>'Brazil Arabica'!E14+Colombia!E14+Honduras!E14+Ethiopia!E14</f>
        <v>5100573.2053333335</v>
      </c>
      <c r="F14" s="23">
        <f>'Brazil Arabica'!F14+Colombia!F14+Honduras!F14+Ethiopia!F14</f>
        <v>4765849.6432499997</v>
      </c>
      <c r="G14" s="23">
        <f>'Brazil Arabica'!G14+Colombia!G14+Honduras!G14+Ethiopia!G14</f>
        <v>4922445.2570633329</v>
      </c>
      <c r="H14" s="23">
        <f>'Brazil Arabica'!H14+Colombia!H14+Honduras!H14+Ethiopia!H14</f>
        <v>5646603.9678183328</v>
      </c>
      <c r="I14" s="23">
        <f>'Brazil Arabica'!I14+Colombia!I14+Honduras!I14+Ethiopia!I14</f>
        <v>4516816.4696833333</v>
      </c>
      <c r="J14" s="23">
        <f>'Brazil Arabica'!J14+Colombia!J14+Honduras!J14+Ethiopia!J14</f>
        <v>4502943.9777166666</v>
      </c>
      <c r="K14" s="23">
        <f>'Brazil Arabica'!K14+Colombia!K14+Honduras!K14+Ethiopia!K14</f>
        <v>4772545.5405000001</v>
      </c>
      <c r="L14" s="23">
        <f>'Brazil Arabica'!L14+Colombia!L14+Honduras!L14+Ethiopia!L14</f>
        <v>4074368.9610333331</v>
      </c>
      <c r="M14" s="23">
        <f>'Brazil Arabica'!M14+Colombia!M14+Honduras!M14+Ethiopia!M14</f>
        <v>3957125.4443333335</v>
      </c>
      <c r="N14" s="23">
        <f>'Brazil Arabica'!N14+Colombia!N14+Honduras!N14+Ethiopia!N14</f>
        <v>4335577.2336666668</v>
      </c>
      <c r="O14" s="6" t="s">
        <v>22</v>
      </c>
      <c r="P14" s="20">
        <f t="shared" si="0"/>
        <v>55280244.815748326</v>
      </c>
      <c r="Q14" s="7">
        <f t="shared" si="2"/>
        <v>-7.0469056468884572E-2</v>
      </c>
      <c r="R14" s="2"/>
      <c r="S14" s="6" t="s">
        <v>22</v>
      </c>
      <c r="T14" s="20">
        <f t="shared" ca="1" si="1"/>
        <v>38140627.636215001</v>
      </c>
      <c r="U14" s="7">
        <f t="shared" ca="1" si="3"/>
        <v>-8.4720537329499468E-2</v>
      </c>
    </row>
    <row r="15" spans="1:35" x14ac:dyDescent="0.55000000000000004">
      <c r="A15" s="14">
        <v>9</v>
      </c>
      <c r="B15" s="6" t="s">
        <v>23</v>
      </c>
      <c r="C15" s="23">
        <f>'Brazil Arabica'!C15+Colombia!C15+Honduras!C15+Ethiopia!C15</f>
        <v>4504837.7182666669</v>
      </c>
      <c r="D15" s="23">
        <f>'Brazil Arabica'!D15+Colombia!D15+Honduras!D15+Ethiopia!D15</f>
        <v>4571064.6351666674</v>
      </c>
      <c r="E15" s="23">
        <f>'Brazil Arabica'!E15+Colombia!E15+Honduras!E15+Ethiopia!E15</f>
        <v>4249559.5368750002</v>
      </c>
      <c r="F15" s="23">
        <f>'Brazil Arabica'!F15+Colombia!F15+Honduras!F15+Ethiopia!F15</f>
        <v>3924210.1924466668</v>
      </c>
      <c r="G15" s="23">
        <f>'Brazil Arabica'!G15+Colombia!G15+Honduras!G15+Ethiopia!G15</f>
        <v>3808153.5462750001</v>
      </c>
      <c r="H15" s="23">
        <f>'Brazil Arabica'!H15+Colombia!H15+Honduras!H15+Ethiopia!H15</f>
        <v>4584669.9286500001</v>
      </c>
      <c r="I15" s="23">
        <f>'Brazil Arabica'!I15+Colombia!I15+Honduras!I15+Ethiopia!I15</f>
        <v>4108906.2829999998</v>
      </c>
      <c r="J15" s="23">
        <f>'Brazil Arabica'!J15+Colombia!J15+Honduras!J15+Ethiopia!J15</f>
        <v>4100111.0906666666</v>
      </c>
      <c r="K15" s="23">
        <f>'Brazil Arabica'!K15+Colombia!K15+Honduras!K15+Ethiopia!K15</f>
        <v>3964266.9300416666</v>
      </c>
      <c r="L15" s="23">
        <f>'Brazil Arabica'!L15+Colombia!L15+Honduras!L15+Ethiopia!L15</f>
        <v>4044106.1312499996</v>
      </c>
      <c r="M15" s="23">
        <f>'Brazil Arabica'!M15+Colombia!M15+Honduras!M15+Ethiopia!M15</f>
        <v>4298770.0540833334</v>
      </c>
      <c r="N15" s="23">
        <f>'Brazil Arabica'!N15+Colombia!N15+Honduras!N15+Ethiopia!N15</f>
        <v>3786043.4068833333</v>
      </c>
      <c r="O15" s="6" t="s">
        <v>23</v>
      </c>
      <c r="P15" s="20">
        <f t="shared" si="0"/>
        <v>49944699.453605004</v>
      </c>
      <c r="Q15" s="7">
        <f t="shared" si="2"/>
        <v>-9.651812107429969E-2</v>
      </c>
      <c r="R15" s="2"/>
      <c r="S15" s="6" t="s">
        <v>23</v>
      </c>
      <c r="T15" s="20">
        <f t="shared" ca="1" si="1"/>
        <v>33851512.93134667</v>
      </c>
      <c r="U15" s="7">
        <f t="shared" ca="1" si="3"/>
        <v>-0.11245527330535499</v>
      </c>
    </row>
    <row r="16" spans="1:35" x14ac:dyDescent="0.55000000000000004">
      <c r="A16" s="14">
        <v>10</v>
      </c>
      <c r="B16" s="6" t="s">
        <v>24</v>
      </c>
      <c r="C16" s="23">
        <f>'Brazil Arabica'!C16+Colombia!C16+Honduras!C16+Ethiopia!C16</f>
        <v>4737791.6853999998</v>
      </c>
      <c r="D16" s="23">
        <f>'Brazil Arabica'!D16+Colombia!D16+Honduras!D16+Ethiopia!D16</f>
        <v>4748267.1121666674</v>
      </c>
      <c r="E16" s="23">
        <f>'Brazil Arabica'!E16+Colombia!E16+Honduras!E16+Ethiopia!E16</f>
        <v>4798589.4230333334</v>
      </c>
      <c r="F16" s="23">
        <f>'Brazil Arabica'!F16+Colombia!F16+Honduras!F16+Ethiopia!F16</f>
        <v>4769961.4918333339</v>
      </c>
      <c r="G16" s="23">
        <f>'Brazil Arabica'!G16+Colombia!G16+Honduras!G16+Ethiopia!G16</f>
        <v>4768687.7449166672</v>
      </c>
      <c r="H16" s="23">
        <f>'Brazil Arabica'!H16+Colombia!H16+Honduras!H16+Ethiopia!H16</f>
        <v>5275110.6241666665</v>
      </c>
      <c r="I16" s="23">
        <f>'Brazil Arabica'!I16+Colombia!I16+Honduras!I16+Ethiopia!I16</f>
        <v>5185785.617625</v>
      </c>
      <c r="J16" s="23">
        <f>'Brazil Arabica'!J16+Colombia!J16+Honduras!J16+Ethiopia!J16</f>
        <v>5611985.7264249995</v>
      </c>
      <c r="K16" s="23">
        <f>'Brazil Arabica'!K16+Colombia!K16+Honduras!K16+Ethiopia!K16</f>
        <v>4826861.0266666673</v>
      </c>
      <c r="L16" s="23">
        <f>'Brazil Arabica'!L16+Colombia!L16+Honduras!L16+Ethiopia!L16</f>
        <v>4727688.229716667</v>
      </c>
      <c r="M16" s="23">
        <f>'Brazil Arabica'!M16+Colombia!M16+Honduras!M16+Ethiopia!M16</f>
        <v>4453250.964625</v>
      </c>
      <c r="N16" s="23">
        <f>'Brazil Arabica'!N16+Colombia!N16+Honduras!N16+Ethiopia!N16</f>
        <v>5131459.2857499998</v>
      </c>
      <c r="O16" s="6" t="s">
        <v>24</v>
      </c>
      <c r="P16" s="20">
        <f t="shared" si="0"/>
        <v>59035438.932324998</v>
      </c>
      <c r="Q16" s="7">
        <f t="shared" si="2"/>
        <v>0.18201610137157065</v>
      </c>
      <c r="R16" s="2"/>
      <c r="S16" s="6" t="s">
        <v>24</v>
      </c>
      <c r="T16" s="20">
        <f t="shared" ca="1" si="1"/>
        <v>39896179.425566666</v>
      </c>
      <c r="U16" s="7">
        <f t="shared" ca="1" si="3"/>
        <v>0.17856414590624126</v>
      </c>
    </row>
    <row r="17" spans="1:21" x14ac:dyDescent="0.55000000000000004">
      <c r="A17" s="14">
        <v>11</v>
      </c>
      <c r="B17" s="6" t="s">
        <v>25</v>
      </c>
      <c r="C17" s="23">
        <f>'Brazil Arabica'!C17+Colombia!C17+Honduras!C17+Ethiopia!C17</f>
        <v>5564702.4651583331</v>
      </c>
      <c r="D17" s="23">
        <f>'Brazil Arabica'!D17+Colombia!D17+Honduras!D17+Ethiopia!D17</f>
        <v>5308141.7483999999</v>
      </c>
      <c r="E17" s="23">
        <f>'Brazil Arabica'!E17+Colombia!E17+Honduras!E17+Ethiopia!E17</f>
        <v>5764797.680333334</v>
      </c>
      <c r="F17" s="23">
        <f>'Brazil Arabica'!F17+Colombia!F17+Honduras!F17+Ethiopia!F17</f>
        <v>5163907.5873250002</v>
      </c>
      <c r="G17" s="23">
        <f>'Brazil Arabica'!G17+Colombia!G17+Honduras!G17+Ethiopia!G17</f>
        <v>5163806.8696666667</v>
      </c>
      <c r="H17" s="23">
        <f>'Brazil Arabica'!H17+Colombia!H17+Honduras!H17+Ethiopia!H17</f>
        <v>5614746.7219999991</v>
      </c>
      <c r="I17" s="23">
        <f>'Brazil Arabica'!I17+Colombia!I17+Honduras!I17+Ethiopia!I17</f>
        <v>4854481.1579999998</v>
      </c>
      <c r="J17" s="23">
        <f>'Brazil Arabica'!J17+Colombia!J17+Honduras!J17+Ethiopia!J17</f>
        <v>5067930.5233333334</v>
      </c>
      <c r="K17" s="23">
        <f>'Brazil Arabica'!K17+Colombia!K17+Honduras!K17+Ethiopia!K17</f>
        <v>4386555.1286666673</v>
      </c>
      <c r="L17" s="23">
        <f>'Brazil Arabica'!L17+Colombia!L17+Honduras!L17+Ethiopia!L17</f>
        <v>4436191.1946666669</v>
      </c>
      <c r="M17" s="23">
        <f>'Brazil Arabica'!M17+Colombia!M17+Honduras!M17+Ethiopia!M17</f>
        <v>4273564.828555556</v>
      </c>
      <c r="N17" s="23">
        <f>'Brazil Arabica'!N17+Colombia!N17+Honduras!N17+Ethiopia!N17</f>
        <v>4674168.4143137261</v>
      </c>
      <c r="O17" s="6" t="s">
        <v>25</v>
      </c>
      <c r="P17" s="5">
        <f t="shared" si="0"/>
        <v>60272994.320419282</v>
      </c>
      <c r="Q17" s="7"/>
      <c r="R17" s="2"/>
      <c r="S17" s="6" t="s">
        <v>25</v>
      </c>
      <c r="T17" s="20">
        <f t="shared" ca="1" si="1"/>
        <v>42502514.754216664</v>
      </c>
      <c r="U17" s="7">
        <f t="shared" ca="1" si="3"/>
        <v>6.5327942830029073E-2</v>
      </c>
    </row>
    <row r="18" spans="1:21" x14ac:dyDescent="0.55000000000000004">
      <c r="A18" s="14">
        <v>12</v>
      </c>
      <c r="B18" s="6" t="s">
        <v>26</v>
      </c>
      <c r="C18" s="23">
        <f>'Brazil Arabica'!C18+Colombia!C18+Honduras!C18+Ethiopia!C18</f>
        <v>5081987.2366666663</v>
      </c>
      <c r="D18" s="23">
        <f>'Brazil Arabica'!D18+Colombia!D18+Honduras!D18+Ethiopia!D18</f>
        <v>4855668.3573333332</v>
      </c>
      <c r="E18" s="23">
        <f>'Brazil Arabica'!E18+Colombia!E18+Honduras!E18+Ethiopia!E18</f>
        <v>4431905.4316666666</v>
      </c>
      <c r="F18" s="23">
        <f>'Brazil Arabica'!F18+Colombia!F18+Honduras!F18+Ethiopia!F18</f>
        <v>4192001.6666666665</v>
      </c>
      <c r="G18" s="23">
        <f>'Brazil Arabica'!G18+Colombia!G18+Honduras!G18+Ethiopia!G18</f>
        <v>4142604.3333333335</v>
      </c>
      <c r="H18" s="23">
        <f>'Brazil Arabica'!H18+Colombia!H18+Honduras!H18+Ethiopia!H18</f>
        <v>4551158</v>
      </c>
      <c r="I18" s="23">
        <f>'Brazil Arabica'!I18+Colombia!I18+Honduras!I18+Ethiopia!I18</f>
        <v>4348929.333333333</v>
      </c>
      <c r="J18" s="23">
        <f>'Brazil Arabica'!J18+Colombia!J18+Honduras!J18+Ethiopia!J18</f>
        <v>4492479</v>
      </c>
      <c r="K18" s="23" t="e">
        <f>'Brazil Arabica'!K18+Colombia!K18+Honduras!K18+Ethiopia!K18</f>
        <v>#N/A</v>
      </c>
      <c r="L18" s="23" t="e">
        <f>'Brazil Arabica'!L18+Colombia!L18+Honduras!L18+Ethiopia!L18</f>
        <v>#N/A</v>
      </c>
      <c r="M18" s="23" t="e">
        <f>'Brazil Arabica'!M18+Colombia!M18+Honduras!M18+Ethiopia!M18</f>
        <v>#N/A</v>
      </c>
      <c r="N18" s="23" t="e">
        <f>'Brazil Arabica'!N18+Colombia!N18+Honduras!N18+Ethiopia!N18</f>
        <v>#N/A</v>
      </c>
      <c r="O18" s="6" t="s">
        <v>26</v>
      </c>
      <c r="P18" s="5" t="str">
        <f t="shared" si="0"/>
        <v/>
      </c>
      <c r="Q18" s="7"/>
      <c r="R18" s="2"/>
      <c r="S18" s="6" t="s">
        <v>26</v>
      </c>
      <c r="T18" s="20">
        <f ca="1">IFERROR(IF(SUM(OFFSET(C18,0,0,1,$C$56))=0,"",SUM(OFFSET(C18,0,0,1,$C$56))),"")</f>
        <v>36096733.358999997</v>
      </c>
      <c r="U18" s="7">
        <f t="shared" ca="1" si="3"/>
        <v>-0.15071535019186488</v>
      </c>
    </row>
    <row r="19" spans="1:21" x14ac:dyDescent="0.55000000000000004">
      <c r="A19" s="14">
        <v>13</v>
      </c>
      <c r="B19" s="6" t="s">
        <v>27</v>
      </c>
      <c r="C19" s="23" t="e">
        <f>'Brazil Arabica'!C19+Colombia!C19+Honduras!C19+Ethiopia!C19</f>
        <v>#N/A</v>
      </c>
      <c r="D19" s="23" t="e">
        <f>'Brazil Arabica'!D19+Colombia!D19+Honduras!D19+Ethiopia!D19</f>
        <v>#N/A</v>
      </c>
      <c r="E19" s="23" t="e">
        <f>'Brazil Arabica'!E19+Colombia!E19+Honduras!E19+Ethiopia!E19</f>
        <v>#N/A</v>
      </c>
      <c r="F19" s="23" t="e">
        <f>'Brazil Arabica'!F19+Colombia!F19+Honduras!F19+Ethiopia!F19</f>
        <v>#N/A</v>
      </c>
      <c r="G19" s="23" t="e">
        <f>'Brazil Arabica'!G19+Colombia!G19+Honduras!G19+Ethiopia!G19</f>
        <v>#N/A</v>
      </c>
      <c r="H19" s="23" t="e">
        <f>'Brazil Arabica'!H19+Colombia!H19+Honduras!H19+Ethiopia!H19</f>
        <v>#N/A</v>
      </c>
      <c r="I19" s="23" t="e">
        <f>'Brazil Arabica'!I19+Colombia!I19+Honduras!I19+Ethiopia!I19</f>
        <v>#N/A</v>
      </c>
      <c r="J19" s="23" t="e">
        <f>'Brazil Arabica'!J19+Colombia!J19+Honduras!J19+Ethiopia!J19</f>
        <v>#N/A</v>
      </c>
      <c r="K19" s="23" t="e">
        <f>'Brazil Arabica'!K19+Colombia!K19+Honduras!K19+Ethiopia!K19</f>
        <v>#N/A</v>
      </c>
      <c r="L19" s="23" t="e">
        <f>'Brazil Arabica'!L19+Colombia!L19+Honduras!L19+Ethiopia!L19</f>
        <v>#N/A</v>
      </c>
      <c r="M19" s="23" t="e">
        <f>'Brazil Arabica'!M19+Colombia!M19+Honduras!M19+Ethiopia!M19</f>
        <v>#N/A</v>
      </c>
      <c r="N19" s="23" t="e">
        <f>'Brazil Arabica'!N19+Colombia!N19+Honduras!N19+Ethiopia!N19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ca="1">IFERROR(IF(SUM(OFFSET(C19,0,0,1,$C$56))=0,"",SUM(OFFSET(C19,0,0,1,$C$56))),"")</f>
        <v/>
      </c>
      <c r="U19" s="7"/>
    </row>
    <row r="20" spans="1:21" x14ac:dyDescent="0.55000000000000004">
      <c r="B20" s="8" t="s">
        <v>28</v>
      </c>
      <c r="C20" s="22">
        <f>IFERROR(C18/C17-1,"")</f>
        <v>-8.6745918854429171E-2</v>
      </c>
      <c r="D20" s="22">
        <f t="shared" ref="D20:N20" si="4">IFERROR(D18/D17-1,"")</f>
        <v>-8.5241391905755526E-2</v>
      </c>
      <c r="E20" s="22">
        <f t="shared" si="4"/>
        <v>-0.23121232046249307</v>
      </c>
      <c r="F20" s="22">
        <f t="shared" si="4"/>
        <v>-0.18821133109428845</v>
      </c>
      <c r="G20" s="22">
        <f t="shared" si="4"/>
        <v>-0.19776156663257505</v>
      </c>
      <c r="H20" s="22">
        <f t="shared" si="4"/>
        <v>-0.18942772927451723</v>
      </c>
      <c r="I20" s="22">
        <f t="shared" si="4"/>
        <v>-0.10414126828642367</v>
      </c>
      <c r="J20" s="22">
        <f t="shared" si="4"/>
        <v>-0.11354763461809281</v>
      </c>
      <c r="K20" s="22" t="str">
        <f t="shared" si="4"/>
        <v/>
      </c>
      <c r="L20" s="22" t="str">
        <f t="shared" si="4"/>
        <v/>
      </c>
      <c r="M20" s="22" t="str">
        <f t="shared" si="4"/>
        <v/>
      </c>
      <c r="N20" s="22" t="str">
        <f t="shared" si="4"/>
        <v/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Super 4 : Arabica Exports | YTD : Oct-May</v>
      </c>
      <c r="Q27" s="13" t="str">
        <f>_xlfn.CONCAT(A1," | ","Cumulative")</f>
        <v>Super 4 : Arabica Exports | Cumulative</v>
      </c>
    </row>
    <row r="56" spans="2:6" x14ac:dyDescent="0.55000000000000004">
      <c r="B56" s="26" t="s">
        <v>29</v>
      </c>
      <c r="C56" s="26">
        <f>COUNT(C18:N18)</f>
        <v>8</v>
      </c>
      <c r="D56" s="25" t="str">
        <f ca="1">OFFSET(B6,0,$C$56,1,1)</f>
        <v>May</v>
      </c>
      <c r="E56" s="11" t="str">
        <f>B18</f>
        <v>25/26</v>
      </c>
      <c r="F56" s="11" t="str">
        <f ca="1">_xlfn.CONCAT(D56,"'",E56)</f>
        <v>May'25/26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5081987.2366666663</v>
      </c>
      <c r="C66" s="12">
        <f t="shared" ref="C66:M66" si="5">D18</f>
        <v>4855668.3573333332</v>
      </c>
      <c r="D66" s="12">
        <f t="shared" si="5"/>
        <v>4431905.4316666666</v>
      </c>
      <c r="E66" s="12">
        <f t="shared" si="5"/>
        <v>4192001.6666666665</v>
      </c>
      <c r="F66" s="12">
        <f t="shared" si="5"/>
        <v>4142604.3333333335</v>
      </c>
      <c r="G66" s="12">
        <f t="shared" si="5"/>
        <v>4551158</v>
      </c>
      <c r="H66" s="12">
        <f t="shared" si="5"/>
        <v>4348929.333333333</v>
      </c>
      <c r="I66" s="12">
        <f t="shared" si="5"/>
        <v>4492479</v>
      </c>
      <c r="J66" s="12" t="e">
        <f t="shared" si="5"/>
        <v>#N/A</v>
      </c>
      <c r="K66" s="12" t="e">
        <f t="shared" si="5"/>
        <v>#N/A</v>
      </c>
      <c r="L66" s="12" t="e">
        <f t="shared" si="5"/>
        <v>#N/A</v>
      </c>
      <c r="M66" s="12" t="e">
        <f t="shared" si="5"/>
        <v>#N/A</v>
      </c>
    </row>
    <row r="67" spans="1:25" x14ac:dyDescent="0.55000000000000004">
      <c r="A67" s="11" t="s">
        <v>30</v>
      </c>
      <c r="B67" s="12">
        <f>MIN(C7:C17)</f>
        <v>4050109.6674166666</v>
      </c>
      <c r="C67" s="12">
        <f t="shared" ref="C67:M67" si="6">MIN(D7:D17)</f>
        <v>4275297.3897249997</v>
      </c>
      <c r="D67" s="12">
        <f t="shared" si="6"/>
        <v>4249559.5368750002</v>
      </c>
      <c r="E67" s="12">
        <f t="shared" si="6"/>
        <v>3924210.1924466668</v>
      </c>
      <c r="F67" s="12">
        <f t="shared" si="6"/>
        <v>3808153.5462750001</v>
      </c>
      <c r="G67" s="12">
        <f t="shared" si="6"/>
        <v>4199877.0402083332</v>
      </c>
      <c r="H67" s="12">
        <f t="shared" si="6"/>
        <v>4108906.2829999998</v>
      </c>
      <c r="I67" s="12">
        <f t="shared" si="6"/>
        <v>3598866.918875</v>
      </c>
      <c r="J67" s="12">
        <f t="shared" si="6"/>
        <v>3964266.9300416666</v>
      </c>
      <c r="K67" s="12">
        <f t="shared" si="6"/>
        <v>3891774.7565566669</v>
      </c>
      <c r="L67" s="12">
        <f t="shared" si="6"/>
        <v>3957125.4443333335</v>
      </c>
      <c r="M67" s="12">
        <f t="shared" si="6"/>
        <v>3786043.4068833333</v>
      </c>
      <c r="N67" s="12"/>
    </row>
    <row r="68" spans="1:25" x14ac:dyDescent="0.55000000000000004">
      <c r="A68" s="11" t="s">
        <v>31</v>
      </c>
      <c r="B68" s="12">
        <f>MAX(C7:C17)</f>
        <v>5564702.4651583331</v>
      </c>
      <c r="C68" s="12">
        <f t="shared" ref="C68:M68" si="7">MAX(D7:D17)</f>
        <v>5655408.5619999999</v>
      </c>
      <c r="D68" s="12">
        <f t="shared" si="7"/>
        <v>5764797.680333334</v>
      </c>
      <c r="E68" s="12">
        <f t="shared" si="7"/>
        <v>5163907.5873250002</v>
      </c>
      <c r="F68" s="12">
        <f t="shared" si="7"/>
        <v>5524312.0758333337</v>
      </c>
      <c r="G68" s="12">
        <f t="shared" si="7"/>
        <v>5646603.9678183328</v>
      </c>
      <c r="H68" s="12">
        <f t="shared" si="7"/>
        <v>5363102.5858333334</v>
      </c>
      <c r="I68" s="12">
        <f t="shared" si="7"/>
        <v>5611985.7264249995</v>
      </c>
      <c r="J68" s="12">
        <f t="shared" si="7"/>
        <v>4838977.779291667</v>
      </c>
      <c r="K68" s="12">
        <f t="shared" si="7"/>
        <v>4770329.675708333</v>
      </c>
      <c r="L68" s="12">
        <f t="shared" si="7"/>
        <v>4549007.1290166667</v>
      </c>
      <c r="M68" s="12">
        <f t="shared" si="7"/>
        <v>5131459.2857499998</v>
      </c>
      <c r="N68" s="12"/>
    </row>
    <row r="69" spans="1:25" x14ac:dyDescent="0.55000000000000004">
      <c r="A69" s="11" t="s">
        <v>32</v>
      </c>
      <c r="B69" s="12">
        <f>AVERAGE(C12:C17)</f>
        <v>4814078.4471416669</v>
      </c>
      <c r="C69" s="12">
        <f t="shared" ref="C69:M69" si="8">AVERAGE(D12:D17)</f>
        <v>4821366.1695763888</v>
      </c>
      <c r="D69" s="12">
        <f t="shared" si="8"/>
        <v>4947842.2633527787</v>
      </c>
      <c r="E69" s="12">
        <f t="shared" si="8"/>
        <v>4742842.2625177773</v>
      </c>
      <c r="F69" s="12">
        <f t="shared" si="8"/>
        <v>4803043.6511897221</v>
      </c>
      <c r="G69" s="12">
        <f t="shared" si="8"/>
        <v>5276931.6041266667</v>
      </c>
      <c r="H69" s="12">
        <f t="shared" si="8"/>
        <v>4787575.5252458332</v>
      </c>
      <c r="I69" s="12">
        <f t="shared" si="8"/>
        <v>4709369.3866902776</v>
      </c>
      <c r="J69" s="12">
        <f t="shared" si="8"/>
        <v>4505043.2660472216</v>
      </c>
      <c r="K69" s="12">
        <f t="shared" si="8"/>
        <v>4354527.6519972226</v>
      </c>
      <c r="L69" s="12">
        <f t="shared" si="8"/>
        <v>4257111.7295564823</v>
      </c>
      <c r="M69" s="12">
        <f t="shared" si="8"/>
        <v>4452528.1943245092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0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9">INDEX($C$7:$N$19,MATCH(B75,$A$7:$A$19),MATCH(C75,$C$4:$N$4))</f>
        <v>0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9"/>
        <v>0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>
        <f>C7</f>
        <v>0</v>
      </c>
      <c r="O76" s="5">
        <f t="shared" ref="O76:O88" si="13">N76+D7</f>
        <v>0</v>
      </c>
      <c r="P76" s="5">
        <f t="shared" ref="P76:P88" si="14">O76+E7</f>
        <v>0</v>
      </c>
      <c r="Q76" s="5">
        <f t="shared" ref="Q76:Q88" si="15">P76+F7</f>
        <v>0</v>
      </c>
      <c r="R76" s="5">
        <f t="shared" ref="R76:R88" si="16">Q76+G7</f>
        <v>0</v>
      </c>
      <c r="S76" s="5">
        <f t="shared" ref="S76:S88" si="17">R76+H7</f>
        <v>0</v>
      </c>
      <c r="T76" s="5">
        <f t="shared" ref="T76:T88" si="18">S76+I7</f>
        <v>0</v>
      </c>
      <c r="U76" s="5">
        <f t="shared" ref="U76:U88" si="19">T76+J7</f>
        <v>0</v>
      </c>
      <c r="V76" s="5">
        <f t="shared" ref="V76:V88" si="20">U76+K7</f>
        <v>0</v>
      </c>
      <c r="W76" s="5">
        <f t="shared" ref="W76:W88" si="21">V76+L7</f>
        <v>0</v>
      </c>
      <c r="X76" s="5">
        <f t="shared" ref="X76:X88" si="22">W76+M7</f>
        <v>0</v>
      </c>
      <c r="Y76" s="5">
        <f t="shared" ref="Y76:Y88" si="23">X76+N7</f>
        <v>0</v>
      </c>
    </row>
    <row r="77" spans="1:25" x14ac:dyDescent="0.55000000000000004">
      <c r="B77" s="11">
        <v>1</v>
      </c>
      <c r="C77" s="11">
        <v>4</v>
      </c>
      <c r="D77" s="12">
        <f t="shared" si="9"/>
        <v>0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24">C8</f>
        <v>0</v>
      </c>
      <c r="O77" s="5">
        <f t="shared" si="13"/>
        <v>0</v>
      </c>
      <c r="P77" s="5">
        <f t="shared" si="14"/>
        <v>0</v>
      </c>
      <c r="Q77" s="5">
        <f t="shared" si="15"/>
        <v>0</v>
      </c>
      <c r="R77" s="5">
        <f t="shared" si="16"/>
        <v>0</v>
      </c>
      <c r="S77" s="5">
        <f t="shared" si="17"/>
        <v>0</v>
      </c>
      <c r="T77" s="5">
        <f t="shared" si="18"/>
        <v>0</v>
      </c>
      <c r="U77" s="5">
        <f t="shared" si="19"/>
        <v>0</v>
      </c>
      <c r="V77" s="5">
        <f t="shared" si="20"/>
        <v>0</v>
      </c>
      <c r="W77" s="5">
        <f t="shared" si="21"/>
        <v>0</v>
      </c>
      <c r="X77" s="5">
        <f t="shared" si="22"/>
        <v>0</v>
      </c>
      <c r="Y77" s="5">
        <f t="shared" si="23"/>
        <v>0</v>
      </c>
    </row>
    <row r="78" spans="1:25" x14ac:dyDescent="0.55000000000000004">
      <c r="B78" s="11">
        <v>1</v>
      </c>
      <c r="C78" s="11">
        <v>5</v>
      </c>
      <c r="D78" s="12">
        <f t="shared" si="9"/>
        <v>0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24"/>
        <v>0</v>
      </c>
      <c r="O78" s="5">
        <f t="shared" si="13"/>
        <v>0</v>
      </c>
      <c r="P78" s="5">
        <f t="shared" si="14"/>
        <v>0</v>
      </c>
      <c r="Q78" s="5">
        <f t="shared" si="15"/>
        <v>0</v>
      </c>
      <c r="R78" s="5">
        <f t="shared" si="16"/>
        <v>0</v>
      </c>
      <c r="S78" s="5">
        <f t="shared" si="17"/>
        <v>0</v>
      </c>
      <c r="T78" s="5">
        <f t="shared" si="18"/>
        <v>0</v>
      </c>
      <c r="U78" s="5">
        <f t="shared" si="19"/>
        <v>0</v>
      </c>
      <c r="V78" s="5">
        <f t="shared" si="20"/>
        <v>0</v>
      </c>
      <c r="W78" s="5">
        <f t="shared" si="21"/>
        <v>0</v>
      </c>
      <c r="X78" s="5">
        <f t="shared" si="22"/>
        <v>0</v>
      </c>
      <c r="Y78" s="5">
        <f t="shared" si="23"/>
        <v>0</v>
      </c>
    </row>
    <row r="79" spans="1:25" x14ac:dyDescent="0.55000000000000004">
      <c r="B79" s="11">
        <v>1</v>
      </c>
      <c r="C79" s="11">
        <v>6</v>
      </c>
      <c r="D79" s="12">
        <f t="shared" si="9"/>
        <v>0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24"/>
        <v>4050109.6674166666</v>
      </c>
      <c r="O79" s="5">
        <f t="shared" si="13"/>
        <v>8385471.5701299999</v>
      </c>
      <c r="P79" s="5">
        <f t="shared" si="14"/>
        <v>12938878.896788333</v>
      </c>
      <c r="Q79" s="5">
        <f t="shared" si="15"/>
        <v>17601149.509288333</v>
      </c>
      <c r="R79" s="5">
        <f t="shared" si="16"/>
        <v>22174116.525046669</v>
      </c>
      <c r="S79" s="5">
        <f t="shared" si="17"/>
        <v>26373993.565255001</v>
      </c>
      <c r="T79" s="5">
        <f t="shared" si="18"/>
        <v>30585979.055488333</v>
      </c>
      <c r="U79" s="5">
        <f t="shared" si="19"/>
        <v>34184845.974363334</v>
      </c>
      <c r="V79" s="5">
        <f t="shared" si="20"/>
        <v>38378886.065705001</v>
      </c>
      <c r="W79" s="5">
        <f t="shared" si="21"/>
        <v>42270660.822261669</v>
      </c>
      <c r="X79" s="5">
        <f t="shared" si="22"/>
        <v>46779358.415241666</v>
      </c>
      <c r="Y79" s="5">
        <f t="shared" si="23"/>
        <v>51013908.466991663</v>
      </c>
    </row>
    <row r="80" spans="1:25" x14ac:dyDescent="0.55000000000000004">
      <c r="B80" s="11">
        <v>1</v>
      </c>
      <c r="C80" s="11">
        <v>7</v>
      </c>
      <c r="D80" s="12">
        <f t="shared" si="9"/>
        <v>0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24"/>
        <v>4717413.6427250002</v>
      </c>
      <c r="O80" s="5">
        <f t="shared" si="13"/>
        <v>9716074.7825166658</v>
      </c>
      <c r="P80" s="5">
        <f t="shared" si="14"/>
        <v>15036882.677766666</v>
      </c>
      <c r="Q80" s="5">
        <f t="shared" si="15"/>
        <v>20090456.275703333</v>
      </c>
      <c r="R80" s="5">
        <f t="shared" si="16"/>
        <v>25456276.638303332</v>
      </c>
      <c r="S80" s="5">
        <f t="shared" si="17"/>
        <v>30317126.653928332</v>
      </c>
      <c r="T80" s="5">
        <f t="shared" si="18"/>
        <v>35206979.535261668</v>
      </c>
      <c r="U80" s="5">
        <f t="shared" si="19"/>
        <v>40718511.037928335</v>
      </c>
      <c r="V80" s="5">
        <f t="shared" si="20"/>
        <v>45557488.817220002</v>
      </c>
      <c r="W80" s="5">
        <f t="shared" si="21"/>
        <v>50327818.492928334</v>
      </c>
      <c r="X80" s="5">
        <f t="shared" si="22"/>
        <v>54876825.621945001</v>
      </c>
      <c r="Y80" s="5">
        <f t="shared" si="23"/>
        <v>59326847.967778333</v>
      </c>
    </row>
    <row r="81" spans="2:25" x14ac:dyDescent="0.55000000000000004">
      <c r="B81" s="11">
        <v>1</v>
      </c>
      <c r="C81" s="11">
        <v>8</v>
      </c>
      <c r="D81" s="12">
        <f t="shared" si="9"/>
        <v>0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24"/>
        <v>4635677.8949666666</v>
      </c>
      <c r="O81" s="5">
        <f t="shared" si="13"/>
        <v>9005695.464966666</v>
      </c>
      <c r="P81" s="5">
        <f t="shared" si="14"/>
        <v>13409750.467883334</v>
      </c>
      <c r="Q81" s="5">
        <f t="shared" si="15"/>
        <v>18381535.251976669</v>
      </c>
      <c r="R81" s="5">
        <f t="shared" si="16"/>
        <v>23012391.665360004</v>
      </c>
      <c r="S81" s="5">
        <f t="shared" si="17"/>
        <v>28076975.063068338</v>
      </c>
      <c r="T81" s="5">
        <f t="shared" si="18"/>
        <v>32773336.10040167</v>
      </c>
      <c r="U81" s="5">
        <f t="shared" si="19"/>
        <v>37356442.377235003</v>
      </c>
      <c r="V81" s="5">
        <f t="shared" si="20"/>
        <v>41682476.794401668</v>
      </c>
      <c r="W81" s="5">
        <f t="shared" si="21"/>
        <v>45927042.798626669</v>
      </c>
      <c r="X81" s="5">
        <f t="shared" si="22"/>
        <v>50304596.016368337</v>
      </c>
      <c r="Y81" s="5">
        <f t="shared" si="23"/>
        <v>54829064.970701672</v>
      </c>
    </row>
    <row r="82" spans="2:25" x14ac:dyDescent="0.55000000000000004">
      <c r="B82" s="11">
        <v>1</v>
      </c>
      <c r="C82" s="11">
        <v>9</v>
      </c>
      <c r="D82" s="12">
        <f t="shared" si="9"/>
        <v>0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24"/>
        <v>5031363.1934333332</v>
      </c>
      <c r="O82" s="5">
        <f t="shared" si="13"/>
        <v>10686771.755433332</v>
      </c>
      <c r="P82" s="5">
        <f t="shared" si="14"/>
        <v>16056250.487058332</v>
      </c>
      <c r="Q82" s="5">
        <f t="shared" si="15"/>
        <v>20917590.363216665</v>
      </c>
      <c r="R82" s="5">
        <f t="shared" si="16"/>
        <v>26441902.439049996</v>
      </c>
      <c r="S82" s="5">
        <f t="shared" si="17"/>
        <v>31917777.423466664</v>
      </c>
      <c r="T82" s="5">
        <f t="shared" si="18"/>
        <v>37280880.009299994</v>
      </c>
      <c r="U82" s="5">
        <f t="shared" si="19"/>
        <v>41671018.734466657</v>
      </c>
      <c r="V82" s="5">
        <f t="shared" si="20"/>
        <v>46425015.287708327</v>
      </c>
      <c r="W82" s="5">
        <f t="shared" si="21"/>
        <v>51025260.678799994</v>
      </c>
      <c r="X82" s="5">
        <f t="shared" si="22"/>
        <v>55207666.546799995</v>
      </c>
      <c r="Y82" s="5">
        <f t="shared" si="23"/>
        <v>59471118.417799994</v>
      </c>
    </row>
    <row r="83" spans="2:25" x14ac:dyDescent="0.55000000000000004">
      <c r="B83" s="11">
        <v>1</v>
      </c>
      <c r="C83" s="11">
        <v>10</v>
      </c>
      <c r="D83" s="12">
        <f t="shared" si="9"/>
        <v>0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24"/>
        <v>4410097.725625</v>
      </c>
      <c r="O83" s="5">
        <f t="shared" si="13"/>
        <v>8685395.1153500006</v>
      </c>
      <c r="P83" s="5">
        <f t="shared" si="14"/>
        <v>13785968.320683334</v>
      </c>
      <c r="Q83" s="5">
        <f t="shared" si="15"/>
        <v>18551817.963933334</v>
      </c>
      <c r="R83" s="5">
        <f t="shared" si="16"/>
        <v>23474263.220996667</v>
      </c>
      <c r="S83" s="5">
        <f t="shared" si="17"/>
        <v>29120867.188814998</v>
      </c>
      <c r="T83" s="5">
        <f t="shared" si="18"/>
        <v>33637683.658498332</v>
      </c>
      <c r="U83" s="5">
        <f t="shared" si="19"/>
        <v>38140627.636215001</v>
      </c>
      <c r="V83" s="5">
        <f t="shared" si="20"/>
        <v>42913173.176715001</v>
      </c>
      <c r="W83" s="5">
        <f t="shared" si="21"/>
        <v>46987542.137748331</v>
      </c>
      <c r="X83" s="5">
        <f t="shared" si="22"/>
        <v>50944667.582081661</v>
      </c>
      <c r="Y83" s="5">
        <f t="shared" si="23"/>
        <v>55280244.815748326</v>
      </c>
    </row>
    <row r="84" spans="2:25" x14ac:dyDescent="0.55000000000000004">
      <c r="B84" s="11">
        <v>1</v>
      </c>
      <c r="C84" s="11">
        <v>11</v>
      </c>
      <c r="D84" s="12">
        <f t="shared" si="9"/>
        <v>0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24"/>
        <v>4504837.7182666669</v>
      </c>
      <c r="O84" s="5">
        <f t="shared" si="13"/>
        <v>9075902.3534333333</v>
      </c>
      <c r="P84" s="5">
        <f t="shared" si="14"/>
        <v>13325461.890308334</v>
      </c>
      <c r="Q84" s="5">
        <f t="shared" si="15"/>
        <v>17249672.082754999</v>
      </c>
      <c r="R84" s="5">
        <f t="shared" si="16"/>
        <v>21057825.62903</v>
      </c>
      <c r="S84" s="5">
        <f t="shared" si="17"/>
        <v>25642495.55768</v>
      </c>
      <c r="T84" s="5">
        <f t="shared" si="18"/>
        <v>29751401.840679999</v>
      </c>
      <c r="U84" s="5">
        <f t="shared" si="19"/>
        <v>33851512.93134667</v>
      </c>
      <c r="V84" s="5">
        <f t="shared" si="20"/>
        <v>37815779.861388333</v>
      </c>
      <c r="W84" s="5">
        <f t="shared" si="21"/>
        <v>41859885.992638335</v>
      </c>
      <c r="X84" s="5">
        <f t="shared" si="22"/>
        <v>46158656.046721667</v>
      </c>
      <c r="Y84" s="5">
        <f t="shared" si="23"/>
        <v>49944699.453605004</v>
      </c>
    </row>
    <row r="85" spans="2:25" x14ac:dyDescent="0.55000000000000004">
      <c r="B85" s="11">
        <v>1</v>
      </c>
      <c r="C85" s="11">
        <v>12</v>
      </c>
      <c r="D85" s="12">
        <f t="shared" si="9"/>
        <v>0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>
        <f>SUM(D74:D85)/1000000</f>
        <v>0</v>
      </c>
      <c r="M85" s="6" t="s">
        <v>24</v>
      </c>
      <c r="N85" s="5">
        <f t="shared" si="24"/>
        <v>4737791.6853999998</v>
      </c>
      <c r="O85" s="5">
        <f t="shared" si="13"/>
        <v>9486058.7975666672</v>
      </c>
      <c r="P85" s="5">
        <f t="shared" si="14"/>
        <v>14284648.220600002</v>
      </c>
      <c r="Q85" s="5">
        <f t="shared" si="15"/>
        <v>19054609.712433334</v>
      </c>
      <c r="R85" s="5">
        <f t="shared" si="16"/>
        <v>23823297.457350001</v>
      </c>
      <c r="S85" s="5">
        <f t="shared" si="17"/>
        <v>29098408.081516668</v>
      </c>
      <c r="T85" s="5">
        <f t="shared" si="18"/>
        <v>34284193.699141666</v>
      </c>
      <c r="U85" s="5">
        <f t="shared" si="19"/>
        <v>39896179.425566666</v>
      </c>
      <c r="V85" s="5">
        <f t="shared" si="20"/>
        <v>44723040.452233329</v>
      </c>
      <c r="W85" s="5">
        <f t="shared" si="21"/>
        <v>49450728.681949995</v>
      </c>
      <c r="X85" s="5">
        <f t="shared" si="22"/>
        <v>53903979.646574996</v>
      </c>
      <c r="Y85" s="5">
        <f t="shared" si="23"/>
        <v>59035438.932324998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0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25">G86</f>
        <v>Oct'15/16</v>
      </c>
      <c r="I86" s="11">
        <f t="shared" ref="I86:I149" si="26">SUM(D75:D86)/1000000</f>
        <v>0</v>
      </c>
      <c r="M86" s="6" t="s">
        <v>25</v>
      </c>
      <c r="N86" s="5">
        <f t="shared" si="24"/>
        <v>5564702.4651583331</v>
      </c>
      <c r="O86" s="5">
        <f t="shared" si="13"/>
        <v>10872844.213558333</v>
      </c>
      <c r="P86" s="5">
        <f t="shared" si="14"/>
        <v>16637641.893891666</v>
      </c>
      <c r="Q86" s="5">
        <f t="shared" si="15"/>
        <v>21801549.481216665</v>
      </c>
      <c r="R86" s="5">
        <f t="shared" si="16"/>
        <v>26965356.350883331</v>
      </c>
      <c r="S86" s="5">
        <f t="shared" si="17"/>
        <v>32580103.07288333</v>
      </c>
      <c r="T86" s="5">
        <f t="shared" si="18"/>
        <v>37434584.23088333</v>
      </c>
      <c r="U86" s="5">
        <f t="shared" si="19"/>
        <v>42502514.754216664</v>
      </c>
      <c r="V86" s="5">
        <f t="shared" si="20"/>
        <v>46889069.882883333</v>
      </c>
      <c r="W86" s="5">
        <f t="shared" si="21"/>
        <v>51325261.077550001</v>
      </c>
      <c r="X86" s="5">
        <f t="shared" si="22"/>
        <v>55598825.906105556</v>
      </c>
      <c r="Y86" s="5">
        <f t="shared" si="23"/>
        <v>60272994.320419282</v>
      </c>
    </row>
    <row r="87" spans="2:25" x14ac:dyDescent="0.55000000000000004">
      <c r="B87" s="11">
        <f t="shared" ref="B87:B150" si="27">B75+1</f>
        <v>2</v>
      </c>
      <c r="C87" s="11">
        <f t="shared" ref="C87:C150" si="28">C75</f>
        <v>2</v>
      </c>
      <c r="D87" s="12">
        <f t="shared" si="9"/>
        <v>0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25"/>
        <v>Nov'15/16</v>
      </c>
      <c r="I87" s="11">
        <f t="shared" si="26"/>
        <v>0</v>
      </c>
      <c r="M87" s="6" t="s">
        <v>26</v>
      </c>
      <c r="N87" s="5">
        <f t="shared" si="24"/>
        <v>5081987.2366666663</v>
      </c>
      <c r="O87" s="5">
        <f t="shared" si="13"/>
        <v>9937655.5940000005</v>
      </c>
      <c r="P87" s="5">
        <f t="shared" si="14"/>
        <v>14369561.025666667</v>
      </c>
      <c r="Q87" s="5">
        <f t="shared" si="15"/>
        <v>18561562.692333333</v>
      </c>
      <c r="R87" s="5">
        <f t="shared" si="16"/>
        <v>22704167.025666665</v>
      </c>
      <c r="S87" s="5">
        <f t="shared" si="17"/>
        <v>27255325.025666665</v>
      </c>
      <c r="T87" s="5">
        <f t="shared" si="18"/>
        <v>31604254.358999997</v>
      </c>
      <c r="U87" s="5">
        <f t="shared" si="19"/>
        <v>36096733.358999997</v>
      </c>
      <c r="V87" s="5" t="e">
        <f t="shared" si="20"/>
        <v>#N/A</v>
      </c>
      <c r="W87" s="5" t="e">
        <f t="shared" si="21"/>
        <v>#N/A</v>
      </c>
      <c r="X87" s="5" t="e">
        <f t="shared" si="22"/>
        <v>#N/A</v>
      </c>
      <c r="Y87" s="5" t="e">
        <f t="shared" si="23"/>
        <v>#N/A</v>
      </c>
    </row>
    <row r="88" spans="2:25" x14ac:dyDescent="0.55000000000000004">
      <c r="B88" s="11">
        <f t="shared" si="27"/>
        <v>2</v>
      </c>
      <c r="C88" s="11">
        <f t="shared" si="28"/>
        <v>3</v>
      </c>
      <c r="D88" s="12">
        <f t="shared" si="9"/>
        <v>0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25"/>
        <v>Dec'15/16</v>
      </c>
      <c r="I88" s="11">
        <f t="shared" si="26"/>
        <v>0</v>
      </c>
      <c r="M88" s="6" t="s">
        <v>27</v>
      </c>
      <c r="N88" s="5" t="e">
        <f t="shared" si="24"/>
        <v>#N/A</v>
      </c>
      <c r="O88" s="5" t="e">
        <f t="shared" si="13"/>
        <v>#N/A</v>
      </c>
      <c r="P88" s="5" t="e">
        <f t="shared" si="14"/>
        <v>#N/A</v>
      </c>
      <c r="Q88" s="5" t="e">
        <f t="shared" si="15"/>
        <v>#N/A</v>
      </c>
      <c r="R88" s="5" t="e">
        <f t="shared" si="16"/>
        <v>#N/A</v>
      </c>
      <c r="S88" s="5" t="e">
        <f t="shared" si="17"/>
        <v>#N/A</v>
      </c>
      <c r="T88" s="5" t="e">
        <f t="shared" si="18"/>
        <v>#N/A</v>
      </c>
      <c r="U88" s="5" t="e">
        <f t="shared" si="19"/>
        <v>#N/A</v>
      </c>
      <c r="V88" s="5" t="e">
        <f t="shared" si="20"/>
        <v>#N/A</v>
      </c>
      <c r="W88" s="5" t="e">
        <f t="shared" si="21"/>
        <v>#N/A</v>
      </c>
      <c r="X88" s="5" t="e">
        <f t="shared" si="22"/>
        <v>#N/A</v>
      </c>
      <c r="Y88" s="5" t="e">
        <f t="shared" si="23"/>
        <v>#N/A</v>
      </c>
    </row>
    <row r="89" spans="2:25" x14ac:dyDescent="0.55000000000000004">
      <c r="B89" s="11">
        <f t="shared" si="27"/>
        <v>2</v>
      </c>
      <c r="C89" s="11">
        <f t="shared" si="28"/>
        <v>4</v>
      </c>
      <c r="D89" s="12">
        <f t="shared" si="9"/>
        <v>0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25"/>
        <v>Jan'15/16</v>
      </c>
      <c r="I89" s="11">
        <f t="shared" si="26"/>
        <v>0</v>
      </c>
    </row>
    <row r="90" spans="2:25" x14ac:dyDescent="0.55000000000000004">
      <c r="B90" s="11">
        <f t="shared" si="27"/>
        <v>2</v>
      </c>
      <c r="C90" s="11">
        <f t="shared" si="28"/>
        <v>5</v>
      </c>
      <c r="D90" s="12">
        <f t="shared" si="9"/>
        <v>0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25"/>
        <v>Feb'15/16</v>
      </c>
      <c r="I90" s="11">
        <f t="shared" si="26"/>
        <v>0</v>
      </c>
    </row>
    <row r="91" spans="2:25" x14ac:dyDescent="0.55000000000000004">
      <c r="B91" s="11">
        <f t="shared" si="27"/>
        <v>2</v>
      </c>
      <c r="C91" s="11">
        <f t="shared" si="28"/>
        <v>6</v>
      </c>
      <c r="D91" s="12">
        <f t="shared" si="9"/>
        <v>0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25"/>
        <v>Mar'15/16</v>
      </c>
      <c r="I91" s="11">
        <f t="shared" si="26"/>
        <v>0</v>
      </c>
    </row>
    <row r="92" spans="2:25" x14ac:dyDescent="0.55000000000000004">
      <c r="B92" s="11">
        <f t="shared" si="27"/>
        <v>2</v>
      </c>
      <c r="C92" s="11">
        <f t="shared" si="28"/>
        <v>7</v>
      </c>
      <c r="D92" s="12">
        <f t="shared" si="9"/>
        <v>0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25"/>
        <v>Apr'15/16</v>
      </c>
      <c r="I92" s="11">
        <f t="shared" si="26"/>
        <v>0</v>
      </c>
    </row>
    <row r="93" spans="2:25" x14ac:dyDescent="0.55000000000000004">
      <c r="B93" s="11">
        <f t="shared" si="27"/>
        <v>2</v>
      </c>
      <c r="C93" s="11">
        <f t="shared" si="28"/>
        <v>8</v>
      </c>
      <c r="D93" s="12">
        <f t="shared" si="9"/>
        <v>0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25"/>
        <v>May'15/16</v>
      </c>
      <c r="I93" s="11">
        <f t="shared" si="26"/>
        <v>0</v>
      </c>
    </row>
    <row r="94" spans="2:25" x14ac:dyDescent="0.55000000000000004">
      <c r="B94" s="11">
        <f t="shared" si="27"/>
        <v>2</v>
      </c>
      <c r="C94" s="11">
        <f t="shared" si="28"/>
        <v>9</v>
      </c>
      <c r="D94" s="12">
        <f t="shared" si="9"/>
        <v>0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25"/>
        <v>Jun'15/16</v>
      </c>
      <c r="I94" s="11">
        <f t="shared" si="26"/>
        <v>0</v>
      </c>
    </row>
    <row r="95" spans="2:25" x14ac:dyDescent="0.55000000000000004">
      <c r="B95" s="11">
        <f t="shared" si="27"/>
        <v>2</v>
      </c>
      <c r="C95" s="11">
        <f t="shared" si="28"/>
        <v>10</v>
      </c>
      <c r="D95" s="12">
        <f t="shared" si="9"/>
        <v>0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25"/>
        <v>Jul'15/16</v>
      </c>
      <c r="I95" s="11">
        <f t="shared" si="26"/>
        <v>0</v>
      </c>
    </row>
    <row r="96" spans="2:25" x14ac:dyDescent="0.55000000000000004">
      <c r="B96" s="11">
        <f t="shared" si="27"/>
        <v>2</v>
      </c>
      <c r="C96" s="11">
        <f t="shared" si="28"/>
        <v>11</v>
      </c>
      <c r="D96" s="12">
        <f t="shared" si="9"/>
        <v>0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25"/>
        <v>Aug'15/16</v>
      </c>
      <c r="I96" s="11">
        <f t="shared" si="26"/>
        <v>0</v>
      </c>
    </row>
    <row r="97" spans="2:9" x14ac:dyDescent="0.55000000000000004">
      <c r="B97" s="11">
        <f t="shared" si="27"/>
        <v>2</v>
      </c>
      <c r="C97" s="11">
        <f t="shared" si="28"/>
        <v>12</v>
      </c>
      <c r="D97" s="12">
        <f t="shared" si="9"/>
        <v>0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25"/>
        <v>Sep'15/16</v>
      </c>
      <c r="I97" s="11">
        <f t="shared" si="26"/>
        <v>0</v>
      </c>
    </row>
    <row r="98" spans="2:9" x14ac:dyDescent="0.55000000000000004">
      <c r="B98" s="11">
        <f t="shared" si="27"/>
        <v>3</v>
      </c>
      <c r="C98" s="11">
        <f t="shared" si="28"/>
        <v>1</v>
      </c>
      <c r="D98" s="12">
        <f t="shared" si="9"/>
        <v>0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25"/>
        <v>Oct'16/17</v>
      </c>
      <c r="I98" s="11">
        <f t="shared" si="26"/>
        <v>0</v>
      </c>
    </row>
    <row r="99" spans="2:9" x14ac:dyDescent="0.55000000000000004">
      <c r="B99" s="11">
        <f t="shared" si="27"/>
        <v>3</v>
      </c>
      <c r="C99" s="11">
        <f t="shared" si="28"/>
        <v>2</v>
      </c>
      <c r="D99" s="12">
        <f t="shared" si="9"/>
        <v>0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25"/>
        <v>Nov'16/17</v>
      </c>
      <c r="I99" s="11">
        <f t="shared" si="26"/>
        <v>0</v>
      </c>
    </row>
    <row r="100" spans="2:9" x14ac:dyDescent="0.55000000000000004">
      <c r="B100" s="11">
        <f t="shared" si="27"/>
        <v>3</v>
      </c>
      <c r="C100" s="11">
        <f t="shared" si="28"/>
        <v>3</v>
      </c>
      <c r="D100" s="12">
        <f t="shared" si="9"/>
        <v>0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25"/>
        <v>Dec'16/17</v>
      </c>
      <c r="I100" s="11">
        <f t="shared" si="26"/>
        <v>0</v>
      </c>
    </row>
    <row r="101" spans="2:9" x14ac:dyDescent="0.55000000000000004">
      <c r="B101" s="11">
        <f t="shared" si="27"/>
        <v>3</v>
      </c>
      <c r="C101" s="11">
        <f t="shared" si="28"/>
        <v>4</v>
      </c>
      <c r="D101" s="12">
        <f t="shared" si="9"/>
        <v>0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25"/>
        <v>Jan'16/17</v>
      </c>
      <c r="I101" s="11">
        <f t="shared" si="26"/>
        <v>0</v>
      </c>
    </row>
    <row r="102" spans="2:9" x14ac:dyDescent="0.55000000000000004">
      <c r="B102" s="11">
        <f t="shared" si="27"/>
        <v>3</v>
      </c>
      <c r="C102" s="11">
        <f t="shared" si="28"/>
        <v>5</v>
      </c>
      <c r="D102" s="12">
        <f t="shared" si="9"/>
        <v>0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25"/>
        <v>Feb'16/17</v>
      </c>
      <c r="I102" s="11">
        <f t="shared" si="26"/>
        <v>0</v>
      </c>
    </row>
    <row r="103" spans="2:9" x14ac:dyDescent="0.55000000000000004">
      <c r="B103" s="11">
        <f t="shared" si="27"/>
        <v>3</v>
      </c>
      <c r="C103" s="11">
        <f t="shared" si="28"/>
        <v>6</v>
      </c>
      <c r="D103" s="12">
        <f t="shared" si="9"/>
        <v>0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25"/>
        <v>Mar'16/17</v>
      </c>
      <c r="I103" s="11">
        <f t="shared" si="26"/>
        <v>0</v>
      </c>
    </row>
    <row r="104" spans="2:9" x14ac:dyDescent="0.55000000000000004">
      <c r="B104" s="11">
        <f t="shared" si="27"/>
        <v>3</v>
      </c>
      <c r="C104" s="11">
        <f t="shared" si="28"/>
        <v>7</v>
      </c>
      <c r="D104" s="12">
        <f t="shared" si="9"/>
        <v>0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25"/>
        <v>Apr'16/17</v>
      </c>
      <c r="I104" s="11">
        <f t="shared" si="26"/>
        <v>0</v>
      </c>
    </row>
    <row r="105" spans="2:9" x14ac:dyDescent="0.55000000000000004">
      <c r="B105" s="11">
        <f t="shared" si="27"/>
        <v>3</v>
      </c>
      <c r="C105" s="11">
        <f t="shared" si="28"/>
        <v>8</v>
      </c>
      <c r="D105" s="12">
        <f t="shared" si="9"/>
        <v>0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25"/>
        <v>May'16/17</v>
      </c>
      <c r="I105" s="11">
        <f t="shared" si="26"/>
        <v>0</v>
      </c>
    </row>
    <row r="106" spans="2:9" x14ac:dyDescent="0.55000000000000004">
      <c r="B106" s="11">
        <f t="shared" si="27"/>
        <v>3</v>
      </c>
      <c r="C106" s="11">
        <f t="shared" si="28"/>
        <v>9</v>
      </c>
      <c r="D106" s="12">
        <f t="shared" si="9"/>
        <v>0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25"/>
        <v>Jun'16/17</v>
      </c>
      <c r="I106" s="11">
        <f t="shared" si="26"/>
        <v>0</v>
      </c>
    </row>
    <row r="107" spans="2:9" x14ac:dyDescent="0.55000000000000004">
      <c r="B107" s="11">
        <f t="shared" si="27"/>
        <v>3</v>
      </c>
      <c r="C107" s="11">
        <f t="shared" si="28"/>
        <v>10</v>
      </c>
      <c r="D107" s="12">
        <f t="shared" si="9"/>
        <v>0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25"/>
        <v>Jul'16/17</v>
      </c>
      <c r="I107" s="11">
        <f t="shared" si="26"/>
        <v>0</v>
      </c>
    </row>
    <row r="108" spans="2:9" x14ac:dyDescent="0.55000000000000004">
      <c r="B108" s="11">
        <f t="shared" si="27"/>
        <v>3</v>
      </c>
      <c r="C108" s="11">
        <f t="shared" si="28"/>
        <v>11</v>
      </c>
      <c r="D108" s="12">
        <f t="shared" si="9"/>
        <v>0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25"/>
        <v>Aug'16/17</v>
      </c>
      <c r="I108" s="11">
        <f t="shared" si="26"/>
        <v>0</v>
      </c>
    </row>
    <row r="109" spans="2:9" x14ac:dyDescent="0.55000000000000004">
      <c r="B109" s="11">
        <f t="shared" si="27"/>
        <v>3</v>
      </c>
      <c r="C109" s="11">
        <f t="shared" si="28"/>
        <v>12</v>
      </c>
      <c r="D109" s="12">
        <f t="shared" si="9"/>
        <v>0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25"/>
        <v>Sep'16/17</v>
      </c>
      <c r="I109" s="11">
        <f t="shared" si="26"/>
        <v>0</v>
      </c>
    </row>
    <row r="110" spans="2:9" x14ac:dyDescent="0.55000000000000004">
      <c r="B110" s="11">
        <f t="shared" si="27"/>
        <v>4</v>
      </c>
      <c r="C110" s="11">
        <f t="shared" si="28"/>
        <v>1</v>
      </c>
      <c r="D110" s="12">
        <f t="shared" si="9"/>
        <v>4050109.6674166666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25"/>
        <v>Oct'17/18</v>
      </c>
      <c r="I110" s="11">
        <f t="shared" si="26"/>
        <v>4.0501096674166668</v>
      </c>
    </row>
    <row r="111" spans="2:9" x14ac:dyDescent="0.55000000000000004">
      <c r="B111" s="11">
        <f t="shared" si="27"/>
        <v>4</v>
      </c>
      <c r="C111" s="11">
        <f t="shared" si="28"/>
        <v>2</v>
      </c>
      <c r="D111" s="12">
        <f t="shared" si="9"/>
        <v>4335361.9027133333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25"/>
        <v>Nov'17/18</v>
      </c>
      <c r="I111" s="11">
        <f t="shared" si="26"/>
        <v>8.3854715701299991</v>
      </c>
    </row>
    <row r="112" spans="2:9" x14ac:dyDescent="0.55000000000000004">
      <c r="B112" s="11">
        <f t="shared" si="27"/>
        <v>4</v>
      </c>
      <c r="C112" s="11">
        <f t="shared" si="28"/>
        <v>3</v>
      </c>
      <c r="D112" s="12">
        <f t="shared" si="9"/>
        <v>4553407.3266583337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25"/>
        <v>Dec'17/18</v>
      </c>
      <c r="I112" s="11">
        <f t="shared" si="26"/>
        <v>12.938878896788333</v>
      </c>
    </row>
    <row r="113" spans="2:9" x14ac:dyDescent="0.55000000000000004">
      <c r="B113" s="11">
        <f t="shared" si="27"/>
        <v>4</v>
      </c>
      <c r="C113" s="11">
        <f t="shared" si="28"/>
        <v>4</v>
      </c>
      <c r="D113" s="12">
        <f t="shared" si="9"/>
        <v>4662270.6124999998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25"/>
        <v>Jan'17/18</v>
      </c>
      <c r="I113" s="11">
        <f t="shared" si="26"/>
        <v>17.601149509288334</v>
      </c>
    </row>
    <row r="114" spans="2:9" x14ac:dyDescent="0.55000000000000004">
      <c r="B114" s="11">
        <f t="shared" si="27"/>
        <v>4</v>
      </c>
      <c r="C114" s="11">
        <f t="shared" si="28"/>
        <v>5</v>
      </c>
      <c r="D114" s="12">
        <f t="shared" si="9"/>
        <v>4572967.0157583337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25"/>
        <v>Feb'17/18</v>
      </c>
      <c r="I114" s="11">
        <f t="shared" si="26"/>
        <v>22.174116525046667</v>
      </c>
    </row>
    <row r="115" spans="2:9" x14ac:dyDescent="0.55000000000000004">
      <c r="B115" s="11">
        <f t="shared" si="27"/>
        <v>4</v>
      </c>
      <c r="C115" s="11">
        <f t="shared" si="28"/>
        <v>6</v>
      </c>
      <c r="D115" s="12">
        <f t="shared" si="9"/>
        <v>4199877.0402083332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25"/>
        <v>Mar'17/18</v>
      </c>
      <c r="I115" s="11">
        <f t="shared" si="26"/>
        <v>26.373993565255002</v>
      </c>
    </row>
    <row r="116" spans="2:9" x14ac:dyDescent="0.55000000000000004">
      <c r="B116" s="11">
        <f t="shared" si="27"/>
        <v>4</v>
      </c>
      <c r="C116" s="11">
        <f t="shared" si="28"/>
        <v>7</v>
      </c>
      <c r="D116" s="12">
        <f t="shared" si="9"/>
        <v>4211985.4902333338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25"/>
        <v>Apr'17/18</v>
      </c>
      <c r="I116" s="11">
        <f t="shared" si="26"/>
        <v>30.585979055488334</v>
      </c>
    </row>
    <row r="117" spans="2:9" x14ac:dyDescent="0.55000000000000004">
      <c r="B117" s="11">
        <f t="shared" si="27"/>
        <v>4</v>
      </c>
      <c r="C117" s="11">
        <f t="shared" si="28"/>
        <v>8</v>
      </c>
      <c r="D117" s="12">
        <f t="shared" si="9"/>
        <v>3598866.918875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25"/>
        <v>May'17/18</v>
      </c>
      <c r="I117" s="11">
        <f t="shared" si="26"/>
        <v>34.184845974363334</v>
      </c>
    </row>
    <row r="118" spans="2:9" x14ac:dyDescent="0.55000000000000004">
      <c r="B118" s="11">
        <f t="shared" si="27"/>
        <v>4</v>
      </c>
      <c r="C118" s="11">
        <f t="shared" si="28"/>
        <v>9</v>
      </c>
      <c r="D118" s="12">
        <f t="shared" si="9"/>
        <v>4194040.0913416669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25"/>
        <v>Jun'17/18</v>
      </c>
      <c r="I118" s="11">
        <f t="shared" si="26"/>
        <v>38.378886065705004</v>
      </c>
    </row>
    <row r="119" spans="2:9" x14ac:dyDescent="0.55000000000000004">
      <c r="B119" s="11">
        <f t="shared" si="27"/>
        <v>4</v>
      </c>
      <c r="C119" s="11">
        <f t="shared" si="28"/>
        <v>10</v>
      </c>
      <c r="D119" s="12">
        <f t="shared" si="9"/>
        <v>3891774.7565566669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25"/>
        <v>Jul'17/18</v>
      </c>
      <c r="I119" s="11">
        <f t="shared" si="26"/>
        <v>42.270660822261668</v>
      </c>
    </row>
    <row r="120" spans="2:9" x14ac:dyDescent="0.55000000000000004">
      <c r="B120" s="11">
        <f t="shared" si="27"/>
        <v>4</v>
      </c>
      <c r="C120" s="11">
        <f t="shared" si="28"/>
        <v>11</v>
      </c>
      <c r="D120" s="12">
        <f t="shared" si="9"/>
        <v>4508697.5929800002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25"/>
        <v>Aug'17/18</v>
      </c>
      <c r="I120" s="11">
        <f t="shared" si="26"/>
        <v>46.779358415241667</v>
      </c>
    </row>
    <row r="121" spans="2:9" x14ac:dyDescent="0.55000000000000004">
      <c r="B121" s="11">
        <f t="shared" si="27"/>
        <v>4</v>
      </c>
      <c r="C121" s="11">
        <f t="shared" si="28"/>
        <v>12</v>
      </c>
      <c r="D121" s="12">
        <f t="shared" si="9"/>
        <v>4234550.0517499996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25"/>
        <v>Sep'17/18</v>
      </c>
      <c r="I121" s="11">
        <f t="shared" si="26"/>
        <v>51.013908466991666</v>
      </c>
    </row>
    <row r="122" spans="2:9" x14ac:dyDescent="0.55000000000000004">
      <c r="B122" s="11">
        <f t="shared" si="27"/>
        <v>5</v>
      </c>
      <c r="C122" s="11">
        <f t="shared" si="28"/>
        <v>1</v>
      </c>
      <c r="D122" s="12">
        <f t="shared" si="9"/>
        <v>4717413.6427250002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25"/>
        <v>Oct'18/19</v>
      </c>
      <c r="I122" s="11">
        <f t="shared" si="26"/>
        <v>51.681212442299994</v>
      </c>
    </row>
    <row r="123" spans="2:9" x14ac:dyDescent="0.55000000000000004">
      <c r="B123" s="11">
        <f t="shared" si="27"/>
        <v>5</v>
      </c>
      <c r="C123" s="11">
        <f t="shared" si="28"/>
        <v>2</v>
      </c>
      <c r="D123" s="12">
        <f t="shared" si="9"/>
        <v>4998661.1397916665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25"/>
        <v>Nov'18/19</v>
      </c>
      <c r="I123" s="11">
        <f t="shared" si="26"/>
        <v>52.344511679378328</v>
      </c>
    </row>
    <row r="124" spans="2:9" x14ac:dyDescent="0.55000000000000004">
      <c r="B124" s="11">
        <f t="shared" si="27"/>
        <v>5</v>
      </c>
      <c r="C124" s="11">
        <f t="shared" si="28"/>
        <v>3</v>
      </c>
      <c r="D124" s="12">
        <f t="shared" si="9"/>
        <v>5320807.8952500001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25"/>
        <v>Dec'18/19</v>
      </c>
      <c r="I124" s="11">
        <f t="shared" si="26"/>
        <v>53.11191224796999</v>
      </c>
    </row>
    <row r="125" spans="2:9" x14ac:dyDescent="0.55000000000000004">
      <c r="B125" s="11">
        <f t="shared" si="27"/>
        <v>5</v>
      </c>
      <c r="C125" s="11">
        <f t="shared" si="28"/>
        <v>4</v>
      </c>
      <c r="D125" s="12">
        <f t="shared" si="9"/>
        <v>5053573.5979366666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25"/>
        <v>Jan'18/19</v>
      </c>
      <c r="I125" s="11">
        <f t="shared" si="26"/>
        <v>53.503215233406671</v>
      </c>
    </row>
    <row r="126" spans="2:9" x14ac:dyDescent="0.55000000000000004">
      <c r="B126" s="11">
        <f t="shared" si="27"/>
        <v>5</v>
      </c>
      <c r="C126" s="11">
        <f t="shared" si="28"/>
        <v>5</v>
      </c>
      <c r="D126" s="12">
        <f t="shared" si="9"/>
        <v>5365820.3625999996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25"/>
        <v>Feb'18/19</v>
      </c>
      <c r="I126" s="11">
        <f t="shared" si="26"/>
        <v>54.296068580248331</v>
      </c>
    </row>
    <row r="127" spans="2:9" x14ac:dyDescent="0.55000000000000004">
      <c r="B127" s="11">
        <f t="shared" si="27"/>
        <v>5</v>
      </c>
      <c r="C127" s="11">
        <f t="shared" si="28"/>
        <v>6</v>
      </c>
      <c r="D127" s="12">
        <f t="shared" si="9"/>
        <v>4860850.015625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25"/>
        <v>Mar'18/19</v>
      </c>
      <c r="I127" s="11">
        <f t="shared" si="26"/>
        <v>54.957041555665</v>
      </c>
    </row>
    <row r="128" spans="2:9" x14ac:dyDescent="0.55000000000000004">
      <c r="B128" s="11">
        <f t="shared" si="27"/>
        <v>5</v>
      </c>
      <c r="C128" s="11">
        <f t="shared" si="28"/>
        <v>7</v>
      </c>
      <c r="D128" s="12">
        <f t="shared" si="9"/>
        <v>4889852.8813333334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25"/>
        <v>Apr'18/19</v>
      </c>
      <c r="I128" s="11">
        <f t="shared" si="26"/>
        <v>55.634908946765009</v>
      </c>
    </row>
    <row r="129" spans="2:9" x14ac:dyDescent="0.55000000000000004">
      <c r="B129" s="11">
        <f t="shared" si="27"/>
        <v>5</v>
      </c>
      <c r="C129" s="11">
        <f t="shared" si="28"/>
        <v>8</v>
      </c>
      <c r="D129" s="12">
        <f t="shared" si="9"/>
        <v>5511531.5026666671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25"/>
        <v>May'18/19</v>
      </c>
      <c r="I129" s="11">
        <f t="shared" si="26"/>
        <v>57.547573530556669</v>
      </c>
    </row>
    <row r="130" spans="2:9" x14ac:dyDescent="0.55000000000000004">
      <c r="B130" s="11">
        <f t="shared" si="27"/>
        <v>5</v>
      </c>
      <c r="C130" s="11">
        <f t="shared" si="28"/>
        <v>9</v>
      </c>
      <c r="D130" s="12">
        <f t="shared" si="9"/>
        <v>4838977.779291667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25"/>
        <v>Jun'18/19</v>
      </c>
      <c r="I130" s="11">
        <f t="shared" si="26"/>
        <v>58.192511218506674</v>
      </c>
    </row>
    <row r="131" spans="2:9" x14ac:dyDescent="0.55000000000000004">
      <c r="B131" s="11">
        <f t="shared" si="27"/>
        <v>5</v>
      </c>
      <c r="C131" s="11">
        <f t="shared" si="28"/>
        <v>10</v>
      </c>
      <c r="D131" s="12">
        <f t="shared" si="9"/>
        <v>4770329.675708333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25"/>
        <v>Jul'18/19</v>
      </c>
      <c r="I131" s="11">
        <f t="shared" si="26"/>
        <v>59.071066137658335</v>
      </c>
    </row>
    <row r="132" spans="2:9" x14ac:dyDescent="0.55000000000000004">
      <c r="B132" s="11">
        <f t="shared" si="27"/>
        <v>5</v>
      </c>
      <c r="C132" s="11">
        <f t="shared" si="28"/>
        <v>11</v>
      </c>
      <c r="D132" s="12">
        <f t="shared" si="9"/>
        <v>4549007.1290166667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25"/>
        <v>Aug'18/19</v>
      </c>
      <c r="I132" s="11">
        <f t="shared" si="26"/>
        <v>59.111375673695001</v>
      </c>
    </row>
    <row r="133" spans="2:9" x14ac:dyDescent="0.55000000000000004">
      <c r="B133" s="11">
        <f t="shared" si="27"/>
        <v>5</v>
      </c>
      <c r="C133" s="11">
        <f t="shared" si="28"/>
        <v>12</v>
      </c>
      <c r="D133" s="12">
        <f t="shared" si="9"/>
        <v>4450022.3458333332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25"/>
        <v>Sep'18/19</v>
      </c>
      <c r="I133" s="11">
        <f t="shared" si="26"/>
        <v>59.326847967778335</v>
      </c>
    </row>
    <row r="134" spans="2:9" x14ac:dyDescent="0.55000000000000004">
      <c r="B134" s="11">
        <f t="shared" si="27"/>
        <v>6</v>
      </c>
      <c r="C134" s="11">
        <f t="shared" si="28"/>
        <v>1</v>
      </c>
      <c r="D134" s="12">
        <f t="shared" si="9"/>
        <v>4635677.8949666666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25"/>
        <v>Oct'19/20</v>
      </c>
      <c r="I134" s="11">
        <f t="shared" si="26"/>
        <v>59.245112220020005</v>
      </c>
    </row>
    <row r="135" spans="2:9" x14ac:dyDescent="0.55000000000000004">
      <c r="B135" s="11">
        <f t="shared" si="27"/>
        <v>6</v>
      </c>
      <c r="C135" s="11">
        <f t="shared" si="28"/>
        <v>2</v>
      </c>
      <c r="D135" s="12">
        <f t="shared" si="9"/>
        <v>4370017.57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25"/>
        <v>Nov'19/20</v>
      </c>
      <c r="I135" s="11">
        <f t="shared" si="26"/>
        <v>58.616468650228327</v>
      </c>
    </row>
    <row r="136" spans="2:9" x14ac:dyDescent="0.55000000000000004">
      <c r="B136" s="11">
        <f t="shared" si="27"/>
        <v>6</v>
      </c>
      <c r="C136" s="11">
        <f t="shared" si="28"/>
        <v>3</v>
      </c>
      <c r="D136" s="12">
        <f t="shared" si="9"/>
        <v>4404055.0029166667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25"/>
        <v>Dec'19/20</v>
      </c>
      <c r="I136" s="11">
        <f t="shared" si="26"/>
        <v>57.699715757895</v>
      </c>
    </row>
    <row r="137" spans="2:9" x14ac:dyDescent="0.55000000000000004">
      <c r="B137" s="11">
        <f t="shared" si="27"/>
        <v>6</v>
      </c>
      <c r="C137" s="11">
        <f t="shared" si="28"/>
        <v>4</v>
      </c>
      <c r="D137" s="12">
        <f t="shared" si="9"/>
        <v>4971784.7840933334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25"/>
        <v>Jan'19/20</v>
      </c>
      <c r="I137" s="11">
        <f t="shared" si="26"/>
        <v>57.617926944051668</v>
      </c>
    </row>
    <row r="138" spans="2:9" x14ac:dyDescent="0.55000000000000004">
      <c r="B138" s="11">
        <f t="shared" si="27"/>
        <v>6</v>
      </c>
      <c r="C138" s="11">
        <f t="shared" si="28"/>
        <v>5</v>
      </c>
      <c r="D138" s="12">
        <f t="shared" si="9"/>
        <v>4630856.413383333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25"/>
        <v>Feb'19/20</v>
      </c>
      <c r="I138" s="11">
        <f t="shared" si="26"/>
        <v>56.882962994835005</v>
      </c>
    </row>
    <row r="139" spans="2:9" x14ac:dyDescent="0.55000000000000004">
      <c r="B139" s="11">
        <f t="shared" si="27"/>
        <v>6</v>
      </c>
      <c r="C139" s="11">
        <f t="shared" si="28"/>
        <v>6</v>
      </c>
      <c r="D139" s="12">
        <f t="shared" ref="D139:D202" si="29">INDEX($C$7:$N$19,MATCH(B139,$A$7:$A$19),MATCH(C139,$C$4:$N$4))</f>
        <v>5064583.3977083331</v>
      </c>
      <c r="E139" s="11" t="str">
        <f t="shared" ref="E139:E202" si="30">_xlfn.XLOOKUP(B139,$A$7:$A$19,$B$7:$B$19)</f>
        <v>19/20</v>
      </c>
      <c r="F139" s="11" t="str">
        <f t="shared" ref="F139:F202" si="31">_xlfn.XLOOKUP(C139,$C$4:$N$4,$C$6:$N$6)</f>
        <v>Mar</v>
      </c>
      <c r="G139" s="11" t="str">
        <f t="shared" ref="G139:G202" si="32">_xlfn.CONCAT(F139,"'",E139)</f>
        <v>Mar'19/20</v>
      </c>
      <c r="H139" s="11" t="str">
        <f t="shared" si="25"/>
        <v>Mar'19/20</v>
      </c>
      <c r="I139" s="11">
        <f t="shared" si="26"/>
        <v>57.08669637691834</v>
      </c>
    </row>
    <row r="140" spans="2:9" x14ac:dyDescent="0.55000000000000004">
      <c r="B140" s="11">
        <f t="shared" si="27"/>
        <v>6</v>
      </c>
      <c r="C140" s="11">
        <f t="shared" si="28"/>
        <v>7</v>
      </c>
      <c r="D140" s="12">
        <f t="shared" si="29"/>
        <v>4696361.0373333339</v>
      </c>
      <c r="E140" s="11" t="str">
        <f t="shared" si="30"/>
        <v>19/20</v>
      </c>
      <c r="F140" s="11" t="str">
        <f t="shared" si="31"/>
        <v>Apr</v>
      </c>
      <c r="G140" s="11" t="str">
        <f t="shared" si="32"/>
        <v>Apr'19/20</v>
      </c>
      <c r="H140" s="11" t="str">
        <f t="shared" si="25"/>
        <v>Apr'19/20</v>
      </c>
      <c r="I140" s="11">
        <f t="shared" si="26"/>
        <v>56.893204532918332</v>
      </c>
    </row>
    <row r="141" spans="2:9" x14ac:dyDescent="0.55000000000000004">
      <c r="B141" s="11">
        <f t="shared" si="27"/>
        <v>6</v>
      </c>
      <c r="C141" s="11">
        <f t="shared" si="28"/>
        <v>8</v>
      </c>
      <c r="D141" s="12">
        <f t="shared" si="29"/>
        <v>4583106.2768333331</v>
      </c>
      <c r="E141" s="11" t="str">
        <f t="shared" si="30"/>
        <v>19/20</v>
      </c>
      <c r="F141" s="11" t="str">
        <f t="shared" si="31"/>
        <v>May</v>
      </c>
      <c r="G141" s="11" t="str">
        <f t="shared" si="32"/>
        <v>May'19/20</v>
      </c>
      <c r="H141" s="11" t="str">
        <f t="shared" si="25"/>
        <v>May'19/20</v>
      </c>
      <c r="I141" s="11">
        <f t="shared" si="26"/>
        <v>55.964779307085003</v>
      </c>
    </row>
    <row r="142" spans="2:9" x14ac:dyDescent="0.55000000000000004">
      <c r="B142" s="11">
        <f t="shared" si="27"/>
        <v>6</v>
      </c>
      <c r="C142" s="11">
        <f t="shared" si="28"/>
        <v>9</v>
      </c>
      <c r="D142" s="12">
        <f t="shared" si="29"/>
        <v>4326034.4171666671</v>
      </c>
      <c r="E142" s="11" t="str">
        <f t="shared" si="30"/>
        <v>19/20</v>
      </c>
      <c r="F142" s="11" t="str">
        <f t="shared" si="31"/>
        <v>Jun</v>
      </c>
      <c r="G142" s="11" t="str">
        <f t="shared" si="32"/>
        <v>Jun'19/20</v>
      </c>
      <c r="H142" s="11" t="str">
        <f t="shared" si="25"/>
        <v>Jun'19/20</v>
      </c>
      <c r="I142" s="11">
        <f t="shared" si="26"/>
        <v>55.451835944959996</v>
      </c>
    </row>
    <row r="143" spans="2:9" x14ac:dyDescent="0.55000000000000004">
      <c r="B143" s="11">
        <f t="shared" si="27"/>
        <v>6</v>
      </c>
      <c r="C143" s="11">
        <f t="shared" si="28"/>
        <v>10</v>
      </c>
      <c r="D143" s="12">
        <f t="shared" si="29"/>
        <v>4244566.0042249998</v>
      </c>
      <c r="E143" s="11" t="str">
        <f t="shared" si="30"/>
        <v>19/20</v>
      </c>
      <c r="F143" s="11" t="str">
        <f t="shared" si="31"/>
        <v>Jul</v>
      </c>
      <c r="G143" s="11" t="str">
        <f t="shared" si="32"/>
        <v>Jul'19/20</v>
      </c>
      <c r="H143" s="11" t="str">
        <f t="shared" si="25"/>
        <v>Jul'19/20</v>
      </c>
      <c r="I143" s="11">
        <f t="shared" si="26"/>
        <v>54.92607227347667</v>
      </c>
    </row>
    <row r="144" spans="2:9" x14ac:dyDescent="0.55000000000000004">
      <c r="B144" s="11">
        <f t="shared" si="27"/>
        <v>6</v>
      </c>
      <c r="C144" s="11">
        <f t="shared" si="28"/>
        <v>11</v>
      </c>
      <c r="D144" s="12">
        <f t="shared" si="29"/>
        <v>4377553.2177416664</v>
      </c>
      <c r="E144" s="11" t="str">
        <f t="shared" si="30"/>
        <v>19/20</v>
      </c>
      <c r="F144" s="11" t="str">
        <f t="shared" si="31"/>
        <v>Aug</v>
      </c>
      <c r="G144" s="11" t="str">
        <f t="shared" si="32"/>
        <v>Aug'19/20</v>
      </c>
      <c r="H144" s="11" t="str">
        <f t="shared" si="25"/>
        <v>Aug'19/20</v>
      </c>
      <c r="I144" s="11">
        <f t="shared" si="26"/>
        <v>54.754618362201668</v>
      </c>
    </row>
    <row r="145" spans="2:9" x14ac:dyDescent="0.55000000000000004">
      <c r="B145" s="11">
        <f t="shared" si="27"/>
        <v>6</v>
      </c>
      <c r="C145" s="11">
        <f t="shared" si="28"/>
        <v>12</v>
      </c>
      <c r="D145" s="12">
        <f t="shared" si="29"/>
        <v>4524468.9543333333</v>
      </c>
      <c r="E145" s="11" t="str">
        <f t="shared" si="30"/>
        <v>19/20</v>
      </c>
      <c r="F145" s="11" t="str">
        <f t="shared" si="31"/>
        <v>Sep</v>
      </c>
      <c r="G145" s="11" t="str">
        <f t="shared" si="32"/>
        <v>Sep'19/20</v>
      </c>
      <c r="H145" s="11" t="str">
        <f t="shared" si="25"/>
        <v>Sep'19/20</v>
      </c>
      <c r="I145" s="11">
        <f t="shared" si="26"/>
        <v>54.829064970701673</v>
      </c>
    </row>
    <row r="146" spans="2:9" x14ac:dyDescent="0.55000000000000004">
      <c r="B146" s="11">
        <f t="shared" si="27"/>
        <v>7</v>
      </c>
      <c r="C146" s="11">
        <f t="shared" si="28"/>
        <v>1</v>
      </c>
      <c r="D146" s="12">
        <f t="shared" si="29"/>
        <v>5031363.1934333332</v>
      </c>
      <c r="E146" s="11" t="str">
        <f t="shared" si="30"/>
        <v>20/21</v>
      </c>
      <c r="F146" s="11" t="str">
        <f t="shared" si="31"/>
        <v>Oct</v>
      </c>
      <c r="G146" s="11" t="str">
        <f t="shared" si="32"/>
        <v>Oct'20/21</v>
      </c>
      <c r="H146" s="11" t="str">
        <f t="shared" si="25"/>
        <v>Oct'20/21</v>
      </c>
      <c r="I146" s="11">
        <f t="shared" si="26"/>
        <v>55.224750269168332</v>
      </c>
    </row>
    <row r="147" spans="2:9" x14ac:dyDescent="0.55000000000000004">
      <c r="B147" s="11">
        <f t="shared" si="27"/>
        <v>7</v>
      </c>
      <c r="C147" s="11">
        <f t="shared" si="28"/>
        <v>2</v>
      </c>
      <c r="D147" s="12">
        <f t="shared" si="29"/>
        <v>5655408.5619999999</v>
      </c>
      <c r="E147" s="11" t="str">
        <f t="shared" si="30"/>
        <v>20/21</v>
      </c>
      <c r="F147" s="11" t="str">
        <f t="shared" si="31"/>
        <v>Nov</v>
      </c>
      <c r="G147" s="11" t="str">
        <f t="shared" si="32"/>
        <v>Nov'20/21</v>
      </c>
      <c r="H147" s="11" t="str">
        <f t="shared" si="25"/>
        <v>Nov'20/21</v>
      </c>
      <c r="I147" s="11">
        <f t="shared" si="26"/>
        <v>56.510141261168336</v>
      </c>
    </row>
    <row r="148" spans="2:9" x14ac:dyDescent="0.55000000000000004">
      <c r="B148" s="11">
        <f t="shared" si="27"/>
        <v>7</v>
      </c>
      <c r="C148" s="11">
        <f t="shared" si="28"/>
        <v>3</v>
      </c>
      <c r="D148" s="12">
        <f t="shared" si="29"/>
        <v>5369478.731625</v>
      </c>
      <c r="E148" s="11" t="str">
        <f t="shared" si="30"/>
        <v>20/21</v>
      </c>
      <c r="F148" s="11" t="str">
        <f t="shared" si="31"/>
        <v>Dec</v>
      </c>
      <c r="G148" s="11" t="str">
        <f t="shared" si="32"/>
        <v>Dec'20/21</v>
      </c>
      <c r="H148" s="11" t="str">
        <f t="shared" si="25"/>
        <v>Dec'20/21</v>
      </c>
      <c r="I148" s="11">
        <f t="shared" si="26"/>
        <v>57.475564989876673</v>
      </c>
    </row>
    <row r="149" spans="2:9" x14ac:dyDescent="0.55000000000000004">
      <c r="B149" s="11">
        <f t="shared" si="27"/>
        <v>7</v>
      </c>
      <c r="C149" s="11">
        <f t="shared" si="28"/>
        <v>4</v>
      </c>
      <c r="D149" s="12">
        <f t="shared" si="29"/>
        <v>4861339.8761583334</v>
      </c>
      <c r="E149" s="11" t="str">
        <f t="shared" si="30"/>
        <v>20/21</v>
      </c>
      <c r="F149" s="11" t="str">
        <f t="shared" si="31"/>
        <v>Jan</v>
      </c>
      <c r="G149" s="11" t="str">
        <f t="shared" si="32"/>
        <v>Jan'20/21</v>
      </c>
      <c r="H149" s="11" t="str">
        <f t="shared" si="25"/>
        <v>Jan'20/21</v>
      </c>
      <c r="I149" s="11">
        <f t="shared" si="26"/>
        <v>57.365120081941669</v>
      </c>
    </row>
    <row r="150" spans="2:9" x14ac:dyDescent="0.55000000000000004">
      <c r="B150" s="11">
        <f t="shared" si="27"/>
        <v>7</v>
      </c>
      <c r="C150" s="11">
        <f t="shared" si="28"/>
        <v>5</v>
      </c>
      <c r="D150" s="12">
        <f t="shared" si="29"/>
        <v>5524312.0758333337</v>
      </c>
      <c r="E150" s="11" t="str">
        <f t="shared" si="30"/>
        <v>20/21</v>
      </c>
      <c r="F150" s="11" t="str">
        <f t="shared" si="31"/>
        <v>Feb</v>
      </c>
      <c r="G150" s="11" t="str">
        <f t="shared" si="32"/>
        <v>Feb'20/21</v>
      </c>
      <c r="H150" s="11" t="str">
        <f t="shared" ref="H150:H213" si="33">G150</f>
        <v>Feb'20/21</v>
      </c>
      <c r="I150" s="11">
        <f t="shared" ref="I150:I213" si="34">SUM(D139:D150)/1000000</f>
        <v>58.258575744391671</v>
      </c>
    </row>
    <row r="151" spans="2:9" x14ac:dyDescent="0.55000000000000004">
      <c r="B151" s="11">
        <f t="shared" ref="B151:B214" si="35">B139+1</f>
        <v>7</v>
      </c>
      <c r="C151" s="11">
        <f t="shared" ref="C151:C214" si="36">C139</f>
        <v>6</v>
      </c>
      <c r="D151" s="12">
        <f t="shared" si="29"/>
        <v>5475874.9844166664</v>
      </c>
      <c r="E151" s="11" t="str">
        <f t="shared" si="30"/>
        <v>20/21</v>
      </c>
      <c r="F151" s="11" t="str">
        <f t="shared" si="31"/>
        <v>Mar</v>
      </c>
      <c r="G151" s="11" t="str">
        <f t="shared" si="32"/>
        <v>Mar'20/21</v>
      </c>
      <c r="H151" s="11" t="str">
        <f t="shared" si="33"/>
        <v>Mar'20/21</v>
      </c>
      <c r="I151" s="11">
        <f t="shared" si="34"/>
        <v>58.669867331100001</v>
      </c>
    </row>
    <row r="152" spans="2:9" x14ac:dyDescent="0.55000000000000004">
      <c r="B152" s="11">
        <f t="shared" si="35"/>
        <v>7</v>
      </c>
      <c r="C152" s="11">
        <f t="shared" si="36"/>
        <v>7</v>
      </c>
      <c r="D152" s="12">
        <f t="shared" si="29"/>
        <v>5363102.5858333334</v>
      </c>
      <c r="E152" s="11" t="str">
        <f t="shared" si="30"/>
        <v>20/21</v>
      </c>
      <c r="F152" s="11" t="str">
        <f t="shared" si="31"/>
        <v>Apr</v>
      </c>
      <c r="G152" s="11" t="str">
        <f t="shared" si="32"/>
        <v>Apr'20/21</v>
      </c>
      <c r="H152" s="11" t="str">
        <f t="shared" si="33"/>
        <v>Apr'20/21</v>
      </c>
      <c r="I152" s="11">
        <f t="shared" si="34"/>
        <v>59.3366088796</v>
      </c>
    </row>
    <row r="153" spans="2:9" x14ac:dyDescent="0.55000000000000004">
      <c r="B153" s="11">
        <f t="shared" si="35"/>
        <v>7</v>
      </c>
      <c r="C153" s="11">
        <f t="shared" si="36"/>
        <v>8</v>
      </c>
      <c r="D153" s="12">
        <f t="shared" si="29"/>
        <v>4390138.7251666673</v>
      </c>
      <c r="E153" s="11" t="str">
        <f t="shared" si="30"/>
        <v>20/21</v>
      </c>
      <c r="F153" s="11" t="str">
        <f t="shared" si="31"/>
        <v>May</v>
      </c>
      <c r="G153" s="11" t="str">
        <f t="shared" si="32"/>
        <v>May'20/21</v>
      </c>
      <c r="H153" s="11" t="str">
        <f t="shared" si="33"/>
        <v>May'20/21</v>
      </c>
      <c r="I153" s="11">
        <f t="shared" si="34"/>
        <v>59.143641327933324</v>
      </c>
    </row>
    <row r="154" spans="2:9" x14ac:dyDescent="0.55000000000000004">
      <c r="B154" s="11">
        <f t="shared" si="35"/>
        <v>7</v>
      </c>
      <c r="C154" s="11">
        <f t="shared" si="36"/>
        <v>9</v>
      </c>
      <c r="D154" s="12">
        <f t="shared" si="29"/>
        <v>4753996.5532416664</v>
      </c>
      <c r="E154" s="11" t="str">
        <f t="shared" si="30"/>
        <v>20/21</v>
      </c>
      <c r="F154" s="11" t="str">
        <f t="shared" si="31"/>
        <v>Jun</v>
      </c>
      <c r="G154" s="11" t="str">
        <f t="shared" si="32"/>
        <v>Jun'20/21</v>
      </c>
      <c r="H154" s="11" t="str">
        <f t="shared" si="33"/>
        <v>Jun'20/21</v>
      </c>
      <c r="I154" s="11">
        <f t="shared" si="34"/>
        <v>59.571603464008334</v>
      </c>
    </row>
    <row r="155" spans="2:9" x14ac:dyDescent="0.55000000000000004">
      <c r="B155" s="11">
        <f t="shared" si="35"/>
        <v>7</v>
      </c>
      <c r="C155" s="11">
        <f t="shared" si="36"/>
        <v>10</v>
      </c>
      <c r="D155" s="12">
        <f t="shared" si="29"/>
        <v>4600245.3910916671</v>
      </c>
      <c r="E155" s="11" t="str">
        <f t="shared" si="30"/>
        <v>20/21</v>
      </c>
      <c r="F155" s="11" t="str">
        <f t="shared" si="31"/>
        <v>Jul</v>
      </c>
      <c r="G155" s="11" t="str">
        <f t="shared" si="32"/>
        <v>Jul'20/21</v>
      </c>
      <c r="H155" s="11" t="str">
        <f t="shared" si="33"/>
        <v>Jul'20/21</v>
      </c>
      <c r="I155" s="11">
        <f t="shared" si="34"/>
        <v>59.927282850874995</v>
      </c>
    </row>
    <row r="156" spans="2:9" x14ac:dyDescent="0.55000000000000004">
      <c r="B156" s="11">
        <f t="shared" si="35"/>
        <v>7</v>
      </c>
      <c r="C156" s="11">
        <f t="shared" si="36"/>
        <v>11</v>
      </c>
      <c r="D156" s="12">
        <f t="shared" si="29"/>
        <v>4182405.8680000002</v>
      </c>
      <c r="E156" s="11" t="str">
        <f t="shared" si="30"/>
        <v>20/21</v>
      </c>
      <c r="F156" s="11" t="str">
        <f t="shared" si="31"/>
        <v>Aug</v>
      </c>
      <c r="G156" s="11" t="str">
        <f t="shared" si="32"/>
        <v>Aug'20/21</v>
      </c>
      <c r="H156" s="11" t="str">
        <f t="shared" si="33"/>
        <v>Aug'20/21</v>
      </c>
      <c r="I156" s="11">
        <f t="shared" si="34"/>
        <v>59.732135501133342</v>
      </c>
    </row>
    <row r="157" spans="2:9" x14ac:dyDescent="0.55000000000000004">
      <c r="B157" s="11">
        <f t="shared" si="35"/>
        <v>7</v>
      </c>
      <c r="C157" s="11">
        <f t="shared" si="36"/>
        <v>12</v>
      </c>
      <c r="D157" s="12">
        <f t="shared" si="29"/>
        <v>4263451.8710000003</v>
      </c>
      <c r="E157" s="11" t="str">
        <f t="shared" si="30"/>
        <v>20/21</v>
      </c>
      <c r="F157" s="11" t="str">
        <f t="shared" si="31"/>
        <v>Sep</v>
      </c>
      <c r="G157" s="11" t="str">
        <f t="shared" si="32"/>
        <v>Sep'20/21</v>
      </c>
      <c r="H157" s="11" t="str">
        <f t="shared" si="33"/>
        <v>Sep'20/21</v>
      </c>
      <c r="I157" s="11">
        <f t="shared" si="34"/>
        <v>59.471118417799993</v>
      </c>
    </row>
    <row r="158" spans="2:9" x14ac:dyDescent="0.55000000000000004">
      <c r="B158" s="11">
        <f t="shared" si="35"/>
        <v>8</v>
      </c>
      <c r="C158" s="11">
        <f t="shared" si="36"/>
        <v>1</v>
      </c>
      <c r="D158" s="12">
        <f t="shared" si="29"/>
        <v>4410097.725625</v>
      </c>
      <c r="E158" s="11" t="str">
        <f t="shared" si="30"/>
        <v>21/22</v>
      </c>
      <c r="F158" s="11" t="str">
        <f t="shared" si="31"/>
        <v>Oct</v>
      </c>
      <c r="G158" s="11" t="str">
        <f t="shared" si="32"/>
        <v>Oct'21/22</v>
      </c>
      <c r="H158" s="11" t="str">
        <f t="shared" si="33"/>
        <v>Oct'21/22</v>
      </c>
      <c r="I158" s="11">
        <f t="shared" si="34"/>
        <v>58.849852949991664</v>
      </c>
    </row>
    <row r="159" spans="2:9" x14ac:dyDescent="0.55000000000000004">
      <c r="B159" s="11">
        <f t="shared" si="35"/>
        <v>8</v>
      </c>
      <c r="C159" s="11">
        <f t="shared" si="36"/>
        <v>2</v>
      </c>
      <c r="D159" s="12">
        <f t="shared" si="29"/>
        <v>4275297.3897249997</v>
      </c>
      <c r="E159" s="11" t="str">
        <f t="shared" si="30"/>
        <v>21/22</v>
      </c>
      <c r="F159" s="11" t="str">
        <f t="shared" si="31"/>
        <v>Nov</v>
      </c>
      <c r="G159" s="11" t="str">
        <f t="shared" si="32"/>
        <v>Nov'21/22</v>
      </c>
      <c r="H159" s="11" t="str">
        <f t="shared" si="33"/>
        <v>Nov'21/22</v>
      </c>
      <c r="I159" s="11">
        <f t="shared" si="34"/>
        <v>57.469741777716663</v>
      </c>
    </row>
    <row r="160" spans="2:9" x14ac:dyDescent="0.55000000000000004">
      <c r="B160" s="11">
        <f t="shared" si="35"/>
        <v>8</v>
      </c>
      <c r="C160" s="11">
        <f t="shared" si="36"/>
        <v>3</v>
      </c>
      <c r="D160" s="12">
        <f t="shared" si="29"/>
        <v>5100573.2053333335</v>
      </c>
      <c r="E160" s="11" t="str">
        <f t="shared" si="30"/>
        <v>21/22</v>
      </c>
      <c r="F160" s="11" t="str">
        <f t="shared" si="31"/>
        <v>Dec</v>
      </c>
      <c r="G160" s="11" t="str">
        <f t="shared" si="32"/>
        <v>Dec'21/22</v>
      </c>
      <c r="H160" s="11" t="str">
        <f t="shared" si="33"/>
        <v>Dec'21/22</v>
      </c>
      <c r="I160" s="11">
        <f t="shared" si="34"/>
        <v>57.200836251424995</v>
      </c>
    </row>
    <row r="161" spans="2:9" x14ac:dyDescent="0.55000000000000004">
      <c r="B161" s="11">
        <f t="shared" si="35"/>
        <v>8</v>
      </c>
      <c r="C161" s="11">
        <f t="shared" si="36"/>
        <v>4</v>
      </c>
      <c r="D161" s="12">
        <f t="shared" si="29"/>
        <v>4765849.6432499997</v>
      </c>
      <c r="E161" s="11" t="str">
        <f t="shared" si="30"/>
        <v>21/22</v>
      </c>
      <c r="F161" s="11" t="str">
        <f t="shared" si="31"/>
        <v>Jan</v>
      </c>
      <c r="G161" s="11" t="str">
        <f t="shared" si="32"/>
        <v>Jan'21/22</v>
      </c>
      <c r="H161" s="11" t="str">
        <f t="shared" si="33"/>
        <v>Jan'21/22</v>
      </c>
      <c r="I161" s="11">
        <f t="shared" si="34"/>
        <v>57.105346018516677</v>
      </c>
    </row>
    <row r="162" spans="2:9" x14ac:dyDescent="0.55000000000000004">
      <c r="B162" s="11">
        <f t="shared" si="35"/>
        <v>8</v>
      </c>
      <c r="C162" s="11">
        <f t="shared" si="36"/>
        <v>5</v>
      </c>
      <c r="D162" s="12">
        <f t="shared" si="29"/>
        <v>4922445.2570633329</v>
      </c>
      <c r="E162" s="11" t="str">
        <f t="shared" si="30"/>
        <v>21/22</v>
      </c>
      <c r="F162" s="11" t="str">
        <f t="shared" si="31"/>
        <v>Feb</v>
      </c>
      <c r="G162" s="11" t="str">
        <f t="shared" si="32"/>
        <v>Feb'21/22</v>
      </c>
      <c r="H162" s="11" t="str">
        <f t="shared" si="33"/>
        <v>Feb'21/22</v>
      </c>
      <c r="I162" s="11">
        <f t="shared" si="34"/>
        <v>56.503479199746671</v>
      </c>
    </row>
    <row r="163" spans="2:9" x14ac:dyDescent="0.55000000000000004">
      <c r="B163" s="11">
        <f t="shared" si="35"/>
        <v>8</v>
      </c>
      <c r="C163" s="11">
        <f t="shared" si="36"/>
        <v>6</v>
      </c>
      <c r="D163" s="12">
        <f t="shared" si="29"/>
        <v>5646603.9678183328</v>
      </c>
      <c r="E163" s="11" t="str">
        <f t="shared" si="30"/>
        <v>21/22</v>
      </c>
      <c r="F163" s="11" t="str">
        <f t="shared" si="31"/>
        <v>Mar</v>
      </c>
      <c r="G163" s="11" t="str">
        <f t="shared" si="32"/>
        <v>Mar'21/22</v>
      </c>
      <c r="H163" s="11" t="str">
        <f t="shared" si="33"/>
        <v>Mar'21/22</v>
      </c>
      <c r="I163" s="11">
        <f t="shared" si="34"/>
        <v>56.674208183148338</v>
      </c>
    </row>
    <row r="164" spans="2:9" x14ac:dyDescent="0.55000000000000004">
      <c r="B164" s="11">
        <f t="shared" si="35"/>
        <v>8</v>
      </c>
      <c r="C164" s="11">
        <f t="shared" si="36"/>
        <v>7</v>
      </c>
      <c r="D164" s="12">
        <f t="shared" si="29"/>
        <v>4516816.4696833333</v>
      </c>
      <c r="E164" s="11" t="str">
        <f t="shared" si="30"/>
        <v>21/22</v>
      </c>
      <c r="F164" s="11" t="str">
        <f t="shared" si="31"/>
        <v>Apr</v>
      </c>
      <c r="G164" s="11" t="str">
        <f t="shared" si="32"/>
        <v>Apr'21/22</v>
      </c>
      <c r="H164" s="11" t="str">
        <f t="shared" si="33"/>
        <v>Apr'21/22</v>
      </c>
      <c r="I164" s="11">
        <f t="shared" si="34"/>
        <v>55.827922066998333</v>
      </c>
    </row>
    <row r="165" spans="2:9" x14ac:dyDescent="0.55000000000000004">
      <c r="B165" s="11">
        <f t="shared" si="35"/>
        <v>8</v>
      </c>
      <c r="C165" s="11">
        <f t="shared" si="36"/>
        <v>8</v>
      </c>
      <c r="D165" s="12">
        <f t="shared" si="29"/>
        <v>4502943.9777166666</v>
      </c>
      <c r="E165" s="11" t="str">
        <f t="shared" si="30"/>
        <v>21/22</v>
      </c>
      <c r="F165" s="11" t="str">
        <f t="shared" si="31"/>
        <v>May</v>
      </c>
      <c r="G165" s="11" t="str">
        <f t="shared" si="32"/>
        <v>May'21/22</v>
      </c>
      <c r="H165" s="11" t="str">
        <f t="shared" si="33"/>
        <v>May'21/22</v>
      </c>
      <c r="I165" s="11">
        <f t="shared" si="34"/>
        <v>55.940727319548337</v>
      </c>
    </row>
    <row r="166" spans="2:9" x14ac:dyDescent="0.55000000000000004">
      <c r="B166" s="11">
        <f t="shared" si="35"/>
        <v>8</v>
      </c>
      <c r="C166" s="11">
        <f t="shared" si="36"/>
        <v>9</v>
      </c>
      <c r="D166" s="12">
        <f t="shared" si="29"/>
        <v>4772545.5405000001</v>
      </c>
      <c r="E166" s="11" t="str">
        <f t="shared" si="30"/>
        <v>21/22</v>
      </c>
      <c r="F166" s="11" t="str">
        <f t="shared" si="31"/>
        <v>Jun</v>
      </c>
      <c r="G166" s="11" t="str">
        <f t="shared" si="32"/>
        <v>Jun'21/22</v>
      </c>
      <c r="H166" s="11" t="str">
        <f t="shared" si="33"/>
        <v>Jun'21/22</v>
      </c>
      <c r="I166" s="11">
        <f t="shared" si="34"/>
        <v>55.959276306806672</v>
      </c>
    </row>
    <row r="167" spans="2:9" x14ac:dyDescent="0.55000000000000004">
      <c r="B167" s="11">
        <f t="shared" si="35"/>
        <v>8</v>
      </c>
      <c r="C167" s="11">
        <f t="shared" si="36"/>
        <v>10</v>
      </c>
      <c r="D167" s="12">
        <f t="shared" si="29"/>
        <v>4074368.9610333331</v>
      </c>
      <c r="E167" s="11" t="str">
        <f t="shared" si="30"/>
        <v>21/22</v>
      </c>
      <c r="F167" s="11" t="str">
        <f t="shared" si="31"/>
        <v>Jul</v>
      </c>
      <c r="G167" s="11" t="str">
        <f t="shared" si="32"/>
        <v>Jul'21/22</v>
      </c>
      <c r="H167" s="11" t="str">
        <f t="shared" si="33"/>
        <v>Jul'21/22</v>
      </c>
      <c r="I167" s="11">
        <f t="shared" si="34"/>
        <v>55.433399876748339</v>
      </c>
    </row>
    <row r="168" spans="2:9" x14ac:dyDescent="0.55000000000000004">
      <c r="B168" s="11">
        <f t="shared" si="35"/>
        <v>8</v>
      </c>
      <c r="C168" s="11">
        <f t="shared" si="36"/>
        <v>11</v>
      </c>
      <c r="D168" s="12">
        <f t="shared" si="29"/>
        <v>3957125.4443333335</v>
      </c>
      <c r="E168" s="11" t="str">
        <f t="shared" si="30"/>
        <v>21/22</v>
      </c>
      <c r="F168" s="11" t="str">
        <f t="shared" si="31"/>
        <v>Aug</v>
      </c>
      <c r="G168" s="11" t="str">
        <f t="shared" si="32"/>
        <v>Aug'21/22</v>
      </c>
      <c r="H168" s="11" t="str">
        <f t="shared" si="33"/>
        <v>Aug'21/22</v>
      </c>
      <c r="I168" s="11">
        <f t="shared" si="34"/>
        <v>55.208119453081665</v>
      </c>
    </row>
    <row r="169" spans="2:9" x14ac:dyDescent="0.55000000000000004">
      <c r="B169" s="11">
        <f t="shared" si="35"/>
        <v>8</v>
      </c>
      <c r="C169" s="11">
        <f t="shared" si="36"/>
        <v>12</v>
      </c>
      <c r="D169" s="12">
        <f t="shared" si="29"/>
        <v>4335577.2336666668</v>
      </c>
      <c r="E169" s="11" t="str">
        <f t="shared" si="30"/>
        <v>21/22</v>
      </c>
      <c r="F169" s="11" t="str">
        <f t="shared" si="31"/>
        <v>Sep</v>
      </c>
      <c r="G169" s="11" t="str">
        <f t="shared" si="32"/>
        <v>Sep'21/22</v>
      </c>
      <c r="H169" s="11" t="str">
        <f t="shared" si="33"/>
        <v>Sep'21/22</v>
      </c>
      <c r="I169" s="11">
        <f t="shared" si="34"/>
        <v>55.280244815748325</v>
      </c>
    </row>
    <row r="170" spans="2:9" x14ac:dyDescent="0.55000000000000004">
      <c r="B170" s="11">
        <f t="shared" si="35"/>
        <v>9</v>
      </c>
      <c r="C170" s="11">
        <f t="shared" si="36"/>
        <v>1</v>
      </c>
      <c r="D170" s="12">
        <f t="shared" si="29"/>
        <v>4504837.7182666669</v>
      </c>
      <c r="E170" s="11" t="str">
        <f t="shared" si="30"/>
        <v>22/23</v>
      </c>
      <c r="F170" s="11" t="str">
        <f t="shared" si="31"/>
        <v>Oct</v>
      </c>
      <c r="G170" s="11" t="str">
        <f t="shared" si="32"/>
        <v>Oct'22/23</v>
      </c>
      <c r="H170" s="11" t="str">
        <f t="shared" si="33"/>
        <v>Oct'22/23</v>
      </c>
      <c r="I170" s="11">
        <f t="shared" si="34"/>
        <v>55.374984808389996</v>
      </c>
    </row>
    <row r="171" spans="2:9" x14ac:dyDescent="0.55000000000000004">
      <c r="B171" s="11">
        <f t="shared" si="35"/>
        <v>9</v>
      </c>
      <c r="C171" s="11">
        <f t="shared" si="36"/>
        <v>2</v>
      </c>
      <c r="D171" s="12">
        <f t="shared" si="29"/>
        <v>4571064.6351666674</v>
      </c>
      <c r="E171" s="11" t="str">
        <f t="shared" si="30"/>
        <v>22/23</v>
      </c>
      <c r="F171" s="11" t="str">
        <f t="shared" si="31"/>
        <v>Nov</v>
      </c>
      <c r="G171" s="11" t="str">
        <f t="shared" si="32"/>
        <v>Nov'22/23</v>
      </c>
      <c r="H171" s="11" t="str">
        <f t="shared" si="33"/>
        <v>Nov'22/23</v>
      </c>
      <c r="I171" s="11">
        <f t="shared" si="34"/>
        <v>55.670752053831649</v>
      </c>
    </row>
    <row r="172" spans="2:9" x14ac:dyDescent="0.55000000000000004">
      <c r="B172" s="11">
        <f t="shared" si="35"/>
        <v>9</v>
      </c>
      <c r="C172" s="11">
        <f t="shared" si="36"/>
        <v>3</v>
      </c>
      <c r="D172" s="12">
        <f t="shared" si="29"/>
        <v>4249559.5368750002</v>
      </c>
      <c r="E172" s="11" t="str">
        <f t="shared" si="30"/>
        <v>22/23</v>
      </c>
      <c r="F172" s="11" t="str">
        <f t="shared" si="31"/>
        <v>Dec</v>
      </c>
      <c r="G172" s="11" t="str">
        <f t="shared" si="32"/>
        <v>Dec'22/23</v>
      </c>
      <c r="H172" s="11" t="str">
        <f t="shared" si="33"/>
        <v>Dec'22/23</v>
      </c>
      <c r="I172" s="11">
        <f t="shared" si="34"/>
        <v>54.819738385373334</v>
      </c>
    </row>
    <row r="173" spans="2:9" x14ac:dyDescent="0.55000000000000004">
      <c r="B173" s="11">
        <f t="shared" si="35"/>
        <v>9</v>
      </c>
      <c r="C173" s="11">
        <f t="shared" si="36"/>
        <v>4</v>
      </c>
      <c r="D173" s="12">
        <f t="shared" si="29"/>
        <v>3924210.1924466668</v>
      </c>
      <c r="E173" s="11" t="str">
        <f t="shared" si="30"/>
        <v>22/23</v>
      </c>
      <c r="F173" s="11" t="str">
        <f t="shared" si="31"/>
        <v>Jan</v>
      </c>
      <c r="G173" s="11" t="str">
        <f t="shared" si="32"/>
        <v>Jan'22/23</v>
      </c>
      <c r="H173" s="11" t="str">
        <f t="shared" si="33"/>
        <v>Jan'22/23</v>
      </c>
      <c r="I173" s="11">
        <f t="shared" si="34"/>
        <v>53.978098934569999</v>
      </c>
    </row>
    <row r="174" spans="2:9" x14ac:dyDescent="0.55000000000000004">
      <c r="B174" s="11">
        <f t="shared" si="35"/>
        <v>9</v>
      </c>
      <c r="C174" s="11">
        <f t="shared" si="36"/>
        <v>5</v>
      </c>
      <c r="D174" s="12">
        <f t="shared" si="29"/>
        <v>3808153.5462750001</v>
      </c>
      <c r="E174" s="11" t="str">
        <f t="shared" si="30"/>
        <v>22/23</v>
      </c>
      <c r="F174" s="11" t="str">
        <f t="shared" si="31"/>
        <v>Feb</v>
      </c>
      <c r="G174" s="11" t="str">
        <f t="shared" si="32"/>
        <v>Feb'22/23</v>
      </c>
      <c r="H174" s="11" t="str">
        <f t="shared" si="33"/>
        <v>Feb'22/23</v>
      </c>
      <c r="I174" s="11">
        <f t="shared" si="34"/>
        <v>52.863807223781663</v>
      </c>
    </row>
    <row r="175" spans="2:9" x14ac:dyDescent="0.55000000000000004">
      <c r="B175" s="11">
        <f t="shared" si="35"/>
        <v>9</v>
      </c>
      <c r="C175" s="11">
        <f t="shared" si="36"/>
        <v>6</v>
      </c>
      <c r="D175" s="12">
        <f t="shared" si="29"/>
        <v>4584669.9286500001</v>
      </c>
      <c r="E175" s="11" t="str">
        <f t="shared" si="30"/>
        <v>22/23</v>
      </c>
      <c r="F175" s="11" t="str">
        <f t="shared" si="31"/>
        <v>Mar</v>
      </c>
      <c r="G175" s="11" t="str">
        <f t="shared" si="32"/>
        <v>Mar'22/23</v>
      </c>
      <c r="H175" s="11" t="str">
        <f t="shared" si="33"/>
        <v>Mar'22/23</v>
      </c>
      <c r="I175" s="11">
        <f t="shared" si="34"/>
        <v>51.801873184613328</v>
      </c>
    </row>
    <row r="176" spans="2:9" x14ac:dyDescent="0.55000000000000004">
      <c r="B176" s="11">
        <f t="shared" si="35"/>
        <v>9</v>
      </c>
      <c r="C176" s="11">
        <f t="shared" si="36"/>
        <v>7</v>
      </c>
      <c r="D176" s="12">
        <f t="shared" si="29"/>
        <v>4108906.2829999998</v>
      </c>
      <c r="E176" s="11" t="str">
        <f t="shared" si="30"/>
        <v>22/23</v>
      </c>
      <c r="F176" s="11" t="str">
        <f t="shared" si="31"/>
        <v>Apr</v>
      </c>
      <c r="G176" s="11" t="str">
        <f t="shared" si="32"/>
        <v>Apr'22/23</v>
      </c>
      <c r="H176" s="11" t="str">
        <f t="shared" si="33"/>
        <v>Apr'22/23</v>
      </c>
      <c r="I176" s="11">
        <f t="shared" si="34"/>
        <v>51.393962997929989</v>
      </c>
    </row>
    <row r="177" spans="2:9" x14ac:dyDescent="0.55000000000000004">
      <c r="B177" s="11">
        <f t="shared" si="35"/>
        <v>9</v>
      </c>
      <c r="C177" s="11">
        <f t="shared" si="36"/>
        <v>8</v>
      </c>
      <c r="D177" s="12">
        <f t="shared" si="29"/>
        <v>4100111.0906666666</v>
      </c>
      <c r="E177" s="11" t="str">
        <f t="shared" si="30"/>
        <v>22/23</v>
      </c>
      <c r="F177" s="11" t="str">
        <f t="shared" si="31"/>
        <v>May</v>
      </c>
      <c r="G177" s="11" t="str">
        <f t="shared" si="32"/>
        <v>May'22/23</v>
      </c>
      <c r="H177" s="11" t="str">
        <f t="shared" si="33"/>
        <v>May'22/23</v>
      </c>
      <c r="I177" s="11">
        <f t="shared" si="34"/>
        <v>50.991130110879993</v>
      </c>
    </row>
    <row r="178" spans="2:9" x14ac:dyDescent="0.55000000000000004">
      <c r="B178" s="11">
        <f t="shared" si="35"/>
        <v>9</v>
      </c>
      <c r="C178" s="11">
        <f t="shared" si="36"/>
        <v>9</v>
      </c>
      <c r="D178" s="12">
        <f t="shared" si="29"/>
        <v>3964266.9300416666</v>
      </c>
      <c r="E178" s="11" t="str">
        <f t="shared" si="30"/>
        <v>22/23</v>
      </c>
      <c r="F178" s="11" t="str">
        <f t="shared" si="31"/>
        <v>Jun</v>
      </c>
      <c r="G178" s="11" t="str">
        <f t="shared" si="32"/>
        <v>Jun'22/23</v>
      </c>
      <c r="H178" s="11" t="str">
        <f t="shared" si="33"/>
        <v>Jun'22/23</v>
      </c>
      <c r="I178" s="11">
        <f t="shared" si="34"/>
        <v>50.182851500421663</v>
      </c>
    </row>
    <row r="179" spans="2:9" x14ac:dyDescent="0.55000000000000004">
      <c r="B179" s="11">
        <f t="shared" si="35"/>
        <v>9</v>
      </c>
      <c r="C179" s="11">
        <f t="shared" si="36"/>
        <v>10</v>
      </c>
      <c r="D179" s="12">
        <f t="shared" si="29"/>
        <v>4044106.1312499996</v>
      </c>
      <c r="E179" s="11" t="str">
        <f t="shared" si="30"/>
        <v>22/23</v>
      </c>
      <c r="F179" s="11" t="str">
        <f t="shared" si="31"/>
        <v>Jul</v>
      </c>
      <c r="G179" s="11" t="str">
        <f t="shared" si="32"/>
        <v>Jul'22/23</v>
      </c>
      <c r="H179" s="11" t="str">
        <f t="shared" si="33"/>
        <v>Jul'22/23</v>
      </c>
      <c r="I179" s="11">
        <f t="shared" si="34"/>
        <v>50.152588670638337</v>
      </c>
    </row>
    <row r="180" spans="2:9" x14ac:dyDescent="0.55000000000000004">
      <c r="B180" s="11">
        <f t="shared" si="35"/>
        <v>9</v>
      </c>
      <c r="C180" s="11">
        <f t="shared" si="36"/>
        <v>11</v>
      </c>
      <c r="D180" s="12">
        <f t="shared" si="29"/>
        <v>4298770.0540833334</v>
      </c>
      <c r="E180" s="11" t="str">
        <f t="shared" si="30"/>
        <v>22/23</v>
      </c>
      <c r="F180" s="11" t="str">
        <f t="shared" si="31"/>
        <v>Aug</v>
      </c>
      <c r="G180" s="11" t="str">
        <f t="shared" si="32"/>
        <v>Aug'22/23</v>
      </c>
      <c r="H180" s="11" t="str">
        <f t="shared" si="33"/>
        <v>Aug'22/23</v>
      </c>
      <c r="I180" s="11">
        <f t="shared" si="34"/>
        <v>50.494233280388336</v>
      </c>
    </row>
    <row r="181" spans="2:9" x14ac:dyDescent="0.55000000000000004">
      <c r="B181" s="11">
        <f t="shared" si="35"/>
        <v>9</v>
      </c>
      <c r="C181" s="11">
        <f t="shared" si="36"/>
        <v>12</v>
      </c>
      <c r="D181" s="12">
        <f t="shared" si="29"/>
        <v>3786043.4068833333</v>
      </c>
      <c r="E181" s="11" t="str">
        <f t="shared" si="30"/>
        <v>22/23</v>
      </c>
      <c r="F181" s="11" t="str">
        <f t="shared" si="31"/>
        <v>Sep</v>
      </c>
      <c r="G181" s="11" t="str">
        <f t="shared" si="32"/>
        <v>Sep'22/23</v>
      </c>
      <c r="H181" s="11" t="str">
        <f t="shared" si="33"/>
        <v>Sep'22/23</v>
      </c>
      <c r="I181" s="11">
        <f t="shared" si="34"/>
        <v>49.944699453605004</v>
      </c>
    </row>
    <row r="182" spans="2:9" x14ac:dyDescent="0.55000000000000004">
      <c r="B182" s="11">
        <f t="shared" si="35"/>
        <v>10</v>
      </c>
      <c r="C182" s="11">
        <f t="shared" si="36"/>
        <v>1</v>
      </c>
      <c r="D182" s="12">
        <f t="shared" si="29"/>
        <v>4737791.6853999998</v>
      </c>
      <c r="E182" s="11" t="str">
        <f t="shared" si="30"/>
        <v>23/24</v>
      </c>
      <c r="F182" s="11" t="str">
        <f t="shared" si="31"/>
        <v>Oct</v>
      </c>
      <c r="G182" s="11" t="str">
        <f t="shared" si="32"/>
        <v>Oct'23/24</v>
      </c>
      <c r="H182" s="11" t="str">
        <f t="shared" si="33"/>
        <v>Oct'23/24</v>
      </c>
      <c r="I182" s="11">
        <f t="shared" si="34"/>
        <v>50.177653420738338</v>
      </c>
    </row>
    <row r="183" spans="2:9" x14ac:dyDescent="0.55000000000000004">
      <c r="B183" s="11">
        <f t="shared" si="35"/>
        <v>10</v>
      </c>
      <c r="C183" s="11">
        <f t="shared" si="36"/>
        <v>2</v>
      </c>
      <c r="D183" s="12">
        <f t="shared" si="29"/>
        <v>4748267.1121666674</v>
      </c>
      <c r="E183" s="11" t="str">
        <f t="shared" si="30"/>
        <v>23/24</v>
      </c>
      <c r="F183" s="11" t="str">
        <f t="shared" si="31"/>
        <v>Nov</v>
      </c>
      <c r="G183" s="11" t="str">
        <f t="shared" si="32"/>
        <v>Nov'23/24</v>
      </c>
      <c r="H183" s="11" t="str">
        <f t="shared" si="33"/>
        <v>Nov'23/24</v>
      </c>
      <c r="I183" s="11">
        <f t="shared" si="34"/>
        <v>50.354855897738339</v>
      </c>
    </row>
    <row r="184" spans="2:9" x14ac:dyDescent="0.55000000000000004">
      <c r="B184" s="11">
        <f t="shared" si="35"/>
        <v>10</v>
      </c>
      <c r="C184" s="11">
        <f t="shared" si="36"/>
        <v>3</v>
      </c>
      <c r="D184" s="12">
        <f t="shared" si="29"/>
        <v>4798589.4230333334</v>
      </c>
      <c r="E184" s="11" t="str">
        <f t="shared" si="30"/>
        <v>23/24</v>
      </c>
      <c r="F184" s="11" t="str">
        <f t="shared" si="31"/>
        <v>Dec</v>
      </c>
      <c r="G184" s="11" t="str">
        <f t="shared" si="32"/>
        <v>Dec'23/24</v>
      </c>
      <c r="H184" s="11" t="str">
        <f t="shared" si="33"/>
        <v>Dec'23/24</v>
      </c>
      <c r="I184" s="11">
        <f t="shared" si="34"/>
        <v>50.903885783896669</v>
      </c>
    </row>
    <row r="185" spans="2:9" x14ac:dyDescent="0.55000000000000004">
      <c r="B185" s="11">
        <f t="shared" si="35"/>
        <v>10</v>
      </c>
      <c r="C185" s="11">
        <f t="shared" si="36"/>
        <v>4</v>
      </c>
      <c r="D185" s="12">
        <f t="shared" si="29"/>
        <v>4769961.4918333339</v>
      </c>
      <c r="E185" s="11" t="str">
        <f t="shared" si="30"/>
        <v>23/24</v>
      </c>
      <c r="F185" s="11" t="str">
        <f t="shared" si="31"/>
        <v>Jan</v>
      </c>
      <c r="G185" s="11" t="str">
        <f t="shared" si="32"/>
        <v>Jan'23/24</v>
      </c>
      <c r="H185" s="11" t="str">
        <f t="shared" si="33"/>
        <v>Jan'23/24</v>
      </c>
      <c r="I185" s="11">
        <f t="shared" si="34"/>
        <v>51.749637083283332</v>
      </c>
    </row>
    <row r="186" spans="2:9" x14ac:dyDescent="0.55000000000000004">
      <c r="B186" s="11">
        <f t="shared" si="35"/>
        <v>10</v>
      </c>
      <c r="C186" s="11">
        <f t="shared" si="36"/>
        <v>5</v>
      </c>
      <c r="D186" s="12">
        <f t="shared" si="29"/>
        <v>4768687.7449166672</v>
      </c>
      <c r="E186" s="11" t="str">
        <f t="shared" si="30"/>
        <v>23/24</v>
      </c>
      <c r="F186" s="11" t="str">
        <f t="shared" si="31"/>
        <v>Feb</v>
      </c>
      <c r="G186" s="11" t="str">
        <f t="shared" si="32"/>
        <v>Feb'23/24</v>
      </c>
      <c r="H186" s="11" t="str">
        <f t="shared" si="33"/>
        <v>Feb'23/24</v>
      </c>
      <c r="I186" s="11">
        <f t="shared" si="34"/>
        <v>52.710171281925</v>
      </c>
    </row>
    <row r="187" spans="2:9" x14ac:dyDescent="0.55000000000000004">
      <c r="B187" s="11">
        <f t="shared" si="35"/>
        <v>10</v>
      </c>
      <c r="C187" s="11">
        <f t="shared" si="36"/>
        <v>6</v>
      </c>
      <c r="D187" s="12">
        <f t="shared" si="29"/>
        <v>5275110.6241666665</v>
      </c>
      <c r="E187" s="11" t="str">
        <f t="shared" si="30"/>
        <v>23/24</v>
      </c>
      <c r="F187" s="11" t="str">
        <f t="shared" si="31"/>
        <v>Mar</v>
      </c>
      <c r="G187" s="11" t="str">
        <f t="shared" si="32"/>
        <v>Mar'23/24</v>
      </c>
      <c r="H187" s="11" t="str">
        <f t="shared" si="33"/>
        <v>Mar'23/24</v>
      </c>
      <c r="I187" s="11">
        <f t="shared" si="34"/>
        <v>53.400611977441677</v>
      </c>
    </row>
    <row r="188" spans="2:9" x14ac:dyDescent="0.55000000000000004">
      <c r="B188" s="11">
        <f t="shared" si="35"/>
        <v>10</v>
      </c>
      <c r="C188" s="11">
        <f t="shared" si="36"/>
        <v>7</v>
      </c>
      <c r="D188" s="12">
        <f t="shared" si="29"/>
        <v>5185785.617625</v>
      </c>
      <c r="E188" s="11" t="str">
        <f t="shared" si="30"/>
        <v>23/24</v>
      </c>
      <c r="F188" s="11" t="str">
        <f t="shared" si="31"/>
        <v>Apr</v>
      </c>
      <c r="G188" s="11" t="str">
        <f t="shared" si="32"/>
        <v>Apr'23/24</v>
      </c>
      <c r="H188" s="11" t="str">
        <f t="shared" si="33"/>
        <v>Apr'23/24</v>
      </c>
      <c r="I188" s="11">
        <f t="shared" si="34"/>
        <v>54.477491312066675</v>
      </c>
    </row>
    <row r="189" spans="2:9" x14ac:dyDescent="0.55000000000000004">
      <c r="B189" s="11">
        <f t="shared" si="35"/>
        <v>10</v>
      </c>
      <c r="C189" s="11">
        <f t="shared" si="36"/>
        <v>8</v>
      </c>
      <c r="D189" s="12">
        <f t="shared" si="29"/>
        <v>5611985.7264249995</v>
      </c>
      <c r="E189" s="11" t="str">
        <f t="shared" si="30"/>
        <v>23/24</v>
      </c>
      <c r="F189" s="11" t="str">
        <f t="shared" si="31"/>
        <v>May</v>
      </c>
      <c r="G189" s="11" t="str">
        <f t="shared" si="32"/>
        <v>May'23/24</v>
      </c>
      <c r="H189" s="11" t="str">
        <f t="shared" si="33"/>
        <v>May'23/24</v>
      </c>
      <c r="I189" s="11">
        <f t="shared" si="34"/>
        <v>55.989365947825007</v>
      </c>
    </row>
    <row r="190" spans="2:9" x14ac:dyDescent="0.55000000000000004">
      <c r="B190" s="11">
        <f t="shared" si="35"/>
        <v>10</v>
      </c>
      <c r="C190" s="11">
        <f t="shared" si="36"/>
        <v>9</v>
      </c>
      <c r="D190" s="12">
        <f t="shared" si="29"/>
        <v>4826861.0266666673</v>
      </c>
      <c r="E190" s="11" t="str">
        <f t="shared" si="30"/>
        <v>23/24</v>
      </c>
      <c r="F190" s="11" t="str">
        <f t="shared" si="31"/>
        <v>Jun</v>
      </c>
      <c r="G190" s="11" t="str">
        <f t="shared" si="32"/>
        <v>Jun'23/24</v>
      </c>
      <c r="H190" s="11" t="str">
        <f t="shared" si="33"/>
        <v>Jun'23/24</v>
      </c>
      <c r="I190" s="11">
        <f t="shared" si="34"/>
        <v>56.851960044450003</v>
      </c>
    </row>
    <row r="191" spans="2:9" x14ac:dyDescent="0.55000000000000004">
      <c r="B191" s="11">
        <f t="shared" si="35"/>
        <v>10</v>
      </c>
      <c r="C191" s="11">
        <f t="shared" si="36"/>
        <v>10</v>
      </c>
      <c r="D191" s="12">
        <f t="shared" si="29"/>
        <v>4727688.229716667</v>
      </c>
      <c r="E191" s="11" t="str">
        <f t="shared" si="30"/>
        <v>23/24</v>
      </c>
      <c r="F191" s="11" t="str">
        <f t="shared" si="31"/>
        <v>Jul</v>
      </c>
      <c r="G191" s="11" t="str">
        <f t="shared" si="32"/>
        <v>Jul'23/24</v>
      </c>
      <c r="H191" s="11" t="str">
        <f t="shared" si="33"/>
        <v>Jul'23/24</v>
      </c>
      <c r="I191" s="11">
        <f t="shared" si="34"/>
        <v>57.535542142916675</v>
      </c>
    </row>
    <row r="192" spans="2:9" x14ac:dyDescent="0.55000000000000004">
      <c r="B192" s="11">
        <f t="shared" si="35"/>
        <v>10</v>
      </c>
      <c r="C192" s="11">
        <f t="shared" si="36"/>
        <v>11</v>
      </c>
      <c r="D192" s="12">
        <f t="shared" si="29"/>
        <v>4453250.964625</v>
      </c>
      <c r="E192" s="11" t="str">
        <f t="shared" si="30"/>
        <v>23/24</v>
      </c>
      <c r="F192" s="11" t="str">
        <f t="shared" si="31"/>
        <v>Aug</v>
      </c>
      <c r="G192" s="11" t="str">
        <f t="shared" si="32"/>
        <v>Aug'23/24</v>
      </c>
      <c r="H192" s="11" t="str">
        <f t="shared" si="33"/>
        <v>Aug'23/24</v>
      </c>
      <c r="I192" s="11">
        <f t="shared" si="34"/>
        <v>57.69002305345834</v>
      </c>
    </row>
    <row r="193" spans="2:9" x14ac:dyDescent="0.55000000000000004">
      <c r="B193" s="11">
        <f t="shared" si="35"/>
        <v>10</v>
      </c>
      <c r="C193" s="11">
        <f t="shared" si="36"/>
        <v>12</v>
      </c>
      <c r="D193" s="12">
        <f t="shared" si="29"/>
        <v>5131459.2857499998</v>
      </c>
      <c r="E193" s="11" t="str">
        <f t="shared" si="30"/>
        <v>23/24</v>
      </c>
      <c r="F193" s="11" t="str">
        <f t="shared" si="31"/>
        <v>Sep</v>
      </c>
      <c r="G193" s="11" t="str">
        <f t="shared" si="32"/>
        <v>Sep'23/24</v>
      </c>
      <c r="H193" s="11" t="str">
        <f t="shared" si="33"/>
        <v>Sep'23/24</v>
      </c>
      <c r="I193" s="11">
        <f t="shared" si="34"/>
        <v>59.035438932325</v>
      </c>
    </row>
    <row r="194" spans="2:9" x14ac:dyDescent="0.55000000000000004">
      <c r="B194" s="11">
        <f t="shared" si="35"/>
        <v>11</v>
      </c>
      <c r="C194" s="11">
        <f t="shared" si="36"/>
        <v>1</v>
      </c>
      <c r="D194" s="12">
        <f t="shared" si="29"/>
        <v>5564702.4651583331</v>
      </c>
      <c r="E194" s="11" t="str">
        <f t="shared" si="30"/>
        <v>24/25</v>
      </c>
      <c r="F194" s="11" t="str">
        <f t="shared" si="31"/>
        <v>Oct</v>
      </c>
      <c r="G194" s="11" t="str">
        <f t="shared" si="32"/>
        <v>Oct'24/25</v>
      </c>
      <c r="H194" s="11" t="str">
        <f t="shared" si="33"/>
        <v>Oct'24/25</v>
      </c>
      <c r="I194" s="11">
        <f t="shared" si="34"/>
        <v>59.862349712083336</v>
      </c>
    </row>
    <row r="195" spans="2:9" x14ac:dyDescent="0.55000000000000004">
      <c r="B195" s="11">
        <f t="shared" si="35"/>
        <v>11</v>
      </c>
      <c r="C195" s="11">
        <f t="shared" si="36"/>
        <v>2</v>
      </c>
      <c r="D195" s="12">
        <f t="shared" si="29"/>
        <v>5308141.7483999999</v>
      </c>
      <c r="E195" s="11" t="str">
        <f t="shared" si="30"/>
        <v>24/25</v>
      </c>
      <c r="F195" s="11" t="str">
        <f t="shared" si="31"/>
        <v>Nov</v>
      </c>
      <c r="G195" s="11" t="str">
        <f t="shared" si="32"/>
        <v>Nov'24/25</v>
      </c>
      <c r="H195" s="11" t="str">
        <f t="shared" si="33"/>
        <v>Nov'24/25</v>
      </c>
      <c r="I195" s="11">
        <f t="shared" si="34"/>
        <v>60.422224348316668</v>
      </c>
    </row>
    <row r="196" spans="2:9" x14ac:dyDescent="0.55000000000000004">
      <c r="B196" s="11">
        <f t="shared" si="35"/>
        <v>11</v>
      </c>
      <c r="C196" s="11">
        <f t="shared" si="36"/>
        <v>3</v>
      </c>
      <c r="D196" s="12">
        <f t="shared" si="29"/>
        <v>5764797.680333334</v>
      </c>
      <c r="E196" s="11" t="str">
        <f t="shared" si="30"/>
        <v>24/25</v>
      </c>
      <c r="F196" s="11" t="str">
        <f t="shared" si="31"/>
        <v>Dec</v>
      </c>
      <c r="G196" s="11" t="str">
        <f t="shared" si="32"/>
        <v>Dec'24/25</v>
      </c>
      <c r="H196" s="11" t="str">
        <f t="shared" si="33"/>
        <v>Dec'24/25</v>
      </c>
      <c r="I196" s="11">
        <f t="shared" si="34"/>
        <v>61.388432605616671</v>
      </c>
    </row>
    <row r="197" spans="2:9" x14ac:dyDescent="0.55000000000000004">
      <c r="B197" s="11">
        <f t="shared" si="35"/>
        <v>11</v>
      </c>
      <c r="C197" s="11">
        <f t="shared" si="36"/>
        <v>4</v>
      </c>
      <c r="D197" s="12">
        <f t="shared" si="29"/>
        <v>5163907.5873250002</v>
      </c>
      <c r="E197" s="11" t="str">
        <f t="shared" si="30"/>
        <v>24/25</v>
      </c>
      <c r="F197" s="11" t="str">
        <f t="shared" si="31"/>
        <v>Jan</v>
      </c>
      <c r="G197" s="11" t="str">
        <f t="shared" si="32"/>
        <v>Jan'24/25</v>
      </c>
      <c r="H197" s="11" t="str">
        <f t="shared" si="33"/>
        <v>Jan'24/25</v>
      </c>
      <c r="I197" s="11">
        <f t="shared" si="34"/>
        <v>61.782378701108335</v>
      </c>
    </row>
    <row r="198" spans="2:9" x14ac:dyDescent="0.55000000000000004">
      <c r="B198" s="11">
        <f t="shared" si="35"/>
        <v>11</v>
      </c>
      <c r="C198" s="11">
        <f t="shared" si="36"/>
        <v>5</v>
      </c>
      <c r="D198" s="12">
        <f t="shared" si="29"/>
        <v>5163806.8696666667</v>
      </c>
      <c r="E198" s="11" t="str">
        <f t="shared" si="30"/>
        <v>24/25</v>
      </c>
      <c r="F198" s="11" t="str">
        <f t="shared" si="31"/>
        <v>Feb</v>
      </c>
      <c r="G198" s="11" t="str">
        <f t="shared" si="32"/>
        <v>Feb'24/25</v>
      </c>
      <c r="H198" s="11" t="str">
        <f t="shared" si="33"/>
        <v>Feb'24/25</v>
      </c>
      <c r="I198" s="11">
        <f t="shared" si="34"/>
        <v>62.177497825858332</v>
      </c>
    </row>
    <row r="199" spans="2:9" x14ac:dyDescent="0.55000000000000004">
      <c r="B199" s="11">
        <f t="shared" si="35"/>
        <v>11</v>
      </c>
      <c r="C199" s="11">
        <f t="shared" si="36"/>
        <v>6</v>
      </c>
      <c r="D199" s="12">
        <f t="shared" si="29"/>
        <v>5614746.7219999991</v>
      </c>
      <c r="E199" s="11" t="str">
        <f t="shared" si="30"/>
        <v>24/25</v>
      </c>
      <c r="F199" s="11" t="str">
        <f t="shared" si="31"/>
        <v>Mar</v>
      </c>
      <c r="G199" s="11" t="str">
        <f t="shared" si="32"/>
        <v>Mar'24/25</v>
      </c>
      <c r="H199" s="11" t="str">
        <f t="shared" si="33"/>
        <v>Mar'24/25</v>
      </c>
      <c r="I199" s="11">
        <f t="shared" si="34"/>
        <v>62.517133923691674</v>
      </c>
    </row>
    <row r="200" spans="2:9" x14ac:dyDescent="0.55000000000000004">
      <c r="B200" s="11">
        <f t="shared" si="35"/>
        <v>11</v>
      </c>
      <c r="C200" s="11">
        <f t="shared" si="36"/>
        <v>7</v>
      </c>
      <c r="D200" s="12">
        <f t="shared" si="29"/>
        <v>4854481.1579999998</v>
      </c>
      <c r="E200" s="11" t="str">
        <f t="shared" si="30"/>
        <v>24/25</v>
      </c>
      <c r="F200" s="11" t="str">
        <f t="shared" si="31"/>
        <v>Apr</v>
      </c>
      <c r="G200" s="11" t="str">
        <f t="shared" si="32"/>
        <v>Apr'24/25</v>
      </c>
      <c r="H200" s="11" t="str">
        <f t="shared" si="33"/>
        <v>Apr'24/25</v>
      </c>
      <c r="I200" s="11">
        <f t="shared" si="34"/>
        <v>62.185829464066664</v>
      </c>
    </row>
    <row r="201" spans="2:9" x14ac:dyDescent="0.55000000000000004">
      <c r="B201" s="11">
        <f t="shared" si="35"/>
        <v>11</v>
      </c>
      <c r="C201" s="11">
        <f t="shared" si="36"/>
        <v>8</v>
      </c>
      <c r="D201" s="12">
        <f t="shared" si="29"/>
        <v>5067930.5233333334</v>
      </c>
      <c r="E201" s="11" t="str">
        <f t="shared" si="30"/>
        <v>24/25</v>
      </c>
      <c r="F201" s="11" t="str">
        <f t="shared" si="31"/>
        <v>May</v>
      </c>
      <c r="G201" s="11" t="str">
        <f t="shared" si="32"/>
        <v>May'24/25</v>
      </c>
      <c r="H201" s="11" t="str">
        <f t="shared" si="33"/>
        <v>May'24/25</v>
      </c>
      <c r="I201" s="11">
        <f t="shared" si="34"/>
        <v>61.641774260974991</v>
      </c>
    </row>
    <row r="202" spans="2:9" x14ac:dyDescent="0.55000000000000004">
      <c r="B202" s="11">
        <f t="shared" si="35"/>
        <v>11</v>
      </c>
      <c r="C202" s="11">
        <f t="shared" si="36"/>
        <v>9</v>
      </c>
      <c r="D202" s="12">
        <f t="shared" si="29"/>
        <v>4386555.1286666673</v>
      </c>
      <c r="E202" s="11" t="str">
        <f t="shared" si="30"/>
        <v>24/25</v>
      </c>
      <c r="F202" s="11" t="str">
        <f t="shared" si="31"/>
        <v>Jun</v>
      </c>
      <c r="G202" s="11" t="str">
        <f t="shared" si="32"/>
        <v>Jun'24/25</v>
      </c>
      <c r="H202" s="11" t="str">
        <f t="shared" si="33"/>
        <v>Jun'24/25</v>
      </c>
      <c r="I202" s="11">
        <f t="shared" si="34"/>
        <v>61.201468362975</v>
      </c>
    </row>
    <row r="203" spans="2:9" x14ac:dyDescent="0.55000000000000004">
      <c r="B203" s="11">
        <f t="shared" si="35"/>
        <v>11</v>
      </c>
      <c r="C203" s="11">
        <f t="shared" si="36"/>
        <v>10</v>
      </c>
      <c r="D203" s="12">
        <f t="shared" ref="D203:D229" si="37">INDEX($C$7:$N$19,MATCH(B203,$A$7:$A$19),MATCH(C203,$C$4:$N$4))</f>
        <v>4436191.1946666669</v>
      </c>
      <c r="E203" s="11" t="str">
        <f t="shared" ref="E203:E229" si="38">_xlfn.XLOOKUP(B203,$A$7:$A$19,$B$7:$B$19)</f>
        <v>24/25</v>
      </c>
      <c r="F203" s="11" t="str">
        <f t="shared" ref="F203:F229" si="39">_xlfn.XLOOKUP(C203,$C$4:$N$4,$C$6:$N$6)</f>
        <v>Jul</v>
      </c>
      <c r="G203" s="11" t="str">
        <f t="shared" ref="G203:G229" si="40">_xlfn.CONCAT(F203,"'",E203)</f>
        <v>Jul'24/25</v>
      </c>
      <c r="H203" s="11" t="str">
        <f t="shared" si="33"/>
        <v>Jul'24/25</v>
      </c>
      <c r="I203" s="11">
        <f t="shared" si="34"/>
        <v>60.909971327925</v>
      </c>
    </row>
    <row r="204" spans="2:9" x14ac:dyDescent="0.55000000000000004">
      <c r="B204" s="11">
        <f t="shared" si="35"/>
        <v>11</v>
      </c>
      <c r="C204" s="11">
        <f t="shared" si="36"/>
        <v>11</v>
      </c>
      <c r="D204" s="12">
        <f t="shared" si="37"/>
        <v>4273564.828555556</v>
      </c>
      <c r="E204" s="11" t="str">
        <f t="shared" si="38"/>
        <v>24/25</v>
      </c>
      <c r="F204" s="11" t="str">
        <f t="shared" si="39"/>
        <v>Aug</v>
      </c>
      <c r="G204" s="11" t="str">
        <f t="shared" si="40"/>
        <v>Aug'24/25</v>
      </c>
      <c r="H204" s="11" t="str">
        <f t="shared" si="33"/>
        <v>Aug'24/25</v>
      </c>
      <c r="I204" s="11">
        <f t="shared" si="34"/>
        <v>60.730285191855558</v>
      </c>
    </row>
    <row r="205" spans="2:9" x14ac:dyDescent="0.55000000000000004">
      <c r="B205" s="11">
        <f t="shared" si="35"/>
        <v>11</v>
      </c>
      <c r="C205" s="11">
        <f t="shared" si="36"/>
        <v>12</v>
      </c>
      <c r="D205" s="12">
        <f t="shared" si="37"/>
        <v>4674168.4143137261</v>
      </c>
      <c r="E205" s="11" t="str">
        <f t="shared" si="38"/>
        <v>24/25</v>
      </c>
      <c r="F205" s="11" t="str">
        <f t="shared" si="39"/>
        <v>Sep</v>
      </c>
      <c r="G205" s="11" t="str">
        <f t="shared" si="40"/>
        <v>Sep'24/25</v>
      </c>
      <c r="H205" s="11" t="str">
        <f t="shared" si="33"/>
        <v>Sep'24/25</v>
      </c>
      <c r="I205" s="11">
        <f t="shared" si="34"/>
        <v>60.272994320419279</v>
      </c>
    </row>
    <row r="206" spans="2:9" x14ac:dyDescent="0.55000000000000004">
      <c r="B206" s="11">
        <f t="shared" si="35"/>
        <v>12</v>
      </c>
      <c r="C206" s="11">
        <f t="shared" si="36"/>
        <v>1</v>
      </c>
      <c r="D206" s="12">
        <f t="shared" si="37"/>
        <v>5081987.2366666663</v>
      </c>
      <c r="E206" s="11" t="str">
        <f t="shared" si="38"/>
        <v>25/26</v>
      </c>
      <c r="F206" s="11" t="str">
        <f t="shared" si="39"/>
        <v>Oct</v>
      </c>
      <c r="G206" s="11" t="str">
        <f t="shared" si="40"/>
        <v>Oct'25/26</v>
      </c>
      <c r="H206" s="11" t="str">
        <f t="shared" si="33"/>
        <v>Oct'25/26</v>
      </c>
      <c r="I206" s="11">
        <f t="shared" si="34"/>
        <v>59.790279091927609</v>
      </c>
    </row>
    <row r="207" spans="2:9" x14ac:dyDescent="0.55000000000000004">
      <c r="B207" s="11">
        <f t="shared" si="35"/>
        <v>12</v>
      </c>
      <c r="C207" s="11">
        <f t="shared" si="36"/>
        <v>2</v>
      </c>
      <c r="D207" s="12">
        <f t="shared" si="37"/>
        <v>4855668.3573333332</v>
      </c>
      <c r="E207" s="11" t="str">
        <f t="shared" si="38"/>
        <v>25/26</v>
      </c>
      <c r="F207" s="11" t="str">
        <f t="shared" si="39"/>
        <v>Nov</v>
      </c>
      <c r="G207" s="11" t="str">
        <f t="shared" si="40"/>
        <v>Nov'25/26</v>
      </c>
      <c r="H207" s="11" t="str">
        <f t="shared" si="33"/>
        <v>Nov'25/26</v>
      </c>
      <c r="I207" s="11">
        <f t="shared" si="34"/>
        <v>59.337805700860947</v>
      </c>
    </row>
    <row r="208" spans="2:9" x14ac:dyDescent="0.55000000000000004">
      <c r="B208" s="11">
        <f t="shared" si="35"/>
        <v>12</v>
      </c>
      <c r="C208" s="11">
        <f t="shared" si="36"/>
        <v>3</v>
      </c>
      <c r="D208" s="12">
        <f t="shared" si="37"/>
        <v>4431905.4316666666</v>
      </c>
      <c r="E208" s="11" t="str">
        <f t="shared" si="38"/>
        <v>25/26</v>
      </c>
      <c r="F208" s="11" t="str">
        <f t="shared" si="39"/>
        <v>Dec</v>
      </c>
      <c r="G208" s="11" t="str">
        <f t="shared" si="40"/>
        <v>Dec'25/26</v>
      </c>
      <c r="H208" s="11" t="str">
        <f t="shared" si="33"/>
        <v>Dec'25/26</v>
      </c>
      <c r="I208" s="11">
        <f t="shared" si="34"/>
        <v>58.00491345219428</v>
      </c>
    </row>
    <row r="209" spans="2:9" x14ac:dyDescent="0.55000000000000004">
      <c r="B209" s="11">
        <f t="shared" si="35"/>
        <v>12</v>
      </c>
      <c r="C209" s="11">
        <f t="shared" si="36"/>
        <v>4</v>
      </c>
      <c r="D209" s="12">
        <f t="shared" si="37"/>
        <v>4192001.6666666665</v>
      </c>
      <c r="E209" s="11" t="str">
        <f t="shared" si="38"/>
        <v>25/26</v>
      </c>
      <c r="F209" s="11" t="str">
        <f t="shared" si="39"/>
        <v>Jan</v>
      </c>
      <c r="G209" s="11" t="str">
        <f t="shared" si="40"/>
        <v>Jan'25/26</v>
      </c>
      <c r="H209" s="11" t="str">
        <f t="shared" si="33"/>
        <v>Jan'25/26</v>
      </c>
      <c r="I209" s="11">
        <f t="shared" si="34"/>
        <v>57.033007531535937</v>
      </c>
    </row>
    <row r="210" spans="2:9" x14ac:dyDescent="0.55000000000000004">
      <c r="B210" s="11">
        <f t="shared" si="35"/>
        <v>12</v>
      </c>
      <c r="C210" s="11">
        <f t="shared" si="36"/>
        <v>5</v>
      </c>
      <c r="D210" s="12">
        <f t="shared" si="37"/>
        <v>4142604.3333333335</v>
      </c>
      <c r="E210" s="11" t="str">
        <f t="shared" si="38"/>
        <v>25/26</v>
      </c>
      <c r="F210" s="11" t="str">
        <f t="shared" si="39"/>
        <v>Feb</v>
      </c>
      <c r="G210" s="11" t="str">
        <f t="shared" si="40"/>
        <v>Feb'25/26</v>
      </c>
      <c r="H210" s="11" t="str">
        <f t="shared" si="33"/>
        <v>Feb'25/26</v>
      </c>
      <c r="I210" s="11">
        <f t="shared" si="34"/>
        <v>56.01180499520261</v>
      </c>
    </row>
    <row r="211" spans="2:9" x14ac:dyDescent="0.55000000000000004">
      <c r="B211" s="11">
        <f t="shared" si="35"/>
        <v>12</v>
      </c>
      <c r="C211" s="11">
        <f t="shared" si="36"/>
        <v>6</v>
      </c>
      <c r="D211" s="12">
        <f t="shared" si="37"/>
        <v>4551158</v>
      </c>
      <c r="E211" s="11" t="str">
        <f t="shared" si="38"/>
        <v>25/26</v>
      </c>
      <c r="F211" s="11" t="str">
        <f t="shared" si="39"/>
        <v>Mar</v>
      </c>
      <c r="G211" s="11" t="str">
        <f t="shared" si="40"/>
        <v>Mar'25/26</v>
      </c>
      <c r="H211" s="11" t="str">
        <f t="shared" si="33"/>
        <v>Mar'25/26</v>
      </c>
      <c r="I211" s="11">
        <f t="shared" si="34"/>
        <v>54.948216273202611</v>
      </c>
    </row>
    <row r="212" spans="2:9" x14ac:dyDescent="0.55000000000000004">
      <c r="B212" s="11">
        <f t="shared" si="35"/>
        <v>12</v>
      </c>
      <c r="C212" s="11">
        <f t="shared" si="36"/>
        <v>7</v>
      </c>
      <c r="D212" s="12">
        <f t="shared" si="37"/>
        <v>4348929.333333333</v>
      </c>
      <c r="E212" s="11" t="str">
        <f t="shared" si="38"/>
        <v>25/26</v>
      </c>
      <c r="F212" s="11" t="str">
        <f t="shared" si="39"/>
        <v>Apr</v>
      </c>
      <c r="G212" s="11" t="str">
        <f t="shared" si="40"/>
        <v>Apr'25/26</v>
      </c>
      <c r="H212" s="11" t="str">
        <f t="shared" si="33"/>
        <v>Apr'25/26</v>
      </c>
      <c r="I212" s="11">
        <f t="shared" si="34"/>
        <v>54.44266444853595</v>
      </c>
    </row>
    <row r="213" spans="2:9" x14ac:dyDescent="0.55000000000000004">
      <c r="B213" s="11">
        <f t="shared" si="35"/>
        <v>12</v>
      </c>
      <c r="C213" s="11">
        <f t="shared" si="36"/>
        <v>8</v>
      </c>
      <c r="D213" s="12">
        <f t="shared" si="37"/>
        <v>4492479</v>
      </c>
      <c r="E213" s="11" t="str">
        <f t="shared" si="38"/>
        <v>25/26</v>
      </c>
      <c r="F213" s="11" t="str">
        <f t="shared" si="39"/>
        <v>May</v>
      </c>
      <c r="G213" s="11" t="str">
        <f t="shared" si="40"/>
        <v>May'25/26</v>
      </c>
      <c r="H213" s="11" t="str">
        <f t="shared" si="33"/>
        <v>May'25/26</v>
      </c>
      <c r="I213" s="11">
        <f t="shared" si="34"/>
        <v>53.867212925202615</v>
      </c>
    </row>
    <row r="214" spans="2:9" x14ac:dyDescent="0.55000000000000004">
      <c r="B214" s="11">
        <f t="shared" si="35"/>
        <v>12</v>
      </c>
      <c r="C214" s="11">
        <f t="shared" si="36"/>
        <v>9</v>
      </c>
      <c r="D214" s="12" t="e">
        <f t="shared" si="37"/>
        <v>#N/A</v>
      </c>
      <c r="E214" s="11" t="str">
        <f t="shared" si="38"/>
        <v>25/26</v>
      </c>
      <c r="F214" s="11" t="str">
        <f t="shared" si="39"/>
        <v>Jun</v>
      </c>
      <c r="G214" s="11" t="str">
        <f t="shared" si="40"/>
        <v>Jun'25/26</v>
      </c>
      <c r="H214" s="11" t="str">
        <f t="shared" ref="H214:H229" si="41">G214</f>
        <v>Jun'25/26</v>
      </c>
      <c r="I214" s="11" t="e">
        <f t="shared" ref="I214:I229" si="42">SUM(D203:D214)/1000000</f>
        <v>#N/A</v>
      </c>
    </row>
    <row r="215" spans="2:9" x14ac:dyDescent="0.55000000000000004">
      <c r="B215" s="11">
        <f t="shared" ref="B215:B229" si="43">B203+1</f>
        <v>12</v>
      </c>
      <c r="C215" s="11">
        <f t="shared" ref="C215:C229" si="44">C203</f>
        <v>10</v>
      </c>
      <c r="D215" s="12" t="e">
        <f t="shared" si="37"/>
        <v>#N/A</v>
      </c>
      <c r="E215" s="11" t="str">
        <f t="shared" si="38"/>
        <v>25/26</v>
      </c>
      <c r="F215" s="11" t="str">
        <f t="shared" si="39"/>
        <v>Jul</v>
      </c>
      <c r="G215" s="11" t="str">
        <f t="shared" si="40"/>
        <v>Jul'25/26</v>
      </c>
      <c r="H215" s="11" t="str">
        <f t="shared" si="41"/>
        <v>Jul'25/26</v>
      </c>
      <c r="I215" s="11" t="e">
        <f t="shared" si="42"/>
        <v>#N/A</v>
      </c>
    </row>
    <row r="216" spans="2:9" x14ac:dyDescent="0.55000000000000004">
      <c r="B216" s="11">
        <f t="shared" si="43"/>
        <v>12</v>
      </c>
      <c r="C216" s="11">
        <f t="shared" si="44"/>
        <v>11</v>
      </c>
      <c r="D216" s="12" t="e">
        <f t="shared" si="37"/>
        <v>#N/A</v>
      </c>
      <c r="E216" s="11" t="str">
        <f t="shared" si="38"/>
        <v>25/26</v>
      </c>
      <c r="F216" s="11" t="str">
        <f t="shared" si="39"/>
        <v>Aug</v>
      </c>
      <c r="G216" s="11" t="str">
        <f t="shared" si="40"/>
        <v>Aug'25/26</v>
      </c>
      <c r="H216" s="11" t="str">
        <f t="shared" si="41"/>
        <v>Aug'25/26</v>
      </c>
      <c r="I216" s="11" t="e">
        <f t="shared" si="42"/>
        <v>#N/A</v>
      </c>
    </row>
    <row r="217" spans="2:9" x14ac:dyDescent="0.55000000000000004">
      <c r="B217" s="11">
        <f t="shared" si="43"/>
        <v>12</v>
      </c>
      <c r="C217" s="11">
        <f t="shared" si="44"/>
        <v>12</v>
      </c>
      <c r="D217" s="12" t="e">
        <f t="shared" si="37"/>
        <v>#N/A</v>
      </c>
      <c r="E217" s="11" t="str">
        <f t="shared" si="38"/>
        <v>25/26</v>
      </c>
      <c r="F217" s="11" t="str">
        <f t="shared" si="39"/>
        <v>Sep</v>
      </c>
      <c r="G217" s="11" t="str">
        <f t="shared" si="40"/>
        <v>Sep'25/26</v>
      </c>
      <c r="H217" s="11" t="str">
        <f t="shared" si="41"/>
        <v>Sep'25/26</v>
      </c>
      <c r="I217" s="11" t="e">
        <f t="shared" si="42"/>
        <v>#N/A</v>
      </c>
    </row>
    <row r="218" spans="2:9" x14ac:dyDescent="0.55000000000000004">
      <c r="B218" s="11">
        <f t="shared" si="43"/>
        <v>13</v>
      </c>
      <c r="C218" s="11">
        <f t="shared" si="44"/>
        <v>1</v>
      </c>
      <c r="D218" s="12" t="e">
        <f t="shared" si="37"/>
        <v>#N/A</v>
      </c>
      <c r="E218" s="11" t="str">
        <f t="shared" si="38"/>
        <v>26/27</v>
      </c>
      <c r="F218" s="11" t="str">
        <f t="shared" si="39"/>
        <v>Oct</v>
      </c>
      <c r="G218" s="11" t="str">
        <f t="shared" si="40"/>
        <v>Oct'26/27</v>
      </c>
      <c r="H218" s="11" t="str">
        <f t="shared" si="41"/>
        <v>Oct'26/27</v>
      </c>
      <c r="I218" s="11" t="e">
        <f t="shared" si="42"/>
        <v>#N/A</v>
      </c>
    </row>
    <row r="219" spans="2:9" x14ac:dyDescent="0.55000000000000004">
      <c r="B219" s="11">
        <f t="shared" si="43"/>
        <v>13</v>
      </c>
      <c r="C219" s="11">
        <f t="shared" si="44"/>
        <v>2</v>
      </c>
      <c r="D219" s="12" t="e">
        <f t="shared" si="37"/>
        <v>#N/A</v>
      </c>
      <c r="E219" s="11" t="str">
        <f t="shared" si="38"/>
        <v>26/27</v>
      </c>
      <c r="F219" s="11" t="str">
        <f t="shared" si="39"/>
        <v>Nov</v>
      </c>
      <c r="G219" s="11" t="str">
        <f t="shared" si="40"/>
        <v>Nov'26/27</v>
      </c>
      <c r="H219" s="11" t="str">
        <f t="shared" si="41"/>
        <v>Nov'26/27</v>
      </c>
      <c r="I219" s="11" t="e">
        <f t="shared" si="42"/>
        <v>#N/A</v>
      </c>
    </row>
    <row r="220" spans="2:9" x14ac:dyDescent="0.55000000000000004">
      <c r="B220" s="11">
        <f t="shared" si="43"/>
        <v>13</v>
      </c>
      <c r="C220" s="11">
        <f t="shared" si="44"/>
        <v>3</v>
      </c>
      <c r="D220" s="12" t="e">
        <f t="shared" si="37"/>
        <v>#N/A</v>
      </c>
      <c r="E220" s="11" t="str">
        <f t="shared" si="38"/>
        <v>26/27</v>
      </c>
      <c r="F220" s="11" t="str">
        <f t="shared" si="39"/>
        <v>Dec</v>
      </c>
      <c r="G220" s="11" t="str">
        <f t="shared" si="40"/>
        <v>Dec'26/27</v>
      </c>
      <c r="H220" s="11" t="str">
        <f t="shared" si="41"/>
        <v>Dec'26/27</v>
      </c>
      <c r="I220" s="11" t="e">
        <f t="shared" si="42"/>
        <v>#N/A</v>
      </c>
    </row>
    <row r="221" spans="2:9" x14ac:dyDescent="0.55000000000000004">
      <c r="B221" s="11">
        <f t="shared" si="43"/>
        <v>13</v>
      </c>
      <c r="C221" s="11">
        <f t="shared" si="44"/>
        <v>4</v>
      </c>
      <c r="D221" s="12" t="e">
        <f t="shared" si="37"/>
        <v>#N/A</v>
      </c>
      <c r="E221" s="11" t="str">
        <f t="shared" si="38"/>
        <v>26/27</v>
      </c>
      <c r="F221" s="11" t="str">
        <f t="shared" si="39"/>
        <v>Jan</v>
      </c>
      <c r="G221" s="11" t="str">
        <f t="shared" si="40"/>
        <v>Jan'26/27</v>
      </c>
      <c r="H221" s="11" t="str">
        <f t="shared" si="41"/>
        <v>Jan'26/27</v>
      </c>
      <c r="I221" s="11" t="e">
        <f t="shared" si="42"/>
        <v>#N/A</v>
      </c>
    </row>
    <row r="222" spans="2:9" x14ac:dyDescent="0.55000000000000004">
      <c r="B222" s="11">
        <f t="shared" si="43"/>
        <v>13</v>
      </c>
      <c r="C222" s="11">
        <f t="shared" si="44"/>
        <v>5</v>
      </c>
      <c r="D222" s="12" t="e">
        <f t="shared" si="37"/>
        <v>#N/A</v>
      </c>
      <c r="E222" s="11" t="str">
        <f t="shared" si="38"/>
        <v>26/27</v>
      </c>
      <c r="F222" s="11" t="str">
        <f t="shared" si="39"/>
        <v>Feb</v>
      </c>
      <c r="G222" s="11" t="str">
        <f t="shared" si="40"/>
        <v>Feb'26/27</v>
      </c>
      <c r="H222" s="11" t="str">
        <f t="shared" si="41"/>
        <v>Feb'26/27</v>
      </c>
      <c r="I222" s="11" t="e">
        <f t="shared" si="42"/>
        <v>#N/A</v>
      </c>
    </row>
    <row r="223" spans="2:9" x14ac:dyDescent="0.55000000000000004">
      <c r="B223" s="11">
        <f t="shared" si="43"/>
        <v>13</v>
      </c>
      <c r="C223" s="11">
        <f t="shared" si="44"/>
        <v>6</v>
      </c>
      <c r="D223" s="12" t="e">
        <f t="shared" si="37"/>
        <v>#N/A</v>
      </c>
      <c r="E223" s="11" t="str">
        <f t="shared" si="38"/>
        <v>26/27</v>
      </c>
      <c r="F223" s="11" t="str">
        <f t="shared" si="39"/>
        <v>Mar</v>
      </c>
      <c r="G223" s="11" t="str">
        <f t="shared" si="40"/>
        <v>Mar'26/27</v>
      </c>
      <c r="H223" s="11" t="str">
        <f t="shared" si="41"/>
        <v>Mar'26/27</v>
      </c>
      <c r="I223" s="11" t="e">
        <f t="shared" si="42"/>
        <v>#N/A</v>
      </c>
    </row>
    <row r="224" spans="2:9" x14ac:dyDescent="0.55000000000000004">
      <c r="B224" s="11">
        <f t="shared" si="43"/>
        <v>13</v>
      </c>
      <c r="C224" s="11">
        <f t="shared" si="44"/>
        <v>7</v>
      </c>
      <c r="D224" s="12" t="e">
        <f t="shared" si="37"/>
        <v>#N/A</v>
      </c>
      <c r="E224" s="11" t="str">
        <f t="shared" si="38"/>
        <v>26/27</v>
      </c>
      <c r="F224" s="11" t="str">
        <f t="shared" si="39"/>
        <v>Apr</v>
      </c>
      <c r="G224" s="11" t="str">
        <f t="shared" si="40"/>
        <v>Apr'26/27</v>
      </c>
      <c r="H224" s="11" t="str">
        <f t="shared" si="41"/>
        <v>Apr'26/27</v>
      </c>
      <c r="I224" s="11" t="e">
        <f t="shared" si="42"/>
        <v>#N/A</v>
      </c>
    </row>
    <row r="225" spans="2:9" x14ac:dyDescent="0.55000000000000004">
      <c r="B225" s="11">
        <f t="shared" si="43"/>
        <v>13</v>
      </c>
      <c r="C225" s="11">
        <f t="shared" si="44"/>
        <v>8</v>
      </c>
      <c r="D225" s="12" t="e">
        <f t="shared" si="37"/>
        <v>#N/A</v>
      </c>
      <c r="E225" s="11" t="str">
        <f t="shared" si="38"/>
        <v>26/27</v>
      </c>
      <c r="F225" s="11" t="str">
        <f t="shared" si="39"/>
        <v>May</v>
      </c>
      <c r="G225" s="11" t="str">
        <f t="shared" si="40"/>
        <v>May'26/27</v>
      </c>
      <c r="H225" s="11" t="str">
        <f t="shared" si="41"/>
        <v>May'26/27</v>
      </c>
      <c r="I225" s="11" t="e">
        <f t="shared" si="42"/>
        <v>#N/A</v>
      </c>
    </row>
    <row r="226" spans="2:9" x14ac:dyDescent="0.55000000000000004">
      <c r="B226" s="11">
        <f t="shared" si="43"/>
        <v>13</v>
      </c>
      <c r="C226" s="11">
        <f t="shared" si="44"/>
        <v>9</v>
      </c>
      <c r="D226" s="12" t="e">
        <f t="shared" si="37"/>
        <v>#N/A</v>
      </c>
      <c r="E226" s="11" t="str">
        <f t="shared" si="38"/>
        <v>26/27</v>
      </c>
      <c r="F226" s="11" t="str">
        <f t="shared" si="39"/>
        <v>Jun</v>
      </c>
      <c r="G226" s="11" t="str">
        <f t="shared" si="40"/>
        <v>Jun'26/27</v>
      </c>
      <c r="H226" s="11" t="str">
        <f t="shared" si="41"/>
        <v>Jun'26/27</v>
      </c>
      <c r="I226" s="11" t="e">
        <f t="shared" si="42"/>
        <v>#N/A</v>
      </c>
    </row>
    <row r="227" spans="2:9" x14ac:dyDescent="0.55000000000000004">
      <c r="B227" s="11">
        <f t="shared" si="43"/>
        <v>13</v>
      </c>
      <c r="C227" s="11">
        <f t="shared" si="44"/>
        <v>10</v>
      </c>
      <c r="D227" s="12" t="e">
        <f t="shared" si="37"/>
        <v>#N/A</v>
      </c>
      <c r="E227" s="11" t="str">
        <f t="shared" si="38"/>
        <v>26/27</v>
      </c>
      <c r="F227" s="11" t="str">
        <f t="shared" si="39"/>
        <v>Jul</v>
      </c>
      <c r="G227" s="11" t="str">
        <f t="shared" si="40"/>
        <v>Jul'26/27</v>
      </c>
      <c r="H227" s="11" t="str">
        <f t="shared" si="41"/>
        <v>Jul'26/27</v>
      </c>
      <c r="I227" s="11" t="e">
        <f t="shared" si="42"/>
        <v>#N/A</v>
      </c>
    </row>
    <row r="228" spans="2:9" x14ac:dyDescent="0.55000000000000004">
      <c r="B228" s="11">
        <f t="shared" si="43"/>
        <v>13</v>
      </c>
      <c r="C228" s="11">
        <f t="shared" si="44"/>
        <v>11</v>
      </c>
      <c r="D228" s="12" t="e">
        <f t="shared" si="37"/>
        <v>#N/A</v>
      </c>
      <c r="E228" s="11" t="str">
        <f t="shared" si="38"/>
        <v>26/27</v>
      </c>
      <c r="F228" s="11" t="str">
        <f t="shared" si="39"/>
        <v>Aug</v>
      </c>
      <c r="G228" s="11" t="str">
        <f t="shared" si="40"/>
        <v>Aug'26/27</v>
      </c>
      <c r="H228" s="11" t="str">
        <f t="shared" si="41"/>
        <v>Aug'26/27</v>
      </c>
      <c r="I228" s="11" t="e">
        <f t="shared" si="42"/>
        <v>#N/A</v>
      </c>
    </row>
    <row r="229" spans="2:9" x14ac:dyDescent="0.55000000000000004">
      <c r="B229" s="11">
        <f t="shared" si="43"/>
        <v>13</v>
      </c>
      <c r="C229" s="11">
        <f t="shared" si="44"/>
        <v>12</v>
      </c>
      <c r="D229" s="12" t="e">
        <f t="shared" si="37"/>
        <v>#N/A</v>
      </c>
      <c r="E229" s="11" t="str">
        <f t="shared" si="38"/>
        <v>26/27</v>
      </c>
      <c r="F229" s="11" t="str">
        <f t="shared" si="39"/>
        <v>Sep</v>
      </c>
      <c r="G229" s="11" t="str">
        <f t="shared" si="40"/>
        <v>Sep'26/27</v>
      </c>
      <c r="H229" s="11" t="str">
        <f t="shared" si="41"/>
        <v>Sep'26/27</v>
      </c>
      <c r="I229" s="11" t="e">
        <f t="shared" si="42"/>
        <v>#N/A</v>
      </c>
    </row>
  </sheetData>
  <mergeCells count="5">
    <mergeCell ref="C5:N5"/>
    <mergeCell ref="S6:U6"/>
    <mergeCell ref="N74:Y74"/>
    <mergeCell ref="A1:P2"/>
    <mergeCell ref="Q1:V2"/>
  </mergeCells>
  <conditionalFormatting sqref="C7:N19">
    <cfRule type="cellIs" dxfId="17" priority="1" operator="greaterThanOrEqual">
      <formula>0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{030BA868-D57E-4917-8CA4-0F577FFE4462}</x14:id>
        </ext>
      </extLst>
    </cfRule>
  </conditionalFormatting>
  <conditionalFormatting sqref="Q17:Q1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{94F40160-7775-448C-BFBC-566F44B8CAF0}</x14:id>
        </ext>
      </extLst>
    </cfRule>
  </conditionalFormatting>
  <conditionalFormatting sqref="T7:T19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{A8E1F452-CF1A-4892-B58E-FBB7D2E068DB}</x14:id>
        </ext>
      </extLst>
    </cfRule>
  </conditionalFormatting>
  <conditionalFormatting sqref="U1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{5D0A823C-03BD-4898-8B9B-C96EE407C143}</x14:id>
        </ext>
      </extLst>
    </cfRule>
  </conditionalFormatting>
  <pageMargins left="0.7" right="0.7" top="0.75" bottom="0.75" header="0.3" footer="0.3"/>
  <ignoredErrors>
    <ignoredError sqref="F17:N19 C18:E19" evalError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0BA868-D57E-4917-8CA4-0F577FFE44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Q8:Q16</xm:sqref>
        </x14:conditionalFormatting>
        <x14:conditionalFormatting xmlns:xm="http://schemas.microsoft.com/office/excel/2006/main">
          <x14:cfRule type="dataBar" id="{94F40160-7775-448C-BFBC-566F44B8CA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Q17:Q19</xm:sqref>
        </x14:conditionalFormatting>
        <x14:conditionalFormatting xmlns:xm="http://schemas.microsoft.com/office/excel/2006/main">
          <x14:cfRule type="dataBar" id="{A8E1F452-CF1A-4892-B58E-FBB7D2E068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5D0A823C-03BD-4898-8B9B-C96EE407C1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304A-B18F-4048-B8C1-8426A61F87F7}">
  <sheetPr codeName="Sheet13"/>
  <dimension ref="A1:AI229"/>
  <sheetViews>
    <sheetView showGridLines="0" zoomScaleNormal="100" workbookViewId="0">
      <selection sqref="A1:P2"/>
    </sheetView>
  </sheetViews>
  <sheetFormatPr defaultColWidth="8.83984375" defaultRowHeight="14.4" x14ac:dyDescent="0.55000000000000004"/>
  <cols>
    <col min="1" max="17" width="8.83984375" style="11"/>
    <col min="18" max="18" width="8.83984375" style="11" customWidth="1"/>
    <col min="19" max="16384" width="8.83984375" style="11"/>
  </cols>
  <sheetData>
    <row r="1" spans="1:35" s="17" customFormat="1" ht="25.9" customHeight="1" x14ac:dyDescent="0.55000000000000004">
      <c r="A1" s="73" t="s">
        <v>58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8" t="s">
        <v>59</v>
      </c>
      <c r="R1" s="78"/>
      <c r="S1" s="78"/>
      <c r="T1" s="78"/>
      <c r="U1" s="78"/>
      <c r="V1" s="78"/>
      <c r="W1" s="29"/>
      <c r="X1" s="29"/>
      <c r="Y1" s="29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8"/>
      <c r="R2" s="78"/>
      <c r="S2" s="78"/>
      <c r="T2" s="78"/>
      <c r="U2" s="78"/>
      <c r="V2" s="78"/>
      <c r="W2" s="29"/>
      <c r="X2" s="29"/>
      <c r="Y2" s="29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Oct-May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Super 5 : Arabica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Oct-May</v>
      </c>
      <c r="T6" s="75"/>
      <c r="U6" s="75"/>
    </row>
    <row r="7" spans="1:35" x14ac:dyDescent="0.55000000000000004">
      <c r="A7" s="14">
        <v>1</v>
      </c>
      <c r="B7" s="6" t="s">
        <v>15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6" t="s">
        <v>15</v>
      </c>
      <c r="P7" s="20" t="str">
        <f t="shared" ref="P7:P19" si="0">IF(COUNT(C7:N7)=12,SUM(C7:N7),"")</f>
        <v/>
      </c>
      <c r="Q7" s="2"/>
      <c r="R7" s="2"/>
      <c r="S7" s="6" t="s">
        <v>15</v>
      </c>
      <c r="T7" s="20" t="str">
        <f t="shared" ref="T7:T17" ca="1" si="1">IFERROR(IF(SUM(OFFSET(C7,0,0,1,$C$56))=0,"",SUM(OFFSET(C7,0,0,1,$C$56))),"")</f>
        <v/>
      </c>
      <c r="U7" s="2"/>
    </row>
    <row r="8" spans="1:35" x14ac:dyDescent="0.55000000000000004">
      <c r="A8" s="14">
        <v>2</v>
      </c>
      <c r="B8" s="6" t="s">
        <v>16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6" t="s">
        <v>16</v>
      </c>
      <c r="P8" s="20" t="str">
        <f t="shared" si="0"/>
        <v/>
      </c>
      <c r="Q8" s="7" t="str">
        <f t="shared" ref="Q8:Q16" si="2">IFERROR(P8/P7-1,"")</f>
        <v/>
      </c>
      <c r="R8" s="2"/>
      <c r="S8" s="6" t="s">
        <v>16</v>
      </c>
      <c r="T8" s="20" t="str">
        <f t="shared" ca="1" si="1"/>
        <v/>
      </c>
      <c r="U8" s="7" t="str">
        <f t="shared" ref="U8:U18" ca="1" si="3">IFERROR(T8/T7-1,"")</f>
        <v/>
      </c>
    </row>
    <row r="9" spans="1:35" x14ac:dyDescent="0.55000000000000004">
      <c r="A9" s="14">
        <v>3</v>
      </c>
      <c r="B9" s="6" t="s">
        <v>17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6" t="s">
        <v>17</v>
      </c>
      <c r="P9" s="20" t="str">
        <f t="shared" si="0"/>
        <v/>
      </c>
      <c r="Q9" s="7" t="str">
        <f t="shared" si="2"/>
        <v/>
      </c>
      <c r="R9" s="2"/>
      <c r="S9" s="6" t="s">
        <v>17</v>
      </c>
      <c r="T9" s="20" t="str">
        <f t="shared" ca="1" si="1"/>
        <v/>
      </c>
      <c r="U9" s="7" t="str">
        <f t="shared" ca="1" si="3"/>
        <v/>
      </c>
    </row>
    <row r="10" spans="1:35" x14ac:dyDescent="0.55000000000000004">
      <c r="A10" s="14">
        <v>4</v>
      </c>
      <c r="B10" s="6" t="s">
        <v>18</v>
      </c>
      <c r="C10" s="23">
        <f>'Brazil Arabica'!C10+Colombia!C10+Honduras!C10+Ethiopia!C10+Peru!C10</f>
        <v>4749355.9918316668</v>
      </c>
      <c r="D10" s="23">
        <f>'Brazil Arabica'!D10+Colombia!D10+Honduras!D10+Ethiopia!D10+Peru!D10</f>
        <v>4989971.1239600005</v>
      </c>
      <c r="E10" s="23">
        <f>'Brazil Arabica'!E10+Colombia!E10+Honduras!E10+Ethiopia!E10+Peru!E10</f>
        <v>5050116.8519066665</v>
      </c>
      <c r="F10" s="23">
        <f>'Brazil Arabica'!F10+Colombia!F10+Honduras!F10+Ethiopia!F10+Peru!F10</f>
        <v>4934536.3163416665</v>
      </c>
      <c r="G10" s="23">
        <f>'Brazil Arabica'!G10+Colombia!G10+Honduras!G10+Ethiopia!G10+Peru!G10</f>
        <v>4738344.1865083333</v>
      </c>
      <c r="H10" s="23">
        <f>'Brazil Arabica'!H10+Colombia!H10+Honduras!H10+Ethiopia!H10+Peru!H10</f>
        <v>4278920.8522366667</v>
      </c>
      <c r="I10" s="23">
        <f>'Brazil Arabica'!I10+Colombia!I10+Honduras!I10+Ethiopia!I10+Peru!I10</f>
        <v>4267516.42313</v>
      </c>
      <c r="J10" s="23">
        <f>'Brazil Arabica'!J10+Colombia!J10+Honduras!J10+Ethiopia!J10+Peru!J10</f>
        <v>3714347.8139833333</v>
      </c>
      <c r="K10" s="23">
        <f>'Brazil Arabica'!K10+Colombia!K10+Honduras!K10+Ethiopia!K10+Peru!K10</f>
        <v>4432425.2475866666</v>
      </c>
      <c r="L10" s="23">
        <f>'Brazil Arabica'!L10+Colombia!L10+Honduras!L10+Ethiopia!L10+Peru!L10</f>
        <v>4268052.2451883331</v>
      </c>
      <c r="M10" s="23">
        <f>'Brazil Arabica'!M10+Colombia!M10+Honduras!M10+Ethiopia!M10+Peru!M10</f>
        <v>5125921.6699000001</v>
      </c>
      <c r="N10" s="23">
        <f>'Brazil Arabica'!N10+Colombia!N10+Honduras!N10+Ethiopia!N10+Peru!N10</f>
        <v>4920796.6203016657</v>
      </c>
      <c r="O10" s="6" t="s">
        <v>18</v>
      </c>
      <c r="P10" s="20">
        <f t="shared" si="0"/>
        <v>55470305.342874996</v>
      </c>
      <c r="Q10" s="7" t="str">
        <f t="shared" si="2"/>
        <v/>
      </c>
      <c r="R10" s="2"/>
      <c r="S10" s="6" t="s">
        <v>18</v>
      </c>
      <c r="T10" s="20">
        <f t="shared" ca="1" si="1"/>
        <v>36723109.559898332</v>
      </c>
      <c r="U10" s="7" t="str">
        <f t="shared" ca="1" si="3"/>
        <v/>
      </c>
    </row>
    <row r="11" spans="1:35" x14ac:dyDescent="0.55000000000000004">
      <c r="A11" s="14">
        <v>5</v>
      </c>
      <c r="B11" s="6" t="s">
        <v>19</v>
      </c>
      <c r="C11" s="23">
        <f>'Brazil Arabica'!C11+Colombia!C11+Honduras!C11+Ethiopia!C11+Peru!C11</f>
        <v>5562463.271675</v>
      </c>
      <c r="D11" s="23">
        <f>'Brazil Arabica'!D11+Colombia!D11+Honduras!D11+Ethiopia!D11+Peru!D11</f>
        <v>5620721.1119249994</v>
      </c>
      <c r="E11" s="23">
        <f>'Brazil Arabica'!E11+Colombia!E11+Honduras!E11+Ethiopia!E11+Peru!E11</f>
        <v>5822718.2915949998</v>
      </c>
      <c r="F11" s="23">
        <f>'Brazil Arabica'!F11+Colombia!F11+Honduras!F11+Ethiopia!F11+Peru!F11</f>
        <v>5328195.7911616666</v>
      </c>
      <c r="G11" s="23">
        <f>'Brazil Arabica'!G11+Colombia!G11+Honduras!G11+Ethiopia!G11+Peru!G11</f>
        <v>5484867.1444033328</v>
      </c>
      <c r="H11" s="23">
        <f>'Brazil Arabica'!H11+Colombia!H11+Honduras!H11+Ethiopia!H11+Peru!H11</f>
        <v>4919715.1491916664</v>
      </c>
      <c r="I11" s="23">
        <f>'Brazil Arabica'!I11+Colombia!I11+Honduras!I11+Ethiopia!I11+Peru!I11</f>
        <v>4951556.5757716671</v>
      </c>
      <c r="J11" s="23">
        <f>'Brazil Arabica'!J11+Colombia!J11+Honduras!J11+Ethiopia!J11+Peru!J11</f>
        <v>5598458.9361850005</v>
      </c>
      <c r="K11" s="23">
        <f>'Brazil Arabica'!K11+Colombia!K11+Honduras!K11+Ethiopia!K11+Peru!K11</f>
        <v>5021635.5460583335</v>
      </c>
      <c r="L11" s="23">
        <f>'Brazil Arabica'!L11+Colombia!L11+Honduras!L11+Ethiopia!L11+Peru!L11</f>
        <v>5188278.0061400002</v>
      </c>
      <c r="M11" s="23">
        <f>'Brazil Arabica'!M11+Colombia!M11+Honduras!M11+Ethiopia!M11+Peru!M11</f>
        <v>5079299.0130166672</v>
      </c>
      <c r="N11" s="23">
        <f>'Brazil Arabica'!N11+Colombia!N11+Honduras!N11+Ethiopia!N11+Peru!N11</f>
        <v>5126826.2702750005</v>
      </c>
      <c r="O11" s="6" t="s">
        <v>19</v>
      </c>
      <c r="P11" s="20">
        <f t="shared" si="0"/>
        <v>63704735.107398346</v>
      </c>
      <c r="Q11" s="7">
        <f t="shared" si="2"/>
        <v>0.1484475290630618</v>
      </c>
      <c r="R11" s="2"/>
      <c r="S11" s="6" t="s">
        <v>19</v>
      </c>
      <c r="T11" s="20">
        <f t="shared" ca="1" si="1"/>
        <v>43288696.271908343</v>
      </c>
      <c r="U11" s="7">
        <f t="shared" ca="1" si="3"/>
        <v>0.17878624089011352</v>
      </c>
    </row>
    <row r="12" spans="1:35" x14ac:dyDescent="0.55000000000000004">
      <c r="A12" s="14">
        <v>6</v>
      </c>
      <c r="B12" s="6" t="s">
        <v>20</v>
      </c>
      <c r="C12" s="23">
        <f>'Brazil Arabica'!C12+Colombia!C12+Honduras!C12+Ethiopia!C12+Peru!C12</f>
        <v>5226553.7517466666</v>
      </c>
      <c r="D12" s="23">
        <f>'Brazil Arabica'!D12+Colombia!D12+Honduras!D12+Ethiopia!D12+Peru!D12</f>
        <v>4919224.7333033336</v>
      </c>
      <c r="E12" s="23">
        <f>'Brazil Arabica'!E12+Colombia!E12+Honduras!E12+Ethiopia!E12+Peru!E12</f>
        <v>4932868.0118733337</v>
      </c>
      <c r="F12" s="23">
        <f>'Brazil Arabica'!F12+Colombia!F12+Honduras!F12+Ethiopia!F12+Peru!F12</f>
        <v>5141670.2302099997</v>
      </c>
      <c r="G12" s="23">
        <f>'Brazil Arabica'!G12+Colombia!G12+Honduras!G12+Ethiopia!G12+Peru!G12</f>
        <v>4711629.5510433335</v>
      </c>
      <c r="H12" s="23">
        <f>'Brazil Arabica'!H12+Colombia!H12+Honduras!H12+Ethiopia!H12+Peru!H12</f>
        <v>5101576.5210750001</v>
      </c>
      <c r="I12" s="23">
        <f>'Brazil Arabica'!I12+Colombia!I12+Honduras!I12+Ethiopia!I12+Peru!I12</f>
        <v>4753804.8616500003</v>
      </c>
      <c r="J12" s="23">
        <f>'Brazil Arabica'!J12+Colombia!J12+Honduras!J12+Ethiopia!J12+Peru!J12</f>
        <v>4691162.6028333334</v>
      </c>
      <c r="K12" s="23">
        <f>'Brazil Arabica'!K12+Colombia!K12+Honduras!K12+Ethiopia!K12+Peru!K12</f>
        <v>4477096.0498416675</v>
      </c>
      <c r="L12" s="23">
        <f>'Brazil Arabica'!L12+Colombia!L12+Honduras!L12+Ethiopia!L12+Peru!L12</f>
        <v>4609060.2796999998</v>
      </c>
      <c r="M12" s="23">
        <f>'Brazil Arabica'!M12+Colombia!M12+Honduras!M12+Ethiopia!M12+Peru!M12</f>
        <v>4904054.4400399998</v>
      </c>
      <c r="N12" s="23">
        <f>'Brazil Arabica'!N12+Colombia!N12+Honduras!N12+Ethiopia!N12+Peru!N12</f>
        <v>5111630.9965150002</v>
      </c>
      <c r="O12" s="6" t="s">
        <v>20</v>
      </c>
      <c r="P12" s="20">
        <f t="shared" si="0"/>
        <v>58580332.029831663</v>
      </c>
      <c r="Q12" s="7">
        <f t="shared" si="2"/>
        <v>-8.0439908727782505E-2</v>
      </c>
      <c r="R12" s="2"/>
      <c r="S12" s="6" t="s">
        <v>20</v>
      </c>
      <c r="T12" s="20">
        <f t="shared" ca="1" si="1"/>
        <v>39478490.263734996</v>
      </c>
      <c r="U12" s="7">
        <f t="shared" ca="1" si="3"/>
        <v>-8.801849758284197E-2</v>
      </c>
    </row>
    <row r="13" spans="1:35" x14ac:dyDescent="0.55000000000000004">
      <c r="A13" s="14">
        <v>7</v>
      </c>
      <c r="B13" s="6" t="s">
        <v>21</v>
      </c>
      <c r="C13" s="23">
        <f>'Brazil Arabica'!C13+Colombia!C13+Honduras!C13+Ethiopia!C13+Peru!C13</f>
        <v>5447193.2938416665</v>
      </c>
      <c r="D13" s="23">
        <f>'Brazil Arabica'!D13+Colombia!D13+Honduras!D13+Ethiopia!D13+Peru!D13</f>
        <v>6178565.1375366664</v>
      </c>
      <c r="E13" s="23">
        <f>'Brazil Arabica'!E13+Colombia!E13+Honduras!E13+Ethiopia!E13+Peru!E13</f>
        <v>5800775.0132750003</v>
      </c>
      <c r="F13" s="23">
        <f>'Brazil Arabica'!F13+Colombia!F13+Honduras!F13+Ethiopia!F13+Peru!F13</f>
        <v>5045266.5599866668</v>
      </c>
      <c r="G13" s="23">
        <f>'Brazil Arabica'!G13+Colombia!G13+Honduras!G13+Ethiopia!G13+Peru!G13</f>
        <v>5611543.2135883337</v>
      </c>
      <c r="H13" s="23">
        <f>'Brazil Arabica'!H13+Colombia!H13+Honduras!H13+Ethiopia!H13+Peru!H13</f>
        <v>5538692.2646949999</v>
      </c>
      <c r="I13" s="23">
        <f>'Brazil Arabica'!I13+Colombia!I13+Honduras!I13+Ethiopia!I13+Peru!I13</f>
        <v>5413361.3871299997</v>
      </c>
      <c r="J13" s="23">
        <f>'Brazil Arabica'!J13+Colombia!J13+Honduras!J13+Ethiopia!J13+Peru!J13</f>
        <v>4454897.4698750004</v>
      </c>
      <c r="K13" s="23">
        <f>'Brazil Arabica'!K13+Colombia!K13+Honduras!K13+Ethiopia!K13+Peru!K13</f>
        <v>4903562.4729349995</v>
      </c>
      <c r="L13" s="23">
        <f>'Brazil Arabica'!L13+Colombia!L13+Honduras!L13+Ethiopia!L13+Peru!L13</f>
        <v>4862943.7364683338</v>
      </c>
      <c r="M13" s="23">
        <f>'Brazil Arabica'!M13+Colombia!M13+Honduras!M13+Ethiopia!M13+Peru!M13</f>
        <v>4501760.2424966674</v>
      </c>
      <c r="N13" s="23">
        <f>'Brazil Arabica'!N13+Colombia!N13+Honduras!N13+Ethiopia!N13+Peru!N13</f>
        <v>4818068.8482816666</v>
      </c>
      <c r="O13" s="6" t="s">
        <v>21</v>
      </c>
      <c r="P13" s="20">
        <f t="shared" si="0"/>
        <v>62576629.640110001</v>
      </c>
      <c r="Q13" s="7">
        <f t="shared" si="2"/>
        <v>6.8219101391286951E-2</v>
      </c>
      <c r="R13" s="2"/>
      <c r="S13" s="6" t="s">
        <v>21</v>
      </c>
      <c r="T13" s="20">
        <f t="shared" ca="1" si="1"/>
        <v>43490294.339928329</v>
      </c>
      <c r="U13" s="7">
        <f t="shared" ca="1" si="3"/>
        <v>0.101619997355334</v>
      </c>
    </row>
    <row r="14" spans="1:35" x14ac:dyDescent="0.55000000000000004">
      <c r="A14" s="14">
        <v>8</v>
      </c>
      <c r="B14" s="6" t="s">
        <v>22</v>
      </c>
      <c r="C14" s="23">
        <f>'Brazil Arabica'!C14+Colombia!C14+Honduras!C14+Ethiopia!C14+Peru!C14</f>
        <v>4974777.9702233337</v>
      </c>
      <c r="D14" s="23">
        <f>'Brazil Arabica'!D14+Colombia!D14+Honduras!D14+Ethiopia!D14+Peru!D14</f>
        <v>4830737.8349449998</v>
      </c>
      <c r="E14" s="23">
        <f>'Brazil Arabica'!E14+Colombia!E14+Honduras!E14+Ethiopia!E14+Peru!E14</f>
        <v>5667297.47425</v>
      </c>
      <c r="F14" s="23">
        <f>'Brazil Arabica'!F14+Colombia!F14+Honduras!F14+Ethiopia!F14+Peru!F14</f>
        <v>5276330.8076099996</v>
      </c>
      <c r="G14" s="23">
        <f>'Brazil Arabica'!G14+Colombia!G14+Honduras!G14+Ethiopia!G14+Peru!G14</f>
        <v>5360809.5139183328</v>
      </c>
      <c r="H14" s="23">
        <f>'Brazil Arabica'!H14+Colombia!H14+Honduras!H14+Ethiopia!H14+Peru!H14</f>
        <v>5893265.6913516661</v>
      </c>
      <c r="I14" s="23">
        <f>'Brazil Arabica'!I14+Colombia!I14+Honduras!I14+Ethiopia!I14+Peru!I14</f>
        <v>4624075.8075166671</v>
      </c>
      <c r="J14" s="23">
        <f>'Brazil Arabica'!J14+Colombia!J14+Honduras!J14+Ethiopia!J14+Peru!J14</f>
        <v>4614924.4998599999</v>
      </c>
      <c r="K14" s="23">
        <f>'Brazil Arabica'!K14+Colombia!K14+Honduras!K14+Ethiopia!K14+Peru!K14</f>
        <v>4987062.0806333339</v>
      </c>
      <c r="L14" s="23">
        <f>'Brazil Arabica'!L14+Colombia!L14+Honduras!L14+Ethiopia!L14+Peru!L14</f>
        <v>4419627.1177300001</v>
      </c>
      <c r="M14" s="23">
        <f>'Brazil Arabica'!M14+Colombia!M14+Honduras!M14+Ethiopia!M14+Peru!M14</f>
        <v>4476325.9705666667</v>
      </c>
      <c r="N14" s="23">
        <f>'Brazil Arabica'!N14+Colombia!N14+Honduras!N14+Ethiopia!N14+Peru!N14</f>
        <v>4924164.4248883333</v>
      </c>
      <c r="O14" s="6" t="s">
        <v>22</v>
      </c>
      <c r="P14" s="20">
        <f t="shared" si="0"/>
        <v>60049399.193493336</v>
      </c>
      <c r="Q14" s="7">
        <f t="shared" si="2"/>
        <v>-4.0386170702245261E-2</v>
      </c>
      <c r="R14" s="2"/>
      <c r="S14" s="6" t="s">
        <v>22</v>
      </c>
      <c r="T14" s="20">
        <f t="shared" ca="1" si="1"/>
        <v>41242219.599675</v>
      </c>
      <c r="U14" s="7">
        <f t="shared" ca="1" si="3"/>
        <v>-5.1691412403005454E-2</v>
      </c>
    </row>
    <row r="15" spans="1:35" x14ac:dyDescent="0.55000000000000004">
      <c r="A15" s="14">
        <v>9</v>
      </c>
      <c r="B15" s="6" t="s">
        <v>23</v>
      </c>
      <c r="C15" s="23">
        <f>'Brazil Arabica'!C15+Colombia!C15+Honduras!C15+Ethiopia!C15+Peru!C15</f>
        <v>5046401.2833150001</v>
      </c>
      <c r="D15" s="23">
        <f>'Brazil Arabica'!D15+Colombia!D15+Honduras!D15+Ethiopia!D15+Peru!D15</f>
        <v>4976511.953796668</v>
      </c>
      <c r="E15" s="23">
        <f>'Brazil Arabica'!E15+Colombia!E15+Honduras!E15+Ethiopia!E15+Peru!E15</f>
        <v>4572045.263236667</v>
      </c>
      <c r="F15" s="23">
        <f>'Brazil Arabica'!F15+Colombia!F15+Honduras!F15+Ethiopia!F15+Peru!F15</f>
        <v>4139323.0670533334</v>
      </c>
      <c r="G15" s="23">
        <f>'Brazil Arabica'!G15+Colombia!G15+Honduras!G15+Ethiopia!G15+Peru!G15</f>
        <v>3886583.02782</v>
      </c>
      <c r="H15" s="23">
        <f>'Brazil Arabica'!H15+Colombia!H15+Honduras!H15+Ethiopia!H15+Peru!H15</f>
        <v>4633394.6759916665</v>
      </c>
      <c r="I15" s="23">
        <f>'Brazil Arabica'!I15+Colombia!I15+Honduras!I15+Ethiopia!I15+Peru!I15</f>
        <v>4151527.5203649998</v>
      </c>
      <c r="J15" s="23">
        <f>'Brazil Arabica'!J15+Colombia!J15+Honduras!J15+Ethiopia!J15+Peru!J15</f>
        <v>4195416.5964966668</v>
      </c>
      <c r="K15" s="23">
        <f>'Brazil Arabica'!K15+Colombia!K15+Honduras!K15+Ethiopia!K15+Peru!K15</f>
        <v>4097903.1231966666</v>
      </c>
      <c r="L15" s="23">
        <f>'Brazil Arabica'!L15+Colombia!L15+Honduras!L15+Ethiopia!L15+Peru!L15</f>
        <v>4302198.1414516661</v>
      </c>
      <c r="M15" s="23">
        <f>'Brazil Arabica'!M15+Colombia!M15+Honduras!M15+Ethiopia!M15+Peru!M15</f>
        <v>4721504.230816667</v>
      </c>
      <c r="N15" s="23">
        <f>'Brazil Arabica'!N15+Colombia!N15+Honduras!N15+Ethiopia!N15+Peru!N15</f>
        <v>4328172.9008750003</v>
      </c>
      <c r="O15" s="6" t="s">
        <v>23</v>
      </c>
      <c r="P15" s="20">
        <f t="shared" si="0"/>
        <v>53050981.784415007</v>
      </c>
      <c r="Q15" s="7">
        <f t="shared" si="2"/>
        <v>-0.11654433688050359</v>
      </c>
      <c r="R15" s="2"/>
      <c r="S15" s="6" t="s">
        <v>23</v>
      </c>
      <c r="T15" s="20">
        <f t="shared" ca="1" si="1"/>
        <v>35601203.388075002</v>
      </c>
      <c r="U15" s="7">
        <f t="shared" ca="1" si="3"/>
        <v>-0.13677770659182586</v>
      </c>
    </row>
    <row r="16" spans="1:35" x14ac:dyDescent="0.55000000000000004">
      <c r="A16" s="14">
        <v>10</v>
      </c>
      <c r="B16" s="6" t="s">
        <v>24</v>
      </c>
      <c r="C16" s="23">
        <f>'Brazil Arabica'!C16+Colombia!C16+Honduras!C16+Ethiopia!C16+Peru!C16</f>
        <v>5358468.0415766668</v>
      </c>
      <c r="D16" s="23">
        <f>'Brazil Arabica'!D16+Colombia!D16+Honduras!D16+Ethiopia!D16+Peru!D16</f>
        <v>5344923.8298266679</v>
      </c>
      <c r="E16" s="23">
        <f>'Brazil Arabica'!E16+Colombia!E16+Honduras!E16+Ethiopia!E16+Peru!E16</f>
        <v>5383163.2927449998</v>
      </c>
      <c r="F16" s="23">
        <f>'Brazil Arabica'!F16+Colombia!F16+Honduras!F16+Ethiopia!F16+Peru!F16</f>
        <v>5181643.8392483341</v>
      </c>
      <c r="G16" s="23">
        <f>'Brazil Arabica'!G16+Colombia!G16+Honduras!G16+Ethiopia!G16+Peru!G16</f>
        <v>5047144.7697383342</v>
      </c>
      <c r="H16" s="23">
        <f>'Brazil Arabica'!H16+Colombia!H16+Honduras!H16+Ethiopia!H16+Peru!H16</f>
        <v>5425480.4839716665</v>
      </c>
      <c r="I16" s="23">
        <f>'Brazil Arabica'!I16+Colombia!I16+Honduras!I16+Ethiopia!I16+Peru!I16</f>
        <v>5264969.4607216669</v>
      </c>
      <c r="J16" s="23">
        <f>'Brazil Arabica'!J16+Colombia!J16+Honduras!J16+Ethiopia!J16+Peru!J16</f>
        <v>5747200.6055466663</v>
      </c>
      <c r="K16" s="23">
        <f>'Brazil Arabica'!K16+Colombia!K16+Honduras!K16+Ethiopia!K16+Peru!K16</f>
        <v>5088560.0712883342</v>
      </c>
      <c r="L16" s="23">
        <f>'Brazil Arabica'!L16+Colombia!L16+Honduras!L16+Ethiopia!L16+Peru!L16</f>
        <v>5257017.7720766673</v>
      </c>
      <c r="M16" s="23">
        <f>'Brazil Arabica'!M16+Colombia!M16+Honduras!M16+Ethiopia!M16+Peru!M16</f>
        <v>5046313.9901583334</v>
      </c>
      <c r="N16" s="23">
        <f>'Brazil Arabica'!N16+Colombia!N16+Honduras!N16+Ethiopia!N16+Peru!N16</f>
        <v>5794074.9397400003</v>
      </c>
      <c r="O16" s="6" t="s">
        <v>24</v>
      </c>
      <c r="P16" s="20">
        <f t="shared" si="0"/>
        <v>63938961.096638337</v>
      </c>
      <c r="Q16" s="7">
        <f t="shared" si="2"/>
        <v>0.20523615107575499</v>
      </c>
      <c r="R16" s="2"/>
      <c r="S16" s="6" t="s">
        <v>24</v>
      </c>
      <c r="T16" s="20">
        <f t="shared" ca="1" si="1"/>
        <v>42752994.323375002</v>
      </c>
      <c r="U16" s="7">
        <f t="shared" ca="1" si="3"/>
        <v>0.20088621323670108</v>
      </c>
    </row>
    <row r="17" spans="1:21" x14ac:dyDescent="0.55000000000000004">
      <c r="A17" s="14">
        <v>11</v>
      </c>
      <c r="B17" s="6" t="s">
        <v>25</v>
      </c>
      <c r="C17" s="23">
        <f>'Brazil Arabica'!C17+Colombia!C17+Honduras!C17+Ethiopia!C17+Peru!C17</f>
        <v>6098193.2113883328</v>
      </c>
      <c r="D17" s="23">
        <f>'Brazil Arabica'!D17+Colombia!D17+Honduras!D17+Ethiopia!D17+Peru!D17</f>
        <v>5639219.0509333331</v>
      </c>
      <c r="E17" s="23">
        <f>'Brazil Arabica'!E17+Colombia!E17+Honduras!E17+Ethiopia!E17+Peru!E17</f>
        <v>6019202.6407916676</v>
      </c>
      <c r="F17" s="23">
        <f>'Brazil Arabica'!F17+Colombia!F17+Honduras!F17+Ethiopia!F17+Peru!F17</f>
        <v>5271083.4839783339</v>
      </c>
      <c r="G17" s="23">
        <f>'Brazil Arabica'!G17+Colombia!G17+Honduras!G17+Ethiopia!G17+Peru!G17</f>
        <v>5233585.0373633336</v>
      </c>
      <c r="H17" s="23">
        <f>'Brazil Arabica'!H17+Colombia!H17+Honduras!H17+Ethiopia!H17+Peru!H17</f>
        <v>5676045.6699399995</v>
      </c>
      <c r="I17" s="23">
        <f>'Brazil Arabica'!I17+Colombia!I17+Honduras!I17+Ethiopia!I17+Peru!I17</f>
        <v>4922852.3314300003</v>
      </c>
      <c r="J17" s="23">
        <f>'Brazil Arabica'!J17+Colombia!J17+Honduras!J17+Ethiopia!J17+Peru!J17</f>
        <v>5216939.0378566664</v>
      </c>
      <c r="K17" s="23">
        <f>'Brazil Arabica'!K17+Colombia!K17+Honduras!K17+Ethiopia!K17+Peru!K17</f>
        <v>4728810.9647333343</v>
      </c>
      <c r="L17" s="23">
        <f>'Brazil Arabica'!L17+Colombia!L17+Honduras!L17+Ethiopia!L17+Peru!L17</f>
        <v>4897909.6651833337</v>
      </c>
      <c r="M17" s="23">
        <f>'Brazil Arabica'!M17+Colombia!M17+Honduras!M17+Ethiopia!M17+Peru!M17</f>
        <v>4870855.1958872229</v>
      </c>
      <c r="N17" s="23">
        <f>'Brazil Arabica'!N17+Colombia!N17+Honduras!N17+Ethiopia!N17+Peru!N17</f>
        <v>5464003.4291537264</v>
      </c>
      <c r="O17" s="6" t="s">
        <v>25</v>
      </c>
      <c r="P17" s="5">
        <f t="shared" si="0"/>
        <v>64038699.718639292</v>
      </c>
      <c r="Q17" s="7"/>
      <c r="R17" s="2"/>
      <c r="S17" s="6" t="s">
        <v>25</v>
      </c>
      <c r="T17" s="20">
        <f t="shared" ca="1" si="1"/>
        <v>44077120.463681675</v>
      </c>
      <c r="U17" s="7">
        <f t="shared" ca="1" si="3"/>
        <v>3.0971541555458115E-2</v>
      </c>
    </row>
    <row r="18" spans="1:21" x14ac:dyDescent="0.55000000000000004">
      <c r="A18" s="14">
        <v>12</v>
      </c>
      <c r="B18" s="6" t="s">
        <v>26</v>
      </c>
      <c r="C18" s="23">
        <f>'Brazil Arabica'!C18+Colombia!C18+Honduras!C18+Ethiopia!C18+Peru!C18</f>
        <v>5741470.5699999994</v>
      </c>
      <c r="D18" s="23">
        <f>'Brazil Arabica'!D18+Colombia!D18+Honduras!D18+Ethiopia!D18+Peru!D18</f>
        <v>5386101.6906666663</v>
      </c>
      <c r="E18" s="23">
        <f>'Brazil Arabica'!E18+Colombia!E18+Honduras!E18+Ethiopia!E18+Peru!E18</f>
        <v>4824905.4316666666</v>
      </c>
      <c r="F18" s="23">
        <f>'Brazil Arabica'!F18+Colombia!F18+Honduras!F18+Ethiopia!F18+Peru!F18</f>
        <v>4381685</v>
      </c>
      <c r="G18" s="23">
        <f>'Brazil Arabica'!G18+Colombia!G18+Honduras!G18+Ethiopia!G18+Peru!G18</f>
        <v>4217521</v>
      </c>
      <c r="H18" s="23">
        <f>'Brazil Arabica'!H18+Colombia!H18+Honduras!H18+Ethiopia!H18+Peru!H18</f>
        <v>4602691.333333333</v>
      </c>
      <c r="I18" s="23">
        <f>'Brazil Arabica'!I18+Colombia!I18+Honduras!I18+Ethiopia!I18+Peru!I18</f>
        <v>4415479.333333333</v>
      </c>
      <c r="J18" s="23">
        <f>'Brazil Arabica'!J18+Colombia!J18+Honduras!J18+Ethiopia!J18+Peru!J18</f>
        <v>4660112.333333333</v>
      </c>
      <c r="K18" s="23" t="e">
        <f>'Brazil Arabica'!K18+Colombia!K18+Honduras!K18+Ethiopia!K18+Peru!K18</f>
        <v>#N/A</v>
      </c>
      <c r="L18" s="23" t="e">
        <f>'Brazil Arabica'!L18+Colombia!L18+Honduras!L18+Ethiopia!L18+Peru!L18</f>
        <v>#N/A</v>
      </c>
      <c r="M18" s="23" t="e">
        <f>'Brazil Arabica'!M18+Colombia!M18+Honduras!M18+Ethiopia!M18+Peru!M18</f>
        <v>#N/A</v>
      </c>
      <c r="N18" s="23" t="e">
        <f>'Brazil Arabica'!N18+Colombia!N18+Honduras!N18+Ethiopia!N18+Peru!N18</f>
        <v>#N/A</v>
      </c>
      <c r="O18" s="6" t="s">
        <v>26</v>
      </c>
      <c r="P18" s="5" t="str">
        <f t="shared" si="0"/>
        <v/>
      </c>
      <c r="Q18" s="7"/>
      <c r="R18" s="2"/>
      <c r="S18" s="6" t="s">
        <v>26</v>
      </c>
      <c r="T18" s="20">
        <f ca="1">IFERROR(IF(SUM(OFFSET(C18,0,0,1,$C$56))=0,"",SUM(OFFSET(C18,0,0,1,$C$56))),"")</f>
        <v>38229966.692333333</v>
      </c>
      <c r="U18" s="7">
        <f t="shared" ca="1" si="3"/>
        <v>-0.13265734489543701</v>
      </c>
    </row>
    <row r="19" spans="1:21" x14ac:dyDescent="0.55000000000000004">
      <c r="A19" s="14">
        <v>13</v>
      </c>
      <c r="B19" s="6" t="s">
        <v>27</v>
      </c>
      <c r="C19" s="23" t="e">
        <f>'Brazil Arabica'!C19+Colombia!C19+Honduras!C19+Ethiopia!C19+Peru!C19</f>
        <v>#N/A</v>
      </c>
      <c r="D19" s="23" t="e">
        <f>'Brazil Arabica'!D19+Colombia!D19+Honduras!D19+Ethiopia!D19+Peru!D19</f>
        <v>#N/A</v>
      </c>
      <c r="E19" s="23" t="e">
        <f>'Brazil Arabica'!E19+Colombia!E19+Honduras!E19+Ethiopia!E19+Peru!E19</f>
        <v>#N/A</v>
      </c>
      <c r="F19" s="23" t="e">
        <f>'Brazil Arabica'!F19+Colombia!F19+Honduras!F19+Ethiopia!F19+Peru!F19</f>
        <v>#N/A</v>
      </c>
      <c r="G19" s="23" t="e">
        <f>'Brazil Arabica'!G19+Colombia!G19+Honduras!G19+Ethiopia!G19+Peru!G19</f>
        <v>#N/A</v>
      </c>
      <c r="H19" s="23" t="e">
        <f>'Brazil Arabica'!H19+Colombia!H19+Honduras!H19+Ethiopia!H19+Peru!H19</f>
        <v>#N/A</v>
      </c>
      <c r="I19" s="23" t="e">
        <f>'Brazil Arabica'!I19+Colombia!I19+Honduras!I19+Ethiopia!I19+Peru!I19</f>
        <v>#N/A</v>
      </c>
      <c r="J19" s="23" t="e">
        <f>'Brazil Arabica'!J19+Colombia!J19+Honduras!J19+Ethiopia!J19+Peru!J19</f>
        <v>#N/A</v>
      </c>
      <c r="K19" s="23" t="e">
        <f>'Brazil Arabica'!K19+Colombia!K19+Honduras!K19+Ethiopia!K19+Peru!K19</f>
        <v>#N/A</v>
      </c>
      <c r="L19" s="23" t="e">
        <f>'Brazil Arabica'!L19+Colombia!L19+Honduras!L19+Ethiopia!L19+Peru!L19</f>
        <v>#N/A</v>
      </c>
      <c r="M19" s="23" t="e">
        <f>'Brazil Arabica'!M19+Colombia!M19+Honduras!M19+Ethiopia!M19+Peru!M19</f>
        <v>#N/A</v>
      </c>
      <c r="N19" s="23" t="e">
        <f>'Brazil Arabica'!N19+Colombia!N19+Honduras!N19+Ethiopia!N19+Peru!N19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ca="1">IFERROR(IF(SUM(OFFSET(C19,0,0,1,$C$56))=0,"",SUM(OFFSET(C19,0,0,1,$C$56))),"")</f>
        <v/>
      </c>
      <c r="U19" s="7"/>
    </row>
    <row r="20" spans="1:21" x14ac:dyDescent="0.55000000000000004">
      <c r="B20" s="8" t="s">
        <v>28</v>
      </c>
      <c r="C20" s="22">
        <f>IFERROR(C18/C17-1,"")</f>
        <v>-5.8496447885933889E-2</v>
      </c>
      <c r="D20" s="22">
        <f t="shared" ref="D20:N20" si="4">IFERROR(D18/D17-1,"")</f>
        <v>-4.4885179664154728E-2</v>
      </c>
      <c r="E20" s="22">
        <f t="shared" si="4"/>
        <v>-0.19841452105821156</v>
      </c>
      <c r="F20" s="22">
        <f t="shared" si="4"/>
        <v>-0.16873162542040843</v>
      </c>
      <c r="G20" s="22">
        <f t="shared" si="4"/>
        <v>-0.19414302626392865</v>
      </c>
      <c r="H20" s="22">
        <f t="shared" si="4"/>
        <v>-0.18910248419794917</v>
      </c>
      <c r="I20" s="22">
        <f t="shared" si="4"/>
        <v>-0.10306484207485556</v>
      </c>
      <c r="J20" s="22">
        <f t="shared" si="4"/>
        <v>-0.10673437057299806</v>
      </c>
      <c r="K20" s="22" t="str">
        <f t="shared" si="4"/>
        <v/>
      </c>
      <c r="L20" s="22" t="str">
        <f t="shared" si="4"/>
        <v/>
      </c>
      <c r="M20" s="22" t="str">
        <f t="shared" si="4"/>
        <v/>
      </c>
      <c r="N20" s="22" t="str">
        <f t="shared" si="4"/>
        <v/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Super 5 : Arabica Exports | YTD : Oct-May</v>
      </c>
      <c r="Q27" s="13" t="str">
        <f>_xlfn.CONCAT(A1," | ","Cumulative")</f>
        <v>Super 5 : Arabica Exports | Cumulative</v>
      </c>
    </row>
    <row r="56" spans="2:6" x14ac:dyDescent="0.55000000000000004">
      <c r="B56" s="26" t="s">
        <v>29</v>
      </c>
      <c r="C56" s="26">
        <f>COUNT(C18:N18)</f>
        <v>8</v>
      </c>
      <c r="D56" s="25" t="str">
        <f ca="1">OFFSET(B6,0,$C$56,1,1)</f>
        <v>May</v>
      </c>
      <c r="E56" s="11" t="str">
        <f>B17</f>
        <v>24/25</v>
      </c>
      <c r="F56" s="11" t="str">
        <f ca="1">_xlfn.CONCAT(D56,"'",E56)</f>
        <v>May'24/25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5741470.5699999994</v>
      </c>
      <c r="C66" s="12">
        <f t="shared" ref="C66:M66" si="5">D18</f>
        <v>5386101.6906666663</v>
      </c>
      <c r="D66" s="12">
        <f t="shared" si="5"/>
        <v>4824905.4316666666</v>
      </c>
      <c r="E66" s="12">
        <f t="shared" si="5"/>
        <v>4381685</v>
      </c>
      <c r="F66" s="12">
        <f t="shared" si="5"/>
        <v>4217521</v>
      </c>
      <c r="G66" s="12">
        <f t="shared" si="5"/>
        <v>4602691.333333333</v>
      </c>
      <c r="H66" s="12">
        <f t="shared" si="5"/>
        <v>4415479.333333333</v>
      </c>
      <c r="I66" s="12">
        <f t="shared" si="5"/>
        <v>4660112.333333333</v>
      </c>
      <c r="J66" s="12" t="e">
        <f t="shared" si="5"/>
        <v>#N/A</v>
      </c>
      <c r="K66" s="12" t="e">
        <f t="shared" si="5"/>
        <v>#N/A</v>
      </c>
      <c r="L66" s="12" t="e">
        <f t="shared" si="5"/>
        <v>#N/A</v>
      </c>
      <c r="M66" s="12" t="e">
        <f t="shared" si="5"/>
        <v>#N/A</v>
      </c>
    </row>
    <row r="67" spans="1:25" x14ac:dyDescent="0.55000000000000004">
      <c r="A67" s="11" t="s">
        <v>30</v>
      </c>
      <c r="B67" s="12">
        <f>MIN(C7:C17)</f>
        <v>4749355.9918316668</v>
      </c>
      <c r="C67" s="12">
        <f t="shared" ref="C67:M67" si="6">MIN(D7:D17)</f>
        <v>4830737.8349449998</v>
      </c>
      <c r="D67" s="12">
        <f t="shared" si="6"/>
        <v>4572045.263236667</v>
      </c>
      <c r="E67" s="12">
        <f t="shared" si="6"/>
        <v>4139323.0670533334</v>
      </c>
      <c r="F67" s="12">
        <f t="shared" si="6"/>
        <v>3886583.02782</v>
      </c>
      <c r="G67" s="12">
        <f t="shared" si="6"/>
        <v>4278920.8522366667</v>
      </c>
      <c r="H67" s="12">
        <f t="shared" si="6"/>
        <v>4151527.5203649998</v>
      </c>
      <c r="I67" s="12">
        <f t="shared" si="6"/>
        <v>3714347.8139833333</v>
      </c>
      <c r="J67" s="12">
        <f t="shared" si="6"/>
        <v>4097903.1231966666</v>
      </c>
      <c r="K67" s="12">
        <f t="shared" si="6"/>
        <v>4268052.2451883331</v>
      </c>
      <c r="L67" s="12">
        <f t="shared" si="6"/>
        <v>4476325.9705666667</v>
      </c>
      <c r="M67" s="12">
        <f t="shared" si="6"/>
        <v>4328172.9008750003</v>
      </c>
      <c r="N67" s="12"/>
    </row>
    <row r="68" spans="1:25" x14ac:dyDescent="0.55000000000000004">
      <c r="A68" s="11" t="s">
        <v>31</v>
      </c>
      <c r="B68" s="12">
        <f>MAX(C7:C17)</f>
        <v>6098193.2113883328</v>
      </c>
      <c r="C68" s="12">
        <f t="shared" ref="C68:M68" si="7">MAX(D7:D17)</f>
        <v>6178565.1375366664</v>
      </c>
      <c r="D68" s="12">
        <f t="shared" si="7"/>
        <v>6019202.6407916676</v>
      </c>
      <c r="E68" s="12">
        <f t="shared" si="7"/>
        <v>5328195.7911616666</v>
      </c>
      <c r="F68" s="12">
        <f t="shared" si="7"/>
        <v>5611543.2135883337</v>
      </c>
      <c r="G68" s="12">
        <f t="shared" si="7"/>
        <v>5893265.6913516661</v>
      </c>
      <c r="H68" s="12">
        <f t="shared" si="7"/>
        <v>5413361.3871299997</v>
      </c>
      <c r="I68" s="12">
        <f t="shared" si="7"/>
        <v>5747200.6055466663</v>
      </c>
      <c r="J68" s="12">
        <f t="shared" si="7"/>
        <v>5088560.0712883342</v>
      </c>
      <c r="K68" s="12">
        <f t="shared" si="7"/>
        <v>5257017.7720766673</v>
      </c>
      <c r="L68" s="12">
        <f t="shared" si="7"/>
        <v>5125921.6699000001</v>
      </c>
      <c r="M68" s="12">
        <f t="shared" si="7"/>
        <v>5794074.9397400003</v>
      </c>
      <c r="N68" s="12"/>
    </row>
    <row r="69" spans="1:25" x14ac:dyDescent="0.55000000000000004">
      <c r="A69" s="11" t="s">
        <v>32</v>
      </c>
      <c r="B69" s="12">
        <f>AVERAGE(C12:C17)</f>
        <v>5358597.9253486106</v>
      </c>
      <c r="C69" s="12">
        <f t="shared" ref="C69:M69" si="8">AVERAGE(D12:D17)</f>
        <v>5314863.7567236116</v>
      </c>
      <c r="D69" s="12">
        <f t="shared" si="8"/>
        <v>5395891.9493619455</v>
      </c>
      <c r="E69" s="12">
        <f t="shared" si="8"/>
        <v>5009219.6646811115</v>
      </c>
      <c r="F69" s="12">
        <f t="shared" si="8"/>
        <v>4975215.8522452777</v>
      </c>
      <c r="G69" s="12">
        <f t="shared" si="8"/>
        <v>5378075.8845041664</v>
      </c>
      <c r="H69" s="12">
        <f t="shared" si="8"/>
        <v>4855098.561468889</v>
      </c>
      <c r="I69" s="12">
        <f t="shared" si="8"/>
        <v>4820090.1354113892</v>
      </c>
      <c r="J69" s="12">
        <f t="shared" si="8"/>
        <v>4713832.460438055</v>
      </c>
      <c r="K69" s="12">
        <f t="shared" si="8"/>
        <v>4724792.7854349995</v>
      </c>
      <c r="L69" s="12">
        <f t="shared" si="8"/>
        <v>4753469.011660926</v>
      </c>
      <c r="M69" s="12">
        <f t="shared" si="8"/>
        <v>5073352.5899089547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0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9">INDEX($C$7:$N$19,MATCH(B75,$A$7:$A$19),MATCH(C75,$C$4:$N$4))</f>
        <v>0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9"/>
        <v>0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>
        <f>C7</f>
        <v>0</v>
      </c>
      <c r="O76" s="5">
        <f t="shared" ref="O76:O88" si="13">N76+D7</f>
        <v>0</v>
      </c>
      <c r="P76" s="5">
        <f t="shared" ref="P76:P88" si="14">O76+E7</f>
        <v>0</v>
      </c>
      <c r="Q76" s="5">
        <f t="shared" ref="Q76:Q88" si="15">P76+F7</f>
        <v>0</v>
      </c>
      <c r="R76" s="5">
        <f t="shared" ref="R76:R88" si="16">Q76+G7</f>
        <v>0</v>
      </c>
      <c r="S76" s="5">
        <f t="shared" ref="S76:S88" si="17">R76+H7</f>
        <v>0</v>
      </c>
      <c r="T76" s="5">
        <f t="shared" ref="T76:T88" si="18">S76+I7</f>
        <v>0</v>
      </c>
      <c r="U76" s="5">
        <f t="shared" ref="U76:U88" si="19">T76+J7</f>
        <v>0</v>
      </c>
      <c r="V76" s="5">
        <f t="shared" ref="V76:V88" si="20">U76+K7</f>
        <v>0</v>
      </c>
      <c r="W76" s="5">
        <f t="shared" ref="W76:W88" si="21">V76+L7</f>
        <v>0</v>
      </c>
      <c r="X76" s="5">
        <f t="shared" ref="X76:X88" si="22">W76+M7</f>
        <v>0</v>
      </c>
      <c r="Y76" s="5">
        <f t="shared" ref="Y76:Y88" si="23">X76+N7</f>
        <v>0</v>
      </c>
    </row>
    <row r="77" spans="1:25" x14ac:dyDescent="0.55000000000000004">
      <c r="B77" s="11">
        <v>1</v>
      </c>
      <c r="C77" s="11">
        <v>4</v>
      </c>
      <c r="D77" s="12">
        <f t="shared" si="9"/>
        <v>0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24">C8</f>
        <v>0</v>
      </c>
      <c r="O77" s="5">
        <f t="shared" si="13"/>
        <v>0</v>
      </c>
      <c r="P77" s="5">
        <f t="shared" si="14"/>
        <v>0</v>
      </c>
      <c r="Q77" s="5">
        <f t="shared" si="15"/>
        <v>0</v>
      </c>
      <c r="R77" s="5">
        <f t="shared" si="16"/>
        <v>0</v>
      </c>
      <c r="S77" s="5">
        <f t="shared" si="17"/>
        <v>0</v>
      </c>
      <c r="T77" s="5">
        <f t="shared" si="18"/>
        <v>0</v>
      </c>
      <c r="U77" s="5">
        <f t="shared" si="19"/>
        <v>0</v>
      </c>
      <c r="V77" s="5">
        <f t="shared" si="20"/>
        <v>0</v>
      </c>
      <c r="W77" s="5">
        <f t="shared" si="21"/>
        <v>0</v>
      </c>
      <c r="X77" s="5">
        <f t="shared" si="22"/>
        <v>0</v>
      </c>
      <c r="Y77" s="5">
        <f t="shared" si="23"/>
        <v>0</v>
      </c>
    </row>
    <row r="78" spans="1:25" x14ac:dyDescent="0.55000000000000004">
      <c r="B78" s="11">
        <v>1</v>
      </c>
      <c r="C78" s="11">
        <v>5</v>
      </c>
      <c r="D78" s="12">
        <f t="shared" si="9"/>
        <v>0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24"/>
        <v>0</v>
      </c>
      <c r="O78" s="5">
        <f t="shared" si="13"/>
        <v>0</v>
      </c>
      <c r="P78" s="5">
        <f t="shared" si="14"/>
        <v>0</v>
      </c>
      <c r="Q78" s="5">
        <f t="shared" si="15"/>
        <v>0</v>
      </c>
      <c r="R78" s="5">
        <f t="shared" si="16"/>
        <v>0</v>
      </c>
      <c r="S78" s="5">
        <f t="shared" si="17"/>
        <v>0</v>
      </c>
      <c r="T78" s="5">
        <f t="shared" si="18"/>
        <v>0</v>
      </c>
      <c r="U78" s="5">
        <f t="shared" si="19"/>
        <v>0</v>
      </c>
      <c r="V78" s="5">
        <f t="shared" si="20"/>
        <v>0</v>
      </c>
      <c r="W78" s="5">
        <f t="shared" si="21"/>
        <v>0</v>
      </c>
      <c r="X78" s="5">
        <f t="shared" si="22"/>
        <v>0</v>
      </c>
      <c r="Y78" s="5">
        <f t="shared" si="23"/>
        <v>0</v>
      </c>
    </row>
    <row r="79" spans="1:25" x14ac:dyDescent="0.55000000000000004">
      <c r="B79" s="11">
        <v>1</v>
      </c>
      <c r="C79" s="11">
        <v>6</v>
      </c>
      <c r="D79" s="12">
        <f t="shared" si="9"/>
        <v>0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24"/>
        <v>4749355.9918316668</v>
      </c>
      <c r="O79" s="5">
        <f t="shared" si="13"/>
        <v>9739327.1157916673</v>
      </c>
      <c r="P79" s="5">
        <f t="shared" si="14"/>
        <v>14789443.967698334</v>
      </c>
      <c r="Q79" s="5">
        <f t="shared" si="15"/>
        <v>19723980.28404</v>
      </c>
      <c r="R79" s="5">
        <f t="shared" si="16"/>
        <v>24462324.470548332</v>
      </c>
      <c r="S79" s="5">
        <f t="shared" si="17"/>
        <v>28741245.322784998</v>
      </c>
      <c r="T79" s="5">
        <f t="shared" si="18"/>
        <v>33008761.745914996</v>
      </c>
      <c r="U79" s="5">
        <f t="shared" si="19"/>
        <v>36723109.559898332</v>
      </c>
      <c r="V79" s="5">
        <f t="shared" si="20"/>
        <v>41155534.807484999</v>
      </c>
      <c r="W79" s="5">
        <f t="shared" si="21"/>
        <v>45423587.052673332</v>
      </c>
      <c r="X79" s="5">
        <f t="shared" si="22"/>
        <v>50549508.722573332</v>
      </c>
      <c r="Y79" s="5">
        <f t="shared" si="23"/>
        <v>55470305.342874996</v>
      </c>
    </row>
    <row r="80" spans="1:25" x14ac:dyDescent="0.55000000000000004">
      <c r="B80" s="11">
        <v>1</v>
      </c>
      <c r="C80" s="11">
        <v>7</v>
      </c>
      <c r="D80" s="12">
        <f t="shared" si="9"/>
        <v>0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24"/>
        <v>5562463.271675</v>
      </c>
      <c r="O80" s="5">
        <f t="shared" si="13"/>
        <v>11183184.3836</v>
      </c>
      <c r="P80" s="5">
        <f t="shared" si="14"/>
        <v>17005902.675195001</v>
      </c>
      <c r="Q80" s="5">
        <f t="shared" si="15"/>
        <v>22334098.466356669</v>
      </c>
      <c r="R80" s="5">
        <f t="shared" si="16"/>
        <v>27818965.610760003</v>
      </c>
      <c r="S80" s="5">
        <f t="shared" si="17"/>
        <v>32738680.75995167</v>
      </c>
      <c r="T80" s="5">
        <f t="shared" si="18"/>
        <v>37690237.335723341</v>
      </c>
      <c r="U80" s="5">
        <f t="shared" si="19"/>
        <v>43288696.271908343</v>
      </c>
      <c r="V80" s="5">
        <f t="shared" si="20"/>
        <v>48310331.817966677</v>
      </c>
      <c r="W80" s="5">
        <f t="shared" si="21"/>
        <v>53498609.824106678</v>
      </c>
      <c r="X80" s="5">
        <f t="shared" si="22"/>
        <v>58577908.837123349</v>
      </c>
      <c r="Y80" s="5">
        <f t="shared" si="23"/>
        <v>63704735.107398346</v>
      </c>
    </row>
    <row r="81" spans="2:25" x14ac:dyDescent="0.55000000000000004">
      <c r="B81" s="11">
        <v>1</v>
      </c>
      <c r="C81" s="11">
        <v>8</v>
      </c>
      <c r="D81" s="12">
        <f t="shared" si="9"/>
        <v>0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24"/>
        <v>5226553.7517466666</v>
      </c>
      <c r="O81" s="5">
        <f t="shared" si="13"/>
        <v>10145778.48505</v>
      </c>
      <c r="P81" s="5">
        <f t="shared" si="14"/>
        <v>15078646.496923335</v>
      </c>
      <c r="Q81" s="5">
        <f t="shared" si="15"/>
        <v>20220316.727133334</v>
      </c>
      <c r="R81" s="5">
        <f t="shared" si="16"/>
        <v>24931946.278176665</v>
      </c>
      <c r="S81" s="5">
        <f t="shared" si="17"/>
        <v>30033522.799251664</v>
      </c>
      <c r="T81" s="5">
        <f t="shared" si="18"/>
        <v>34787327.660901666</v>
      </c>
      <c r="U81" s="5">
        <f t="shared" si="19"/>
        <v>39478490.263734996</v>
      </c>
      <c r="V81" s="5">
        <f t="shared" si="20"/>
        <v>43955586.313576661</v>
      </c>
      <c r="W81" s="5">
        <f t="shared" si="21"/>
        <v>48564646.593276665</v>
      </c>
      <c r="X81" s="5">
        <f t="shared" si="22"/>
        <v>53468701.033316664</v>
      </c>
      <c r="Y81" s="5">
        <f t="shared" si="23"/>
        <v>58580332.029831663</v>
      </c>
    </row>
    <row r="82" spans="2:25" x14ac:dyDescent="0.55000000000000004">
      <c r="B82" s="11">
        <v>1</v>
      </c>
      <c r="C82" s="11">
        <v>9</v>
      </c>
      <c r="D82" s="12">
        <f t="shared" si="9"/>
        <v>0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24"/>
        <v>5447193.2938416665</v>
      </c>
      <c r="O82" s="5">
        <f t="shared" si="13"/>
        <v>11625758.431378333</v>
      </c>
      <c r="P82" s="5">
        <f t="shared" si="14"/>
        <v>17426533.444653332</v>
      </c>
      <c r="Q82" s="5">
        <f t="shared" si="15"/>
        <v>22471800.004639998</v>
      </c>
      <c r="R82" s="5">
        <f t="shared" si="16"/>
        <v>28083343.218228333</v>
      </c>
      <c r="S82" s="5">
        <f t="shared" si="17"/>
        <v>33622035.482923329</v>
      </c>
      <c r="T82" s="5">
        <f t="shared" si="18"/>
        <v>39035396.870053329</v>
      </c>
      <c r="U82" s="5">
        <f t="shared" si="19"/>
        <v>43490294.339928329</v>
      </c>
      <c r="V82" s="5">
        <f t="shared" si="20"/>
        <v>48393856.812863328</v>
      </c>
      <c r="W82" s="5">
        <f t="shared" si="21"/>
        <v>53256800.549331665</v>
      </c>
      <c r="X82" s="5">
        <f t="shared" si="22"/>
        <v>57758560.791828334</v>
      </c>
      <c r="Y82" s="5">
        <f t="shared" si="23"/>
        <v>62576629.640110001</v>
      </c>
    </row>
    <row r="83" spans="2:25" x14ac:dyDescent="0.55000000000000004">
      <c r="B83" s="11">
        <v>1</v>
      </c>
      <c r="C83" s="11">
        <v>10</v>
      </c>
      <c r="D83" s="12">
        <f t="shared" si="9"/>
        <v>0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24"/>
        <v>4974777.9702233337</v>
      </c>
      <c r="O83" s="5">
        <f t="shared" si="13"/>
        <v>9805515.8051683344</v>
      </c>
      <c r="P83" s="5">
        <f t="shared" si="14"/>
        <v>15472813.279418334</v>
      </c>
      <c r="Q83" s="5">
        <f t="shared" si="15"/>
        <v>20749144.087028332</v>
      </c>
      <c r="R83" s="5">
        <f t="shared" si="16"/>
        <v>26109953.600946665</v>
      </c>
      <c r="S83" s="5">
        <f t="shared" si="17"/>
        <v>32003219.292298332</v>
      </c>
      <c r="T83" s="5">
        <f t="shared" si="18"/>
        <v>36627295.099814996</v>
      </c>
      <c r="U83" s="5">
        <f t="shared" si="19"/>
        <v>41242219.599675</v>
      </c>
      <c r="V83" s="5">
        <f t="shared" si="20"/>
        <v>46229281.680308335</v>
      </c>
      <c r="W83" s="5">
        <f t="shared" si="21"/>
        <v>50648908.798038334</v>
      </c>
      <c r="X83" s="5">
        <f t="shared" si="22"/>
        <v>55125234.768605001</v>
      </c>
      <c r="Y83" s="5">
        <f t="shared" si="23"/>
        <v>60049399.193493336</v>
      </c>
    </row>
    <row r="84" spans="2:25" x14ac:dyDescent="0.55000000000000004">
      <c r="B84" s="11">
        <v>1</v>
      </c>
      <c r="C84" s="11">
        <v>11</v>
      </c>
      <c r="D84" s="12">
        <f t="shared" si="9"/>
        <v>0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24"/>
        <v>5046401.2833150001</v>
      </c>
      <c r="O84" s="5">
        <f t="shared" si="13"/>
        <v>10022913.237111669</v>
      </c>
      <c r="P84" s="5">
        <f t="shared" si="14"/>
        <v>14594958.500348337</v>
      </c>
      <c r="Q84" s="5">
        <f t="shared" si="15"/>
        <v>18734281.56740167</v>
      </c>
      <c r="R84" s="5">
        <f t="shared" si="16"/>
        <v>22620864.595221668</v>
      </c>
      <c r="S84" s="5">
        <f t="shared" si="17"/>
        <v>27254259.271213334</v>
      </c>
      <c r="T84" s="5">
        <f t="shared" si="18"/>
        <v>31405786.791578334</v>
      </c>
      <c r="U84" s="5">
        <f t="shared" si="19"/>
        <v>35601203.388075002</v>
      </c>
      <c r="V84" s="5">
        <f t="shared" si="20"/>
        <v>39699106.51127167</v>
      </c>
      <c r="W84" s="5">
        <f t="shared" si="21"/>
        <v>44001304.652723335</v>
      </c>
      <c r="X84" s="5">
        <f t="shared" si="22"/>
        <v>48722808.883540004</v>
      </c>
      <c r="Y84" s="5">
        <f t="shared" si="23"/>
        <v>53050981.784415007</v>
      </c>
    </row>
    <row r="85" spans="2:25" x14ac:dyDescent="0.55000000000000004">
      <c r="B85" s="11">
        <v>1</v>
      </c>
      <c r="C85" s="11">
        <v>12</v>
      </c>
      <c r="D85" s="12">
        <f t="shared" si="9"/>
        <v>0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>
        <f>SUM(D74:D85)/1000000</f>
        <v>0</v>
      </c>
      <c r="M85" s="6" t="s">
        <v>24</v>
      </c>
      <c r="N85" s="5">
        <f t="shared" si="24"/>
        <v>5358468.0415766668</v>
      </c>
      <c r="O85" s="5">
        <f t="shared" si="13"/>
        <v>10703391.871403335</v>
      </c>
      <c r="P85" s="5">
        <f t="shared" si="14"/>
        <v>16086555.164148334</v>
      </c>
      <c r="Q85" s="5">
        <f t="shared" si="15"/>
        <v>21268199.003396668</v>
      </c>
      <c r="R85" s="5">
        <f t="shared" si="16"/>
        <v>26315343.773135003</v>
      </c>
      <c r="S85" s="5">
        <f t="shared" si="17"/>
        <v>31740824.257106669</v>
      </c>
      <c r="T85" s="5">
        <f t="shared" si="18"/>
        <v>37005793.717828333</v>
      </c>
      <c r="U85" s="5">
        <f t="shared" si="19"/>
        <v>42752994.323375002</v>
      </c>
      <c r="V85" s="5">
        <f t="shared" si="20"/>
        <v>47841554.394663334</v>
      </c>
      <c r="W85" s="5">
        <f t="shared" si="21"/>
        <v>53098572.16674</v>
      </c>
      <c r="X85" s="5">
        <f t="shared" si="22"/>
        <v>58144886.156898335</v>
      </c>
      <c r="Y85" s="5">
        <f t="shared" si="23"/>
        <v>63938961.096638337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0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25">G86</f>
        <v>Oct'15/16</v>
      </c>
      <c r="I86" s="11">
        <f t="shared" ref="I86:I149" si="26">SUM(D75:D86)/1000000</f>
        <v>0</v>
      </c>
      <c r="M86" s="6" t="s">
        <v>25</v>
      </c>
      <c r="N86" s="5">
        <f t="shared" si="24"/>
        <v>6098193.2113883328</v>
      </c>
      <c r="O86" s="5">
        <f t="shared" si="13"/>
        <v>11737412.262321666</v>
      </c>
      <c r="P86" s="5">
        <f t="shared" si="14"/>
        <v>17756614.903113335</v>
      </c>
      <c r="Q86" s="5">
        <f t="shared" si="15"/>
        <v>23027698.38709167</v>
      </c>
      <c r="R86" s="5">
        <f t="shared" si="16"/>
        <v>28261283.424455002</v>
      </c>
      <c r="S86" s="5">
        <f t="shared" si="17"/>
        <v>33937329.094395004</v>
      </c>
      <c r="T86" s="5">
        <f t="shared" si="18"/>
        <v>38860181.425825007</v>
      </c>
      <c r="U86" s="5">
        <f t="shared" si="19"/>
        <v>44077120.463681675</v>
      </c>
      <c r="V86" s="5">
        <f t="shared" si="20"/>
        <v>48805931.428415008</v>
      </c>
      <c r="W86" s="5">
        <f t="shared" si="21"/>
        <v>53703841.093598343</v>
      </c>
      <c r="X86" s="5">
        <f t="shared" si="22"/>
        <v>58574696.289485566</v>
      </c>
      <c r="Y86" s="5">
        <f t="shared" si="23"/>
        <v>64038699.718639292</v>
      </c>
    </row>
    <row r="87" spans="2:25" x14ac:dyDescent="0.55000000000000004">
      <c r="B87" s="11">
        <f t="shared" ref="B87:B150" si="27">B75+1</f>
        <v>2</v>
      </c>
      <c r="C87" s="11">
        <f t="shared" ref="C87:C150" si="28">C75</f>
        <v>2</v>
      </c>
      <c r="D87" s="12">
        <f t="shared" si="9"/>
        <v>0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25"/>
        <v>Nov'15/16</v>
      </c>
      <c r="I87" s="11">
        <f t="shared" si="26"/>
        <v>0</v>
      </c>
      <c r="M87" s="6" t="s">
        <v>26</v>
      </c>
      <c r="N87" s="5">
        <f t="shared" si="24"/>
        <v>5741470.5699999994</v>
      </c>
      <c r="O87" s="5">
        <f t="shared" si="13"/>
        <v>11127572.260666665</v>
      </c>
      <c r="P87" s="5">
        <f t="shared" si="14"/>
        <v>15952477.692333331</v>
      </c>
      <c r="Q87" s="5">
        <f t="shared" si="15"/>
        <v>20334162.692333333</v>
      </c>
      <c r="R87" s="5">
        <f t="shared" si="16"/>
        <v>24551683.692333333</v>
      </c>
      <c r="S87" s="5">
        <f t="shared" si="17"/>
        <v>29154375.025666665</v>
      </c>
      <c r="T87" s="5">
        <f t="shared" si="18"/>
        <v>33569854.358999997</v>
      </c>
      <c r="U87" s="5">
        <f t="shared" si="19"/>
        <v>38229966.692333333</v>
      </c>
      <c r="V87" s="5" t="e">
        <f t="shared" si="20"/>
        <v>#N/A</v>
      </c>
      <c r="W87" s="5" t="e">
        <f t="shared" si="21"/>
        <v>#N/A</v>
      </c>
      <c r="X87" s="5" t="e">
        <f t="shared" si="22"/>
        <v>#N/A</v>
      </c>
      <c r="Y87" s="5" t="e">
        <f t="shared" si="23"/>
        <v>#N/A</v>
      </c>
    </row>
    <row r="88" spans="2:25" x14ac:dyDescent="0.55000000000000004">
      <c r="B88" s="11">
        <f t="shared" si="27"/>
        <v>2</v>
      </c>
      <c r="C88" s="11">
        <f t="shared" si="28"/>
        <v>3</v>
      </c>
      <c r="D88" s="12">
        <f t="shared" si="9"/>
        <v>0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25"/>
        <v>Dec'15/16</v>
      </c>
      <c r="I88" s="11">
        <f t="shared" si="26"/>
        <v>0</v>
      </c>
      <c r="M88" s="6" t="s">
        <v>27</v>
      </c>
      <c r="N88" s="5" t="e">
        <f t="shared" si="24"/>
        <v>#N/A</v>
      </c>
      <c r="O88" s="5" t="e">
        <f t="shared" si="13"/>
        <v>#N/A</v>
      </c>
      <c r="P88" s="5" t="e">
        <f t="shared" si="14"/>
        <v>#N/A</v>
      </c>
      <c r="Q88" s="5" t="e">
        <f t="shared" si="15"/>
        <v>#N/A</v>
      </c>
      <c r="R88" s="5" t="e">
        <f t="shared" si="16"/>
        <v>#N/A</v>
      </c>
      <c r="S88" s="5" t="e">
        <f t="shared" si="17"/>
        <v>#N/A</v>
      </c>
      <c r="T88" s="5" t="e">
        <f t="shared" si="18"/>
        <v>#N/A</v>
      </c>
      <c r="U88" s="5" t="e">
        <f t="shared" si="19"/>
        <v>#N/A</v>
      </c>
      <c r="V88" s="5" t="e">
        <f t="shared" si="20"/>
        <v>#N/A</v>
      </c>
      <c r="W88" s="5" t="e">
        <f t="shared" si="21"/>
        <v>#N/A</v>
      </c>
      <c r="X88" s="5" t="e">
        <f t="shared" si="22"/>
        <v>#N/A</v>
      </c>
      <c r="Y88" s="5" t="e">
        <f t="shared" si="23"/>
        <v>#N/A</v>
      </c>
    </row>
    <row r="89" spans="2:25" x14ac:dyDescent="0.55000000000000004">
      <c r="B89" s="11">
        <f t="shared" si="27"/>
        <v>2</v>
      </c>
      <c r="C89" s="11">
        <f t="shared" si="28"/>
        <v>4</v>
      </c>
      <c r="D89" s="12">
        <f t="shared" si="9"/>
        <v>0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25"/>
        <v>Jan'15/16</v>
      </c>
      <c r="I89" s="11">
        <f t="shared" si="26"/>
        <v>0</v>
      </c>
    </row>
    <row r="90" spans="2:25" x14ac:dyDescent="0.55000000000000004">
      <c r="B90" s="11">
        <f t="shared" si="27"/>
        <v>2</v>
      </c>
      <c r="C90" s="11">
        <f t="shared" si="28"/>
        <v>5</v>
      </c>
      <c r="D90" s="12">
        <f t="shared" si="9"/>
        <v>0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25"/>
        <v>Feb'15/16</v>
      </c>
      <c r="I90" s="11">
        <f t="shared" si="26"/>
        <v>0</v>
      </c>
    </row>
    <row r="91" spans="2:25" x14ac:dyDescent="0.55000000000000004">
      <c r="B91" s="11">
        <f t="shared" si="27"/>
        <v>2</v>
      </c>
      <c r="C91" s="11">
        <f t="shared" si="28"/>
        <v>6</v>
      </c>
      <c r="D91" s="12">
        <f t="shared" si="9"/>
        <v>0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25"/>
        <v>Mar'15/16</v>
      </c>
      <c r="I91" s="11">
        <f t="shared" si="26"/>
        <v>0</v>
      </c>
    </row>
    <row r="92" spans="2:25" x14ac:dyDescent="0.55000000000000004">
      <c r="B92" s="11">
        <f t="shared" si="27"/>
        <v>2</v>
      </c>
      <c r="C92" s="11">
        <f t="shared" si="28"/>
        <v>7</v>
      </c>
      <c r="D92" s="12">
        <f t="shared" si="9"/>
        <v>0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25"/>
        <v>Apr'15/16</v>
      </c>
      <c r="I92" s="11">
        <f t="shared" si="26"/>
        <v>0</v>
      </c>
    </row>
    <row r="93" spans="2:25" x14ac:dyDescent="0.55000000000000004">
      <c r="B93" s="11">
        <f t="shared" si="27"/>
        <v>2</v>
      </c>
      <c r="C93" s="11">
        <f t="shared" si="28"/>
        <v>8</v>
      </c>
      <c r="D93" s="12">
        <f t="shared" si="9"/>
        <v>0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25"/>
        <v>May'15/16</v>
      </c>
      <c r="I93" s="11">
        <f t="shared" si="26"/>
        <v>0</v>
      </c>
    </row>
    <row r="94" spans="2:25" x14ac:dyDescent="0.55000000000000004">
      <c r="B94" s="11">
        <f t="shared" si="27"/>
        <v>2</v>
      </c>
      <c r="C94" s="11">
        <f t="shared" si="28"/>
        <v>9</v>
      </c>
      <c r="D94" s="12">
        <f t="shared" si="9"/>
        <v>0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25"/>
        <v>Jun'15/16</v>
      </c>
      <c r="I94" s="11">
        <f t="shared" si="26"/>
        <v>0</v>
      </c>
    </row>
    <row r="95" spans="2:25" x14ac:dyDescent="0.55000000000000004">
      <c r="B95" s="11">
        <f t="shared" si="27"/>
        <v>2</v>
      </c>
      <c r="C95" s="11">
        <f t="shared" si="28"/>
        <v>10</v>
      </c>
      <c r="D95" s="12">
        <f t="shared" si="9"/>
        <v>0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25"/>
        <v>Jul'15/16</v>
      </c>
      <c r="I95" s="11">
        <f t="shared" si="26"/>
        <v>0</v>
      </c>
    </row>
    <row r="96" spans="2:25" x14ac:dyDescent="0.55000000000000004">
      <c r="B96" s="11">
        <f t="shared" si="27"/>
        <v>2</v>
      </c>
      <c r="C96" s="11">
        <f t="shared" si="28"/>
        <v>11</v>
      </c>
      <c r="D96" s="12">
        <f t="shared" si="9"/>
        <v>0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25"/>
        <v>Aug'15/16</v>
      </c>
      <c r="I96" s="11">
        <f t="shared" si="26"/>
        <v>0</v>
      </c>
    </row>
    <row r="97" spans="2:9" x14ac:dyDescent="0.55000000000000004">
      <c r="B97" s="11">
        <f t="shared" si="27"/>
        <v>2</v>
      </c>
      <c r="C97" s="11">
        <f t="shared" si="28"/>
        <v>12</v>
      </c>
      <c r="D97" s="12">
        <f t="shared" si="9"/>
        <v>0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25"/>
        <v>Sep'15/16</v>
      </c>
      <c r="I97" s="11">
        <f t="shared" si="26"/>
        <v>0</v>
      </c>
    </row>
    <row r="98" spans="2:9" x14ac:dyDescent="0.55000000000000004">
      <c r="B98" s="11">
        <f t="shared" si="27"/>
        <v>3</v>
      </c>
      <c r="C98" s="11">
        <f t="shared" si="28"/>
        <v>1</v>
      </c>
      <c r="D98" s="12">
        <f t="shared" si="9"/>
        <v>0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25"/>
        <v>Oct'16/17</v>
      </c>
      <c r="I98" s="11">
        <f t="shared" si="26"/>
        <v>0</v>
      </c>
    </row>
    <row r="99" spans="2:9" x14ac:dyDescent="0.55000000000000004">
      <c r="B99" s="11">
        <f t="shared" si="27"/>
        <v>3</v>
      </c>
      <c r="C99" s="11">
        <f t="shared" si="28"/>
        <v>2</v>
      </c>
      <c r="D99" s="12">
        <f t="shared" si="9"/>
        <v>0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25"/>
        <v>Nov'16/17</v>
      </c>
      <c r="I99" s="11">
        <f t="shared" si="26"/>
        <v>0</v>
      </c>
    </row>
    <row r="100" spans="2:9" x14ac:dyDescent="0.55000000000000004">
      <c r="B100" s="11">
        <f t="shared" si="27"/>
        <v>3</v>
      </c>
      <c r="C100" s="11">
        <f t="shared" si="28"/>
        <v>3</v>
      </c>
      <c r="D100" s="12">
        <f t="shared" si="9"/>
        <v>0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25"/>
        <v>Dec'16/17</v>
      </c>
      <c r="I100" s="11">
        <f t="shared" si="26"/>
        <v>0</v>
      </c>
    </row>
    <row r="101" spans="2:9" x14ac:dyDescent="0.55000000000000004">
      <c r="B101" s="11">
        <f t="shared" si="27"/>
        <v>3</v>
      </c>
      <c r="C101" s="11">
        <f t="shared" si="28"/>
        <v>4</v>
      </c>
      <c r="D101" s="12">
        <f t="shared" si="9"/>
        <v>0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25"/>
        <v>Jan'16/17</v>
      </c>
      <c r="I101" s="11">
        <f t="shared" si="26"/>
        <v>0</v>
      </c>
    </row>
    <row r="102" spans="2:9" x14ac:dyDescent="0.55000000000000004">
      <c r="B102" s="11">
        <f t="shared" si="27"/>
        <v>3</v>
      </c>
      <c r="C102" s="11">
        <f t="shared" si="28"/>
        <v>5</v>
      </c>
      <c r="D102" s="12">
        <f t="shared" si="9"/>
        <v>0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25"/>
        <v>Feb'16/17</v>
      </c>
      <c r="I102" s="11">
        <f t="shared" si="26"/>
        <v>0</v>
      </c>
    </row>
    <row r="103" spans="2:9" x14ac:dyDescent="0.55000000000000004">
      <c r="B103" s="11">
        <f t="shared" si="27"/>
        <v>3</v>
      </c>
      <c r="C103" s="11">
        <f t="shared" si="28"/>
        <v>6</v>
      </c>
      <c r="D103" s="12">
        <f t="shared" si="9"/>
        <v>0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25"/>
        <v>Mar'16/17</v>
      </c>
      <c r="I103" s="11">
        <f t="shared" si="26"/>
        <v>0</v>
      </c>
    </row>
    <row r="104" spans="2:9" x14ac:dyDescent="0.55000000000000004">
      <c r="B104" s="11">
        <f t="shared" si="27"/>
        <v>3</v>
      </c>
      <c r="C104" s="11">
        <f t="shared" si="28"/>
        <v>7</v>
      </c>
      <c r="D104" s="12">
        <f t="shared" si="9"/>
        <v>0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25"/>
        <v>Apr'16/17</v>
      </c>
      <c r="I104" s="11">
        <f t="shared" si="26"/>
        <v>0</v>
      </c>
    </row>
    <row r="105" spans="2:9" x14ac:dyDescent="0.55000000000000004">
      <c r="B105" s="11">
        <f t="shared" si="27"/>
        <v>3</v>
      </c>
      <c r="C105" s="11">
        <f t="shared" si="28"/>
        <v>8</v>
      </c>
      <c r="D105" s="12">
        <f t="shared" si="9"/>
        <v>0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25"/>
        <v>May'16/17</v>
      </c>
      <c r="I105" s="11">
        <f t="shared" si="26"/>
        <v>0</v>
      </c>
    </row>
    <row r="106" spans="2:9" x14ac:dyDescent="0.55000000000000004">
      <c r="B106" s="11">
        <f t="shared" si="27"/>
        <v>3</v>
      </c>
      <c r="C106" s="11">
        <f t="shared" si="28"/>
        <v>9</v>
      </c>
      <c r="D106" s="12">
        <f t="shared" si="9"/>
        <v>0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25"/>
        <v>Jun'16/17</v>
      </c>
      <c r="I106" s="11">
        <f t="shared" si="26"/>
        <v>0</v>
      </c>
    </row>
    <row r="107" spans="2:9" x14ac:dyDescent="0.55000000000000004">
      <c r="B107" s="11">
        <f t="shared" si="27"/>
        <v>3</v>
      </c>
      <c r="C107" s="11">
        <f t="shared" si="28"/>
        <v>10</v>
      </c>
      <c r="D107" s="12">
        <f t="shared" si="9"/>
        <v>0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25"/>
        <v>Jul'16/17</v>
      </c>
      <c r="I107" s="11">
        <f t="shared" si="26"/>
        <v>0</v>
      </c>
    </row>
    <row r="108" spans="2:9" x14ac:dyDescent="0.55000000000000004">
      <c r="B108" s="11">
        <f t="shared" si="27"/>
        <v>3</v>
      </c>
      <c r="C108" s="11">
        <f t="shared" si="28"/>
        <v>11</v>
      </c>
      <c r="D108" s="12">
        <f t="shared" si="9"/>
        <v>0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25"/>
        <v>Aug'16/17</v>
      </c>
      <c r="I108" s="11">
        <f t="shared" si="26"/>
        <v>0</v>
      </c>
    </row>
    <row r="109" spans="2:9" x14ac:dyDescent="0.55000000000000004">
      <c r="B109" s="11">
        <f t="shared" si="27"/>
        <v>3</v>
      </c>
      <c r="C109" s="11">
        <f t="shared" si="28"/>
        <v>12</v>
      </c>
      <c r="D109" s="12">
        <f t="shared" si="9"/>
        <v>0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25"/>
        <v>Sep'16/17</v>
      </c>
      <c r="I109" s="11">
        <f t="shared" si="26"/>
        <v>0</v>
      </c>
    </row>
    <row r="110" spans="2:9" x14ac:dyDescent="0.55000000000000004">
      <c r="B110" s="11">
        <f t="shared" si="27"/>
        <v>4</v>
      </c>
      <c r="C110" s="11">
        <f t="shared" si="28"/>
        <v>1</v>
      </c>
      <c r="D110" s="12">
        <f t="shared" si="9"/>
        <v>4749355.9918316668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25"/>
        <v>Oct'17/18</v>
      </c>
      <c r="I110" s="11">
        <f t="shared" si="26"/>
        <v>4.749355991831667</v>
      </c>
    </row>
    <row r="111" spans="2:9" x14ac:dyDescent="0.55000000000000004">
      <c r="B111" s="11">
        <f t="shared" si="27"/>
        <v>4</v>
      </c>
      <c r="C111" s="11">
        <f t="shared" si="28"/>
        <v>2</v>
      </c>
      <c r="D111" s="12">
        <f t="shared" si="9"/>
        <v>4989971.1239600005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25"/>
        <v>Nov'17/18</v>
      </c>
      <c r="I111" s="11">
        <f t="shared" si="26"/>
        <v>9.7393271157916672</v>
      </c>
    </row>
    <row r="112" spans="2:9" x14ac:dyDescent="0.55000000000000004">
      <c r="B112" s="11">
        <f t="shared" si="27"/>
        <v>4</v>
      </c>
      <c r="C112" s="11">
        <f t="shared" si="28"/>
        <v>3</v>
      </c>
      <c r="D112" s="12">
        <f t="shared" si="9"/>
        <v>5050116.8519066665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25"/>
        <v>Dec'17/18</v>
      </c>
      <c r="I112" s="11">
        <f t="shared" si="26"/>
        <v>14.789443967698334</v>
      </c>
    </row>
    <row r="113" spans="2:9" x14ac:dyDescent="0.55000000000000004">
      <c r="B113" s="11">
        <f t="shared" si="27"/>
        <v>4</v>
      </c>
      <c r="C113" s="11">
        <f t="shared" si="28"/>
        <v>4</v>
      </c>
      <c r="D113" s="12">
        <f t="shared" si="9"/>
        <v>4934536.3163416665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25"/>
        <v>Jan'17/18</v>
      </c>
      <c r="I113" s="11">
        <f t="shared" si="26"/>
        <v>19.72398028404</v>
      </c>
    </row>
    <row r="114" spans="2:9" x14ac:dyDescent="0.55000000000000004">
      <c r="B114" s="11">
        <f t="shared" si="27"/>
        <v>4</v>
      </c>
      <c r="C114" s="11">
        <f t="shared" si="28"/>
        <v>5</v>
      </c>
      <c r="D114" s="12">
        <f t="shared" si="9"/>
        <v>4738344.1865083333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25"/>
        <v>Feb'17/18</v>
      </c>
      <c r="I114" s="11">
        <f t="shared" si="26"/>
        <v>24.462324470548332</v>
      </c>
    </row>
    <row r="115" spans="2:9" x14ac:dyDescent="0.55000000000000004">
      <c r="B115" s="11">
        <f t="shared" si="27"/>
        <v>4</v>
      </c>
      <c r="C115" s="11">
        <f t="shared" si="28"/>
        <v>6</v>
      </c>
      <c r="D115" s="12">
        <f t="shared" si="9"/>
        <v>4278920.8522366667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25"/>
        <v>Mar'17/18</v>
      </c>
      <c r="I115" s="11">
        <f t="shared" si="26"/>
        <v>28.741245322784998</v>
      </c>
    </row>
    <row r="116" spans="2:9" x14ac:dyDescent="0.55000000000000004">
      <c r="B116" s="11">
        <f t="shared" si="27"/>
        <v>4</v>
      </c>
      <c r="C116" s="11">
        <f t="shared" si="28"/>
        <v>7</v>
      </c>
      <c r="D116" s="12">
        <f t="shared" si="9"/>
        <v>4267516.42313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25"/>
        <v>Apr'17/18</v>
      </c>
      <c r="I116" s="11">
        <f t="shared" si="26"/>
        <v>33.008761745914995</v>
      </c>
    </row>
    <row r="117" spans="2:9" x14ac:dyDescent="0.55000000000000004">
      <c r="B117" s="11">
        <f t="shared" si="27"/>
        <v>4</v>
      </c>
      <c r="C117" s="11">
        <f t="shared" si="28"/>
        <v>8</v>
      </c>
      <c r="D117" s="12">
        <f t="shared" si="9"/>
        <v>3714347.8139833333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25"/>
        <v>May'17/18</v>
      </c>
      <c r="I117" s="11">
        <f t="shared" si="26"/>
        <v>36.723109559898333</v>
      </c>
    </row>
    <row r="118" spans="2:9" x14ac:dyDescent="0.55000000000000004">
      <c r="B118" s="11">
        <f t="shared" si="27"/>
        <v>4</v>
      </c>
      <c r="C118" s="11">
        <f t="shared" si="28"/>
        <v>9</v>
      </c>
      <c r="D118" s="12">
        <f t="shared" si="9"/>
        <v>4432425.2475866666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25"/>
        <v>Jun'17/18</v>
      </c>
      <c r="I118" s="11">
        <f t="shared" si="26"/>
        <v>41.155534807484997</v>
      </c>
    </row>
    <row r="119" spans="2:9" x14ac:dyDescent="0.55000000000000004">
      <c r="B119" s="11">
        <f t="shared" si="27"/>
        <v>4</v>
      </c>
      <c r="C119" s="11">
        <f t="shared" si="28"/>
        <v>10</v>
      </c>
      <c r="D119" s="12">
        <f t="shared" si="9"/>
        <v>4268052.2451883331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25"/>
        <v>Jul'17/18</v>
      </c>
      <c r="I119" s="11">
        <f t="shared" si="26"/>
        <v>45.423587052673334</v>
      </c>
    </row>
    <row r="120" spans="2:9" x14ac:dyDescent="0.55000000000000004">
      <c r="B120" s="11">
        <f t="shared" si="27"/>
        <v>4</v>
      </c>
      <c r="C120" s="11">
        <f t="shared" si="28"/>
        <v>11</v>
      </c>
      <c r="D120" s="12">
        <f t="shared" si="9"/>
        <v>5125921.6699000001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25"/>
        <v>Aug'17/18</v>
      </c>
      <c r="I120" s="11">
        <f t="shared" si="26"/>
        <v>50.549508722573336</v>
      </c>
    </row>
    <row r="121" spans="2:9" x14ac:dyDescent="0.55000000000000004">
      <c r="B121" s="11">
        <f t="shared" si="27"/>
        <v>4</v>
      </c>
      <c r="C121" s="11">
        <f t="shared" si="28"/>
        <v>12</v>
      </c>
      <c r="D121" s="12">
        <f t="shared" si="9"/>
        <v>4920796.6203016657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25"/>
        <v>Sep'17/18</v>
      </c>
      <c r="I121" s="11">
        <f t="shared" si="26"/>
        <v>55.470305342874994</v>
      </c>
    </row>
    <row r="122" spans="2:9" x14ac:dyDescent="0.55000000000000004">
      <c r="B122" s="11">
        <f t="shared" si="27"/>
        <v>5</v>
      </c>
      <c r="C122" s="11">
        <f t="shared" si="28"/>
        <v>1</v>
      </c>
      <c r="D122" s="12">
        <f t="shared" si="9"/>
        <v>5562463.271675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25"/>
        <v>Oct'18/19</v>
      </c>
      <c r="I122" s="11">
        <f t="shared" si="26"/>
        <v>56.283412622718323</v>
      </c>
    </row>
    <row r="123" spans="2:9" x14ac:dyDescent="0.55000000000000004">
      <c r="B123" s="11">
        <f t="shared" si="27"/>
        <v>5</v>
      </c>
      <c r="C123" s="11">
        <f t="shared" si="28"/>
        <v>2</v>
      </c>
      <c r="D123" s="12">
        <f t="shared" si="9"/>
        <v>5620721.1119249994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25"/>
        <v>Nov'18/19</v>
      </c>
      <c r="I123" s="11">
        <f t="shared" si="26"/>
        <v>56.91416261068332</v>
      </c>
    </row>
    <row r="124" spans="2:9" x14ac:dyDescent="0.55000000000000004">
      <c r="B124" s="11">
        <f t="shared" si="27"/>
        <v>5</v>
      </c>
      <c r="C124" s="11">
        <f t="shared" si="28"/>
        <v>3</v>
      </c>
      <c r="D124" s="12">
        <f t="shared" si="9"/>
        <v>5822718.2915949998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25"/>
        <v>Dec'18/19</v>
      </c>
      <c r="I124" s="11">
        <f t="shared" si="26"/>
        <v>57.686764050371664</v>
      </c>
    </row>
    <row r="125" spans="2:9" x14ac:dyDescent="0.55000000000000004">
      <c r="B125" s="11">
        <f t="shared" si="27"/>
        <v>5</v>
      </c>
      <c r="C125" s="11">
        <f t="shared" si="28"/>
        <v>4</v>
      </c>
      <c r="D125" s="12">
        <f t="shared" si="9"/>
        <v>5328195.7911616666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25"/>
        <v>Jan'18/19</v>
      </c>
      <c r="I125" s="11">
        <f t="shared" si="26"/>
        <v>58.080423525191655</v>
      </c>
    </row>
    <row r="126" spans="2:9" x14ac:dyDescent="0.55000000000000004">
      <c r="B126" s="11">
        <f t="shared" si="27"/>
        <v>5</v>
      </c>
      <c r="C126" s="11">
        <f t="shared" si="28"/>
        <v>5</v>
      </c>
      <c r="D126" s="12">
        <f t="shared" si="9"/>
        <v>5484867.1444033328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25"/>
        <v>Feb'18/19</v>
      </c>
      <c r="I126" s="11">
        <f t="shared" si="26"/>
        <v>58.826946483086651</v>
      </c>
    </row>
    <row r="127" spans="2:9" x14ac:dyDescent="0.55000000000000004">
      <c r="B127" s="11">
        <f t="shared" si="27"/>
        <v>5</v>
      </c>
      <c r="C127" s="11">
        <f t="shared" si="28"/>
        <v>6</v>
      </c>
      <c r="D127" s="12">
        <f t="shared" si="9"/>
        <v>4919715.1491916664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25"/>
        <v>Mar'18/19</v>
      </c>
      <c r="I127" s="11">
        <f t="shared" si="26"/>
        <v>59.467740780041652</v>
      </c>
    </row>
    <row r="128" spans="2:9" x14ac:dyDescent="0.55000000000000004">
      <c r="B128" s="11">
        <f t="shared" si="27"/>
        <v>5</v>
      </c>
      <c r="C128" s="11">
        <f t="shared" si="28"/>
        <v>7</v>
      </c>
      <c r="D128" s="12">
        <f t="shared" si="9"/>
        <v>4951556.5757716671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25"/>
        <v>Apr'18/19</v>
      </c>
      <c r="I128" s="11">
        <f t="shared" si="26"/>
        <v>60.151780932683323</v>
      </c>
    </row>
    <row r="129" spans="2:9" x14ac:dyDescent="0.55000000000000004">
      <c r="B129" s="11">
        <f t="shared" si="27"/>
        <v>5</v>
      </c>
      <c r="C129" s="11">
        <f t="shared" si="28"/>
        <v>8</v>
      </c>
      <c r="D129" s="12">
        <f t="shared" si="9"/>
        <v>5598458.9361850005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25"/>
        <v>May'18/19</v>
      </c>
      <c r="I129" s="11">
        <f t="shared" si="26"/>
        <v>62.035892054884989</v>
      </c>
    </row>
    <row r="130" spans="2:9" x14ac:dyDescent="0.55000000000000004">
      <c r="B130" s="11">
        <f t="shared" si="27"/>
        <v>5</v>
      </c>
      <c r="C130" s="11">
        <f t="shared" si="28"/>
        <v>9</v>
      </c>
      <c r="D130" s="12">
        <f t="shared" si="9"/>
        <v>5021635.5460583335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25"/>
        <v>Jun'18/19</v>
      </c>
      <c r="I130" s="11">
        <f t="shared" si="26"/>
        <v>62.62510235335666</v>
      </c>
    </row>
    <row r="131" spans="2:9" x14ac:dyDescent="0.55000000000000004">
      <c r="B131" s="11">
        <f t="shared" si="27"/>
        <v>5</v>
      </c>
      <c r="C131" s="11">
        <f t="shared" si="28"/>
        <v>10</v>
      </c>
      <c r="D131" s="12">
        <f t="shared" si="9"/>
        <v>5188278.0061400002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25"/>
        <v>Jul'18/19</v>
      </c>
      <c r="I131" s="11">
        <f t="shared" si="26"/>
        <v>63.545328114308333</v>
      </c>
    </row>
    <row r="132" spans="2:9" x14ac:dyDescent="0.55000000000000004">
      <c r="B132" s="11">
        <f t="shared" si="27"/>
        <v>5</v>
      </c>
      <c r="C132" s="11">
        <f t="shared" si="28"/>
        <v>11</v>
      </c>
      <c r="D132" s="12">
        <f t="shared" si="9"/>
        <v>5079299.0130166672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25"/>
        <v>Aug'18/19</v>
      </c>
      <c r="I132" s="11">
        <f t="shared" si="26"/>
        <v>63.498705457424997</v>
      </c>
    </row>
    <row r="133" spans="2:9" x14ac:dyDescent="0.55000000000000004">
      <c r="B133" s="11">
        <f t="shared" si="27"/>
        <v>5</v>
      </c>
      <c r="C133" s="11">
        <f t="shared" si="28"/>
        <v>12</v>
      </c>
      <c r="D133" s="12">
        <f t="shared" si="9"/>
        <v>5126826.2702750005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25"/>
        <v>Sep'18/19</v>
      </c>
      <c r="I133" s="11">
        <f t="shared" si="26"/>
        <v>63.704735107398349</v>
      </c>
    </row>
    <row r="134" spans="2:9" x14ac:dyDescent="0.55000000000000004">
      <c r="B134" s="11">
        <f t="shared" si="27"/>
        <v>6</v>
      </c>
      <c r="C134" s="11">
        <f t="shared" si="28"/>
        <v>1</v>
      </c>
      <c r="D134" s="12">
        <f t="shared" si="9"/>
        <v>5226553.7517466666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25"/>
        <v>Oct'19/20</v>
      </c>
      <c r="I134" s="11">
        <f t="shared" si="26"/>
        <v>63.368825587469992</v>
      </c>
    </row>
    <row r="135" spans="2:9" x14ac:dyDescent="0.55000000000000004">
      <c r="B135" s="11">
        <f t="shared" si="27"/>
        <v>6</v>
      </c>
      <c r="C135" s="11">
        <f t="shared" si="28"/>
        <v>2</v>
      </c>
      <c r="D135" s="12">
        <f t="shared" si="9"/>
        <v>4919224.7333033336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25"/>
        <v>Nov'19/20</v>
      </c>
      <c r="I135" s="11">
        <f t="shared" si="26"/>
        <v>62.667329208848336</v>
      </c>
    </row>
    <row r="136" spans="2:9" x14ac:dyDescent="0.55000000000000004">
      <c r="B136" s="11">
        <f t="shared" si="27"/>
        <v>6</v>
      </c>
      <c r="C136" s="11">
        <f t="shared" si="28"/>
        <v>3</v>
      </c>
      <c r="D136" s="12">
        <f t="shared" si="9"/>
        <v>4932868.0118733337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25"/>
        <v>Dec'19/20</v>
      </c>
      <c r="I136" s="11">
        <f t="shared" si="26"/>
        <v>61.777478929126673</v>
      </c>
    </row>
    <row r="137" spans="2:9" x14ac:dyDescent="0.55000000000000004">
      <c r="B137" s="11">
        <f t="shared" si="27"/>
        <v>6</v>
      </c>
      <c r="C137" s="11">
        <f t="shared" si="28"/>
        <v>4</v>
      </c>
      <c r="D137" s="12">
        <f t="shared" si="9"/>
        <v>5141670.2302099997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25"/>
        <v>Jan'19/20</v>
      </c>
      <c r="I137" s="11">
        <f t="shared" si="26"/>
        <v>61.590953368175001</v>
      </c>
    </row>
    <row r="138" spans="2:9" x14ac:dyDescent="0.55000000000000004">
      <c r="B138" s="11">
        <f t="shared" si="27"/>
        <v>6</v>
      </c>
      <c r="C138" s="11">
        <f t="shared" si="28"/>
        <v>5</v>
      </c>
      <c r="D138" s="12">
        <f t="shared" si="9"/>
        <v>4711629.5510433335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25"/>
        <v>Feb'19/20</v>
      </c>
      <c r="I138" s="11">
        <f t="shared" si="26"/>
        <v>60.817715774814999</v>
      </c>
    </row>
    <row r="139" spans="2:9" x14ac:dyDescent="0.55000000000000004">
      <c r="B139" s="11">
        <f t="shared" si="27"/>
        <v>6</v>
      </c>
      <c r="C139" s="11">
        <f t="shared" si="28"/>
        <v>6</v>
      </c>
      <c r="D139" s="12">
        <f t="shared" ref="D139:D202" si="29">INDEX($C$7:$N$19,MATCH(B139,$A$7:$A$19),MATCH(C139,$C$4:$N$4))</f>
        <v>5101576.5210750001</v>
      </c>
      <c r="E139" s="11" t="str">
        <f t="shared" ref="E139:E202" si="30">_xlfn.XLOOKUP(B139,$A$7:$A$19,$B$7:$B$19)</f>
        <v>19/20</v>
      </c>
      <c r="F139" s="11" t="str">
        <f t="shared" ref="F139:F202" si="31">_xlfn.XLOOKUP(C139,$C$4:$N$4,$C$6:$N$6)</f>
        <v>Mar</v>
      </c>
      <c r="G139" s="11" t="str">
        <f t="shared" ref="G139:G202" si="32">_xlfn.CONCAT(F139,"'",E139)</f>
        <v>Mar'19/20</v>
      </c>
      <c r="H139" s="11" t="str">
        <f t="shared" si="25"/>
        <v>Mar'19/20</v>
      </c>
      <c r="I139" s="11">
        <f t="shared" si="26"/>
        <v>60.999577146698336</v>
      </c>
    </row>
    <row r="140" spans="2:9" x14ac:dyDescent="0.55000000000000004">
      <c r="B140" s="11">
        <f t="shared" si="27"/>
        <v>6</v>
      </c>
      <c r="C140" s="11">
        <f t="shared" si="28"/>
        <v>7</v>
      </c>
      <c r="D140" s="12">
        <f t="shared" si="29"/>
        <v>4753804.8616500003</v>
      </c>
      <c r="E140" s="11" t="str">
        <f t="shared" si="30"/>
        <v>19/20</v>
      </c>
      <c r="F140" s="11" t="str">
        <f t="shared" si="31"/>
        <v>Apr</v>
      </c>
      <c r="G140" s="11" t="str">
        <f t="shared" si="32"/>
        <v>Apr'19/20</v>
      </c>
      <c r="H140" s="11" t="str">
        <f t="shared" si="25"/>
        <v>Apr'19/20</v>
      </c>
      <c r="I140" s="11">
        <f t="shared" si="26"/>
        <v>60.801825432576663</v>
      </c>
    </row>
    <row r="141" spans="2:9" x14ac:dyDescent="0.55000000000000004">
      <c r="B141" s="11">
        <f t="shared" si="27"/>
        <v>6</v>
      </c>
      <c r="C141" s="11">
        <f t="shared" si="28"/>
        <v>8</v>
      </c>
      <c r="D141" s="12">
        <f t="shared" si="29"/>
        <v>4691162.6028333334</v>
      </c>
      <c r="E141" s="11" t="str">
        <f t="shared" si="30"/>
        <v>19/20</v>
      </c>
      <c r="F141" s="11" t="str">
        <f t="shared" si="31"/>
        <v>May</v>
      </c>
      <c r="G141" s="11" t="str">
        <f t="shared" si="32"/>
        <v>May'19/20</v>
      </c>
      <c r="H141" s="11" t="str">
        <f t="shared" si="25"/>
        <v>May'19/20</v>
      </c>
      <c r="I141" s="11">
        <f t="shared" si="26"/>
        <v>59.894529099224997</v>
      </c>
    </row>
    <row r="142" spans="2:9" x14ac:dyDescent="0.55000000000000004">
      <c r="B142" s="11">
        <f t="shared" si="27"/>
        <v>6</v>
      </c>
      <c r="C142" s="11">
        <f t="shared" si="28"/>
        <v>9</v>
      </c>
      <c r="D142" s="12">
        <f t="shared" si="29"/>
        <v>4477096.0498416675</v>
      </c>
      <c r="E142" s="11" t="str">
        <f t="shared" si="30"/>
        <v>19/20</v>
      </c>
      <c r="F142" s="11" t="str">
        <f t="shared" si="31"/>
        <v>Jun</v>
      </c>
      <c r="G142" s="11" t="str">
        <f t="shared" si="32"/>
        <v>Jun'19/20</v>
      </c>
      <c r="H142" s="11" t="str">
        <f t="shared" si="25"/>
        <v>Jun'19/20</v>
      </c>
      <c r="I142" s="11">
        <f t="shared" si="26"/>
        <v>59.349989603008332</v>
      </c>
    </row>
    <row r="143" spans="2:9" x14ac:dyDescent="0.55000000000000004">
      <c r="B143" s="11">
        <f t="shared" si="27"/>
        <v>6</v>
      </c>
      <c r="C143" s="11">
        <f t="shared" si="28"/>
        <v>10</v>
      </c>
      <c r="D143" s="12">
        <f t="shared" si="29"/>
        <v>4609060.2796999998</v>
      </c>
      <c r="E143" s="11" t="str">
        <f t="shared" si="30"/>
        <v>19/20</v>
      </c>
      <c r="F143" s="11" t="str">
        <f t="shared" si="31"/>
        <v>Jul</v>
      </c>
      <c r="G143" s="11" t="str">
        <f t="shared" si="32"/>
        <v>Jul'19/20</v>
      </c>
      <c r="H143" s="11" t="str">
        <f t="shared" si="25"/>
        <v>Jul'19/20</v>
      </c>
      <c r="I143" s="11">
        <f t="shared" si="26"/>
        <v>58.770771876568332</v>
      </c>
    </row>
    <row r="144" spans="2:9" x14ac:dyDescent="0.55000000000000004">
      <c r="B144" s="11">
        <f t="shared" si="27"/>
        <v>6</v>
      </c>
      <c r="C144" s="11">
        <f t="shared" si="28"/>
        <v>11</v>
      </c>
      <c r="D144" s="12">
        <f t="shared" si="29"/>
        <v>4904054.4400399998</v>
      </c>
      <c r="E144" s="11" t="str">
        <f t="shared" si="30"/>
        <v>19/20</v>
      </c>
      <c r="F144" s="11" t="str">
        <f t="shared" si="31"/>
        <v>Aug</v>
      </c>
      <c r="G144" s="11" t="str">
        <f t="shared" si="32"/>
        <v>Aug'19/20</v>
      </c>
      <c r="H144" s="11" t="str">
        <f t="shared" si="25"/>
        <v>Aug'19/20</v>
      </c>
      <c r="I144" s="11">
        <f t="shared" si="26"/>
        <v>58.595527303591659</v>
      </c>
    </row>
    <row r="145" spans="2:9" x14ac:dyDescent="0.55000000000000004">
      <c r="B145" s="11">
        <f t="shared" si="27"/>
        <v>6</v>
      </c>
      <c r="C145" s="11">
        <f t="shared" si="28"/>
        <v>12</v>
      </c>
      <c r="D145" s="12">
        <f t="shared" si="29"/>
        <v>5111630.9965150002</v>
      </c>
      <c r="E145" s="11" t="str">
        <f t="shared" si="30"/>
        <v>19/20</v>
      </c>
      <c r="F145" s="11" t="str">
        <f t="shared" si="31"/>
        <v>Sep</v>
      </c>
      <c r="G145" s="11" t="str">
        <f t="shared" si="32"/>
        <v>Sep'19/20</v>
      </c>
      <c r="H145" s="11" t="str">
        <f t="shared" si="25"/>
        <v>Sep'19/20</v>
      </c>
      <c r="I145" s="11">
        <f t="shared" si="26"/>
        <v>58.580332029831666</v>
      </c>
    </row>
    <row r="146" spans="2:9" x14ac:dyDescent="0.55000000000000004">
      <c r="B146" s="11">
        <f t="shared" si="27"/>
        <v>7</v>
      </c>
      <c r="C146" s="11">
        <f t="shared" si="28"/>
        <v>1</v>
      </c>
      <c r="D146" s="12">
        <f t="shared" si="29"/>
        <v>5447193.2938416665</v>
      </c>
      <c r="E146" s="11" t="str">
        <f t="shared" si="30"/>
        <v>20/21</v>
      </c>
      <c r="F146" s="11" t="str">
        <f t="shared" si="31"/>
        <v>Oct</v>
      </c>
      <c r="G146" s="11" t="str">
        <f t="shared" si="32"/>
        <v>Oct'20/21</v>
      </c>
      <c r="H146" s="11" t="str">
        <f t="shared" si="25"/>
        <v>Oct'20/21</v>
      </c>
      <c r="I146" s="11">
        <f t="shared" si="26"/>
        <v>58.800971571926659</v>
      </c>
    </row>
    <row r="147" spans="2:9" x14ac:dyDescent="0.55000000000000004">
      <c r="B147" s="11">
        <f t="shared" si="27"/>
        <v>7</v>
      </c>
      <c r="C147" s="11">
        <f t="shared" si="28"/>
        <v>2</v>
      </c>
      <c r="D147" s="12">
        <f t="shared" si="29"/>
        <v>6178565.1375366664</v>
      </c>
      <c r="E147" s="11" t="str">
        <f t="shared" si="30"/>
        <v>20/21</v>
      </c>
      <c r="F147" s="11" t="str">
        <f t="shared" si="31"/>
        <v>Nov</v>
      </c>
      <c r="G147" s="11" t="str">
        <f t="shared" si="32"/>
        <v>Nov'20/21</v>
      </c>
      <c r="H147" s="11" t="str">
        <f t="shared" si="25"/>
        <v>Nov'20/21</v>
      </c>
      <c r="I147" s="11">
        <f t="shared" si="26"/>
        <v>60.060311976160001</v>
      </c>
    </row>
    <row r="148" spans="2:9" x14ac:dyDescent="0.55000000000000004">
      <c r="B148" s="11">
        <f t="shared" si="27"/>
        <v>7</v>
      </c>
      <c r="C148" s="11">
        <f t="shared" si="28"/>
        <v>3</v>
      </c>
      <c r="D148" s="12">
        <f t="shared" si="29"/>
        <v>5800775.0132750003</v>
      </c>
      <c r="E148" s="11" t="str">
        <f t="shared" si="30"/>
        <v>20/21</v>
      </c>
      <c r="F148" s="11" t="str">
        <f t="shared" si="31"/>
        <v>Dec</v>
      </c>
      <c r="G148" s="11" t="str">
        <f t="shared" si="32"/>
        <v>Dec'20/21</v>
      </c>
      <c r="H148" s="11" t="str">
        <f t="shared" si="25"/>
        <v>Dec'20/21</v>
      </c>
      <c r="I148" s="11">
        <f t="shared" si="26"/>
        <v>60.92821897756167</v>
      </c>
    </row>
    <row r="149" spans="2:9" x14ac:dyDescent="0.55000000000000004">
      <c r="B149" s="11">
        <f t="shared" si="27"/>
        <v>7</v>
      </c>
      <c r="C149" s="11">
        <f t="shared" si="28"/>
        <v>4</v>
      </c>
      <c r="D149" s="12">
        <f t="shared" si="29"/>
        <v>5045266.5599866668</v>
      </c>
      <c r="E149" s="11" t="str">
        <f t="shared" si="30"/>
        <v>20/21</v>
      </c>
      <c r="F149" s="11" t="str">
        <f t="shared" si="31"/>
        <v>Jan</v>
      </c>
      <c r="G149" s="11" t="str">
        <f t="shared" si="32"/>
        <v>Jan'20/21</v>
      </c>
      <c r="H149" s="11" t="str">
        <f t="shared" si="25"/>
        <v>Jan'20/21</v>
      </c>
      <c r="I149" s="11">
        <f t="shared" si="26"/>
        <v>60.831815307338331</v>
      </c>
    </row>
    <row r="150" spans="2:9" x14ac:dyDescent="0.55000000000000004">
      <c r="B150" s="11">
        <f t="shared" si="27"/>
        <v>7</v>
      </c>
      <c r="C150" s="11">
        <f t="shared" si="28"/>
        <v>5</v>
      </c>
      <c r="D150" s="12">
        <f t="shared" si="29"/>
        <v>5611543.2135883337</v>
      </c>
      <c r="E150" s="11" t="str">
        <f t="shared" si="30"/>
        <v>20/21</v>
      </c>
      <c r="F150" s="11" t="str">
        <f t="shared" si="31"/>
        <v>Feb</v>
      </c>
      <c r="G150" s="11" t="str">
        <f t="shared" si="32"/>
        <v>Feb'20/21</v>
      </c>
      <c r="H150" s="11" t="str">
        <f t="shared" ref="H150:H213" si="33">G150</f>
        <v>Feb'20/21</v>
      </c>
      <c r="I150" s="11">
        <f t="shared" ref="I150:I213" si="34">SUM(D139:D150)/1000000</f>
        <v>61.731728969883335</v>
      </c>
    </row>
    <row r="151" spans="2:9" x14ac:dyDescent="0.55000000000000004">
      <c r="B151" s="11">
        <f t="shared" ref="B151:B214" si="35">B139+1</f>
        <v>7</v>
      </c>
      <c r="C151" s="11">
        <f t="shared" ref="C151:C214" si="36">C139</f>
        <v>6</v>
      </c>
      <c r="D151" s="12">
        <f t="shared" si="29"/>
        <v>5538692.2646949999</v>
      </c>
      <c r="E151" s="11" t="str">
        <f t="shared" si="30"/>
        <v>20/21</v>
      </c>
      <c r="F151" s="11" t="str">
        <f t="shared" si="31"/>
        <v>Mar</v>
      </c>
      <c r="G151" s="11" t="str">
        <f t="shared" si="32"/>
        <v>Mar'20/21</v>
      </c>
      <c r="H151" s="11" t="str">
        <f t="shared" si="33"/>
        <v>Mar'20/21</v>
      </c>
      <c r="I151" s="11">
        <f t="shared" si="34"/>
        <v>62.168844713503333</v>
      </c>
    </row>
    <row r="152" spans="2:9" x14ac:dyDescent="0.55000000000000004">
      <c r="B152" s="11">
        <f t="shared" si="35"/>
        <v>7</v>
      </c>
      <c r="C152" s="11">
        <f t="shared" si="36"/>
        <v>7</v>
      </c>
      <c r="D152" s="12">
        <f t="shared" si="29"/>
        <v>5413361.3871299997</v>
      </c>
      <c r="E152" s="11" t="str">
        <f t="shared" si="30"/>
        <v>20/21</v>
      </c>
      <c r="F152" s="11" t="str">
        <f t="shared" si="31"/>
        <v>Apr</v>
      </c>
      <c r="G152" s="11" t="str">
        <f t="shared" si="32"/>
        <v>Apr'20/21</v>
      </c>
      <c r="H152" s="11" t="str">
        <f t="shared" si="33"/>
        <v>Apr'20/21</v>
      </c>
      <c r="I152" s="11">
        <f t="shared" si="34"/>
        <v>62.828401238983325</v>
      </c>
    </row>
    <row r="153" spans="2:9" x14ac:dyDescent="0.55000000000000004">
      <c r="B153" s="11">
        <f t="shared" si="35"/>
        <v>7</v>
      </c>
      <c r="C153" s="11">
        <f t="shared" si="36"/>
        <v>8</v>
      </c>
      <c r="D153" s="12">
        <f t="shared" si="29"/>
        <v>4454897.4698750004</v>
      </c>
      <c r="E153" s="11" t="str">
        <f t="shared" si="30"/>
        <v>20/21</v>
      </c>
      <c r="F153" s="11" t="str">
        <f t="shared" si="31"/>
        <v>May</v>
      </c>
      <c r="G153" s="11" t="str">
        <f t="shared" si="32"/>
        <v>May'20/21</v>
      </c>
      <c r="H153" s="11" t="str">
        <f t="shared" si="33"/>
        <v>May'20/21</v>
      </c>
      <c r="I153" s="11">
        <f t="shared" si="34"/>
        <v>62.592136106024995</v>
      </c>
    </row>
    <row r="154" spans="2:9" x14ac:dyDescent="0.55000000000000004">
      <c r="B154" s="11">
        <f t="shared" si="35"/>
        <v>7</v>
      </c>
      <c r="C154" s="11">
        <f t="shared" si="36"/>
        <v>9</v>
      </c>
      <c r="D154" s="12">
        <f t="shared" si="29"/>
        <v>4903562.4729349995</v>
      </c>
      <c r="E154" s="11" t="str">
        <f t="shared" si="30"/>
        <v>20/21</v>
      </c>
      <c r="F154" s="11" t="str">
        <f t="shared" si="31"/>
        <v>Jun</v>
      </c>
      <c r="G154" s="11" t="str">
        <f t="shared" si="32"/>
        <v>Jun'20/21</v>
      </c>
      <c r="H154" s="11" t="str">
        <f t="shared" si="33"/>
        <v>Jun'20/21</v>
      </c>
      <c r="I154" s="11">
        <f t="shared" si="34"/>
        <v>63.01860252911834</v>
      </c>
    </row>
    <row r="155" spans="2:9" x14ac:dyDescent="0.55000000000000004">
      <c r="B155" s="11">
        <f t="shared" si="35"/>
        <v>7</v>
      </c>
      <c r="C155" s="11">
        <f t="shared" si="36"/>
        <v>10</v>
      </c>
      <c r="D155" s="12">
        <f t="shared" si="29"/>
        <v>4862943.7364683338</v>
      </c>
      <c r="E155" s="11" t="str">
        <f t="shared" si="30"/>
        <v>20/21</v>
      </c>
      <c r="F155" s="11" t="str">
        <f t="shared" si="31"/>
        <v>Jul</v>
      </c>
      <c r="G155" s="11" t="str">
        <f t="shared" si="32"/>
        <v>Jul'20/21</v>
      </c>
      <c r="H155" s="11" t="str">
        <f t="shared" si="33"/>
        <v>Jul'20/21</v>
      </c>
      <c r="I155" s="11">
        <f t="shared" si="34"/>
        <v>63.272485985886661</v>
      </c>
    </row>
    <row r="156" spans="2:9" x14ac:dyDescent="0.55000000000000004">
      <c r="B156" s="11">
        <f t="shared" si="35"/>
        <v>7</v>
      </c>
      <c r="C156" s="11">
        <f t="shared" si="36"/>
        <v>11</v>
      </c>
      <c r="D156" s="12">
        <f t="shared" si="29"/>
        <v>4501760.2424966674</v>
      </c>
      <c r="E156" s="11" t="str">
        <f t="shared" si="30"/>
        <v>20/21</v>
      </c>
      <c r="F156" s="11" t="str">
        <f t="shared" si="31"/>
        <v>Aug</v>
      </c>
      <c r="G156" s="11" t="str">
        <f t="shared" si="32"/>
        <v>Aug'20/21</v>
      </c>
      <c r="H156" s="11" t="str">
        <f t="shared" si="33"/>
        <v>Aug'20/21</v>
      </c>
      <c r="I156" s="11">
        <f t="shared" si="34"/>
        <v>62.870191788343341</v>
      </c>
    </row>
    <row r="157" spans="2:9" x14ac:dyDescent="0.55000000000000004">
      <c r="B157" s="11">
        <f t="shared" si="35"/>
        <v>7</v>
      </c>
      <c r="C157" s="11">
        <f t="shared" si="36"/>
        <v>12</v>
      </c>
      <c r="D157" s="12">
        <f t="shared" si="29"/>
        <v>4818068.8482816666</v>
      </c>
      <c r="E157" s="11" t="str">
        <f t="shared" si="30"/>
        <v>20/21</v>
      </c>
      <c r="F157" s="11" t="str">
        <f t="shared" si="31"/>
        <v>Sep</v>
      </c>
      <c r="G157" s="11" t="str">
        <f t="shared" si="32"/>
        <v>Sep'20/21</v>
      </c>
      <c r="H157" s="11" t="str">
        <f t="shared" si="33"/>
        <v>Sep'20/21</v>
      </c>
      <c r="I157" s="11">
        <f t="shared" si="34"/>
        <v>62.576629640109999</v>
      </c>
    </row>
    <row r="158" spans="2:9" x14ac:dyDescent="0.55000000000000004">
      <c r="B158" s="11">
        <f t="shared" si="35"/>
        <v>8</v>
      </c>
      <c r="C158" s="11">
        <f t="shared" si="36"/>
        <v>1</v>
      </c>
      <c r="D158" s="12">
        <f t="shared" si="29"/>
        <v>4974777.9702233337</v>
      </c>
      <c r="E158" s="11" t="str">
        <f t="shared" si="30"/>
        <v>21/22</v>
      </c>
      <c r="F158" s="11" t="str">
        <f t="shared" si="31"/>
        <v>Oct</v>
      </c>
      <c r="G158" s="11" t="str">
        <f t="shared" si="32"/>
        <v>Oct'21/22</v>
      </c>
      <c r="H158" s="11" t="str">
        <f t="shared" si="33"/>
        <v>Oct'21/22</v>
      </c>
      <c r="I158" s="11">
        <f t="shared" si="34"/>
        <v>62.104214316491678</v>
      </c>
    </row>
    <row r="159" spans="2:9" x14ac:dyDescent="0.55000000000000004">
      <c r="B159" s="11">
        <f t="shared" si="35"/>
        <v>8</v>
      </c>
      <c r="C159" s="11">
        <f t="shared" si="36"/>
        <v>2</v>
      </c>
      <c r="D159" s="12">
        <f t="shared" si="29"/>
        <v>4830737.8349449998</v>
      </c>
      <c r="E159" s="11" t="str">
        <f t="shared" si="30"/>
        <v>21/22</v>
      </c>
      <c r="F159" s="11" t="str">
        <f t="shared" si="31"/>
        <v>Nov</v>
      </c>
      <c r="G159" s="11" t="str">
        <f t="shared" si="32"/>
        <v>Nov'21/22</v>
      </c>
      <c r="H159" s="11" t="str">
        <f t="shared" si="33"/>
        <v>Nov'21/22</v>
      </c>
      <c r="I159" s="11">
        <f t="shared" si="34"/>
        <v>60.756387013900003</v>
      </c>
    </row>
    <row r="160" spans="2:9" x14ac:dyDescent="0.55000000000000004">
      <c r="B160" s="11">
        <f t="shared" si="35"/>
        <v>8</v>
      </c>
      <c r="C160" s="11">
        <f t="shared" si="36"/>
        <v>3</v>
      </c>
      <c r="D160" s="12">
        <f t="shared" si="29"/>
        <v>5667297.47425</v>
      </c>
      <c r="E160" s="11" t="str">
        <f t="shared" si="30"/>
        <v>21/22</v>
      </c>
      <c r="F160" s="11" t="str">
        <f t="shared" si="31"/>
        <v>Dec</v>
      </c>
      <c r="G160" s="11" t="str">
        <f t="shared" si="32"/>
        <v>Dec'21/22</v>
      </c>
      <c r="H160" s="11" t="str">
        <f t="shared" si="33"/>
        <v>Dec'21/22</v>
      </c>
      <c r="I160" s="11">
        <f t="shared" si="34"/>
        <v>60.622909474875001</v>
      </c>
    </row>
    <row r="161" spans="2:9" x14ac:dyDescent="0.55000000000000004">
      <c r="B161" s="11">
        <f t="shared" si="35"/>
        <v>8</v>
      </c>
      <c r="C161" s="11">
        <f t="shared" si="36"/>
        <v>4</v>
      </c>
      <c r="D161" s="12">
        <f t="shared" si="29"/>
        <v>5276330.8076099996</v>
      </c>
      <c r="E161" s="11" t="str">
        <f t="shared" si="30"/>
        <v>21/22</v>
      </c>
      <c r="F161" s="11" t="str">
        <f t="shared" si="31"/>
        <v>Jan</v>
      </c>
      <c r="G161" s="11" t="str">
        <f t="shared" si="32"/>
        <v>Jan'21/22</v>
      </c>
      <c r="H161" s="11" t="str">
        <f t="shared" si="33"/>
        <v>Jan'21/22</v>
      </c>
      <c r="I161" s="11">
        <f t="shared" si="34"/>
        <v>60.853973722498338</v>
      </c>
    </row>
    <row r="162" spans="2:9" x14ac:dyDescent="0.55000000000000004">
      <c r="B162" s="11">
        <f t="shared" si="35"/>
        <v>8</v>
      </c>
      <c r="C162" s="11">
        <f t="shared" si="36"/>
        <v>5</v>
      </c>
      <c r="D162" s="12">
        <f t="shared" si="29"/>
        <v>5360809.5139183328</v>
      </c>
      <c r="E162" s="11" t="str">
        <f t="shared" si="30"/>
        <v>21/22</v>
      </c>
      <c r="F162" s="11" t="str">
        <f t="shared" si="31"/>
        <v>Feb</v>
      </c>
      <c r="G162" s="11" t="str">
        <f t="shared" si="32"/>
        <v>Feb'21/22</v>
      </c>
      <c r="H162" s="11" t="str">
        <f t="shared" si="33"/>
        <v>Feb'21/22</v>
      </c>
      <c r="I162" s="11">
        <f t="shared" si="34"/>
        <v>60.603240022828324</v>
      </c>
    </row>
    <row r="163" spans="2:9" x14ac:dyDescent="0.55000000000000004">
      <c r="B163" s="11">
        <f t="shared" si="35"/>
        <v>8</v>
      </c>
      <c r="C163" s="11">
        <f t="shared" si="36"/>
        <v>6</v>
      </c>
      <c r="D163" s="12">
        <f t="shared" si="29"/>
        <v>5893265.6913516661</v>
      </c>
      <c r="E163" s="11" t="str">
        <f t="shared" si="30"/>
        <v>21/22</v>
      </c>
      <c r="F163" s="11" t="str">
        <f t="shared" si="31"/>
        <v>Mar</v>
      </c>
      <c r="G163" s="11" t="str">
        <f t="shared" si="32"/>
        <v>Mar'21/22</v>
      </c>
      <c r="H163" s="11" t="str">
        <f t="shared" si="33"/>
        <v>Mar'21/22</v>
      </c>
      <c r="I163" s="11">
        <f t="shared" si="34"/>
        <v>60.957813449484988</v>
      </c>
    </row>
    <row r="164" spans="2:9" x14ac:dyDescent="0.55000000000000004">
      <c r="B164" s="11">
        <f t="shared" si="35"/>
        <v>8</v>
      </c>
      <c r="C164" s="11">
        <f t="shared" si="36"/>
        <v>7</v>
      </c>
      <c r="D164" s="12">
        <f t="shared" si="29"/>
        <v>4624075.8075166671</v>
      </c>
      <c r="E164" s="11" t="str">
        <f t="shared" si="30"/>
        <v>21/22</v>
      </c>
      <c r="F164" s="11" t="str">
        <f t="shared" si="31"/>
        <v>Apr</v>
      </c>
      <c r="G164" s="11" t="str">
        <f t="shared" si="32"/>
        <v>Apr'21/22</v>
      </c>
      <c r="H164" s="11" t="str">
        <f t="shared" si="33"/>
        <v>Apr'21/22</v>
      </c>
      <c r="I164" s="11">
        <f t="shared" si="34"/>
        <v>60.16852786987166</v>
      </c>
    </row>
    <row r="165" spans="2:9" x14ac:dyDescent="0.55000000000000004">
      <c r="B165" s="11">
        <f t="shared" si="35"/>
        <v>8</v>
      </c>
      <c r="C165" s="11">
        <f t="shared" si="36"/>
        <v>8</v>
      </c>
      <c r="D165" s="12">
        <f t="shared" si="29"/>
        <v>4614924.4998599999</v>
      </c>
      <c r="E165" s="11" t="str">
        <f t="shared" si="30"/>
        <v>21/22</v>
      </c>
      <c r="F165" s="11" t="str">
        <f t="shared" si="31"/>
        <v>May</v>
      </c>
      <c r="G165" s="11" t="str">
        <f t="shared" si="32"/>
        <v>May'21/22</v>
      </c>
      <c r="H165" s="11" t="str">
        <f t="shared" si="33"/>
        <v>May'21/22</v>
      </c>
      <c r="I165" s="11">
        <f t="shared" si="34"/>
        <v>60.328554899856655</v>
      </c>
    </row>
    <row r="166" spans="2:9" x14ac:dyDescent="0.55000000000000004">
      <c r="B166" s="11">
        <f t="shared" si="35"/>
        <v>8</v>
      </c>
      <c r="C166" s="11">
        <f t="shared" si="36"/>
        <v>9</v>
      </c>
      <c r="D166" s="12">
        <f t="shared" si="29"/>
        <v>4987062.0806333339</v>
      </c>
      <c r="E166" s="11" t="str">
        <f t="shared" si="30"/>
        <v>21/22</v>
      </c>
      <c r="F166" s="11" t="str">
        <f t="shared" si="31"/>
        <v>Jun</v>
      </c>
      <c r="G166" s="11" t="str">
        <f t="shared" si="32"/>
        <v>Jun'21/22</v>
      </c>
      <c r="H166" s="11" t="str">
        <f t="shared" si="33"/>
        <v>Jun'21/22</v>
      </c>
      <c r="I166" s="11">
        <f t="shared" si="34"/>
        <v>60.412054507554998</v>
      </c>
    </row>
    <row r="167" spans="2:9" x14ac:dyDescent="0.55000000000000004">
      <c r="B167" s="11">
        <f t="shared" si="35"/>
        <v>8</v>
      </c>
      <c r="C167" s="11">
        <f t="shared" si="36"/>
        <v>10</v>
      </c>
      <c r="D167" s="12">
        <f t="shared" si="29"/>
        <v>4419627.1177300001</v>
      </c>
      <c r="E167" s="11" t="str">
        <f t="shared" si="30"/>
        <v>21/22</v>
      </c>
      <c r="F167" s="11" t="str">
        <f t="shared" si="31"/>
        <v>Jul</v>
      </c>
      <c r="G167" s="11" t="str">
        <f t="shared" si="32"/>
        <v>Jul'21/22</v>
      </c>
      <c r="H167" s="11" t="str">
        <f t="shared" si="33"/>
        <v>Jul'21/22</v>
      </c>
      <c r="I167" s="11">
        <f t="shared" si="34"/>
        <v>59.968737888816669</v>
      </c>
    </row>
    <row r="168" spans="2:9" x14ac:dyDescent="0.55000000000000004">
      <c r="B168" s="11">
        <f t="shared" si="35"/>
        <v>8</v>
      </c>
      <c r="C168" s="11">
        <f t="shared" si="36"/>
        <v>11</v>
      </c>
      <c r="D168" s="12">
        <f t="shared" si="29"/>
        <v>4476325.9705666667</v>
      </c>
      <c r="E168" s="11" t="str">
        <f t="shared" si="30"/>
        <v>21/22</v>
      </c>
      <c r="F168" s="11" t="str">
        <f t="shared" si="31"/>
        <v>Aug</v>
      </c>
      <c r="G168" s="11" t="str">
        <f t="shared" si="32"/>
        <v>Aug'21/22</v>
      </c>
      <c r="H168" s="11" t="str">
        <f t="shared" si="33"/>
        <v>Aug'21/22</v>
      </c>
      <c r="I168" s="11">
        <f t="shared" si="34"/>
        <v>59.943303616886666</v>
      </c>
    </row>
    <row r="169" spans="2:9" x14ac:dyDescent="0.55000000000000004">
      <c r="B169" s="11">
        <f t="shared" si="35"/>
        <v>8</v>
      </c>
      <c r="C169" s="11">
        <f t="shared" si="36"/>
        <v>12</v>
      </c>
      <c r="D169" s="12">
        <f t="shared" si="29"/>
        <v>4924164.4248883333</v>
      </c>
      <c r="E169" s="11" t="str">
        <f t="shared" si="30"/>
        <v>21/22</v>
      </c>
      <c r="F169" s="11" t="str">
        <f t="shared" si="31"/>
        <v>Sep</v>
      </c>
      <c r="G169" s="11" t="str">
        <f t="shared" si="32"/>
        <v>Sep'21/22</v>
      </c>
      <c r="H169" s="11" t="str">
        <f t="shared" si="33"/>
        <v>Sep'21/22</v>
      </c>
      <c r="I169" s="11">
        <f t="shared" si="34"/>
        <v>60.049399193493336</v>
      </c>
    </row>
    <row r="170" spans="2:9" x14ac:dyDescent="0.55000000000000004">
      <c r="B170" s="11">
        <f t="shared" si="35"/>
        <v>9</v>
      </c>
      <c r="C170" s="11">
        <f t="shared" si="36"/>
        <v>1</v>
      </c>
      <c r="D170" s="12">
        <f t="shared" si="29"/>
        <v>5046401.2833150001</v>
      </c>
      <c r="E170" s="11" t="str">
        <f t="shared" si="30"/>
        <v>22/23</v>
      </c>
      <c r="F170" s="11" t="str">
        <f t="shared" si="31"/>
        <v>Oct</v>
      </c>
      <c r="G170" s="11" t="str">
        <f t="shared" si="32"/>
        <v>Oct'22/23</v>
      </c>
      <c r="H170" s="11" t="str">
        <f t="shared" si="33"/>
        <v>Oct'22/23</v>
      </c>
      <c r="I170" s="11">
        <f t="shared" si="34"/>
        <v>60.121022506585007</v>
      </c>
    </row>
    <row r="171" spans="2:9" x14ac:dyDescent="0.55000000000000004">
      <c r="B171" s="11">
        <f t="shared" si="35"/>
        <v>9</v>
      </c>
      <c r="C171" s="11">
        <f t="shared" si="36"/>
        <v>2</v>
      </c>
      <c r="D171" s="12">
        <f t="shared" si="29"/>
        <v>4976511.953796668</v>
      </c>
      <c r="E171" s="11" t="str">
        <f t="shared" si="30"/>
        <v>22/23</v>
      </c>
      <c r="F171" s="11" t="str">
        <f t="shared" si="31"/>
        <v>Nov</v>
      </c>
      <c r="G171" s="11" t="str">
        <f t="shared" si="32"/>
        <v>Nov'22/23</v>
      </c>
      <c r="H171" s="11" t="str">
        <f t="shared" si="33"/>
        <v>Nov'22/23</v>
      </c>
      <c r="I171" s="11">
        <f t="shared" si="34"/>
        <v>60.266796625436669</v>
      </c>
    </row>
    <row r="172" spans="2:9" x14ac:dyDescent="0.55000000000000004">
      <c r="B172" s="11">
        <f t="shared" si="35"/>
        <v>9</v>
      </c>
      <c r="C172" s="11">
        <f t="shared" si="36"/>
        <v>3</v>
      </c>
      <c r="D172" s="12">
        <f t="shared" si="29"/>
        <v>4572045.263236667</v>
      </c>
      <c r="E172" s="11" t="str">
        <f t="shared" si="30"/>
        <v>22/23</v>
      </c>
      <c r="F172" s="11" t="str">
        <f t="shared" si="31"/>
        <v>Dec</v>
      </c>
      <c r="G172" s="11" t="str">
        <f t="shared" si="32"/>
        <v>Dec'22/23</v>
      </c>
      <c r="H172" s="11" t="str">
        <f t="shared" si="33"/>
        <v>Dec'22/23</v>
      </c>
      <c r="I172" s="11">
        <f t="shared" si="34"/>
        <v>59.171544414423337</v>
      </c>
    </row>
    <row r="173" spans="2:9" x14ac:dyDescent="0.55000000000000004">
      <c r="B173" s="11">
        <f t="shared" si="35"/>
        <v>9</v>
      </c>
      <c r="C173" s="11">
        <f t="shared" si="36"/>
        <v>4</v>
      </c>
      <c r="D173" s="12">
        <f t="shared" si="29"/>
        <v>4139323.0670533334</v>
      </c>
      <c r="E173" s="11" t="str">
        <f t="shared" si="30"/>
        <v>22/23</v>
      </c>
      <c r="F173" s="11" t="str">
        <f t="shared" si="31"/>
        <v>Jan</v>
      </c>
      <c r="G173" s="11" t="str">
        <f t="shared" si="32"/>
        <v>Jan'22/23</v>
      </c>
      <c r="H173" s="11" t="str">
        <f t="shared" si="33"/>
        <v>Jan'22/23</v>
      </c>
      <c r="I173" s="11">
        <f t="shared" si="34"/>
        <v>58.034536673866675</v>
      </c>
    </row>
    <row r="174" spans="2:9" x14ac:dyDescent="0.55000000000000004">
      <c r="B174" s="11">
        <f t="shared" si="35"/>
        <v>9</v>
      </c>
      <c r="C174" s="11">
        <f t="shared" si="36"/>
        <v>5</v>
      </c>
      <c r="D174" s="12">
        <f t="shared" si="29"/>
        <v>3886583.02782</v>
      </c>
      <c r="E174" s="11" t="str">
        <f t="shared" si="30"/>
        <v>22/23</v>
      </c>
      <c r="F174" s="11" t="str">
        <f t="shared" si="31"/>
        <v>Feb</v>
      </c>
      <c r="G174" s="11" t="str">
        <f t="shared" si="32"/>
        <v>Feb'22/23</v>
      </c>
      <c r="H174" s="11" t="str">
        <f t="shared" si="33"/>
        <v>Feb'22/23</v>
      </c>
      <c r="I174" s="11">
        <f t="shared" si="34"/>
        <v>56.56031018776833</v>
      </c>
    </row>
    <row r="175" spans="2:9" x14ac:dyDescent="0.55000000000000004">
      <c r="B175" s="11">
        <f t="shared" si="35"/>
        <v>9</v>
      </c>
      <c r="C175" s="11">
        <f t="shared" si="36"/>
        <v>6</v>
      </c>
      <c r="D175" s="12">
        <f t="shared" si="29"/>
        <v>4633394.6759916665</v>
      </c>
      <c r="E175" s="11" t="str">
        <f t="shared" si="30"/>
        <v>22/23</v>
      </c>
      <c r="F175" s="11" t="str">
        <f t="shared" si="31"/>
        <v>Mar</v>
      </c>
      <c r="G175" s="11" t="str">
        <f t="shared" si="32"/>
        <v>Mar'22/23</v>
      </c>
      <c r="H175" s="11" t="str">
        <f t="shared" si="33"/>
        <v>Mar'22/23</v>
      </c>
      <c r="I175" s="11">
        <f t="shared" si="34"/>
        <v>55.300439172408332</v>
      </c>
    </row>
    <row r="176" spans="2:9" x14ac:dyDescent="0.55000000000000004">
      <c r="B176" s="11">
        <f t="shared" si="35"/>
        <v>9</v>
      </c>
      <c r="C176" s="11">
        <f t="shared" si="36"/>
        <v>7</v>
      </c>
      <c r="D176" s="12">
        <f t="shared" si="29"/>
        <v>4151527.5203649998</v>
      </c>
      <c r="E176" s="11" t="str">
        <f t="shared" si="30"/>
        <v>22/23</v>
      </c>
      <c r="F176" s="11" t="str">
        <f t="shared" si="31"/>
        <v>Apr</v>
      </c>
      <c r="G176" s="11" t="str">
        <f t="shared" si="32"/>
        <v>Apr'22/23</v>
      </c>
      <c r="H176" s="11" t="str">
        <f t="shared" si="33"/>
        <v>Apr'22/23</v>
      </c>
      <c r="I176" s="11">
        <f t="shared" si="34"/>
        <v>54.827890885256664</v>
      </c>
    </row>
    <row r="177" spans="2:9" x14ac:dyDescent="0.55000000000000004">
      <c r="B177" s="11">
        <f t="shared" si="35"/>
        <v>9</v>
      </c>
      <c r="C177" s="11">
        <f t="shared" si="36"/>
        <v>8</v>
      </c>
      <c r="D177" s="12">
        <f t="shared" si="29"/>
        <v>4195416.5964966668</v>
      </c>
      <c r="E177" s="11" t="str">
        <f t="shared" si="30"/>
        <v>22/23</v>
      </c>
      <c r="F177" s="11" t="str">
        <f t="shared" si="31"/>
        <v>May</v>
      </c>
      <c r="G177" s="11" t="str">
        <f t="shared" si="32"/>
        <v>May'22/23</v>
      </c>
      <c r="H177" s="11" t="str">
        <f t="shared" si="33"/>
        <v>May'22/23</v>
      </c>
      <c r="I177" s="11">
        <f t="shared" si="34"/>
        <v>54.40838298189334</v>
      </c>
    </row>
    <row r="178" spans="2:9" x14ac:dyDescent="0.55000000000000004">
      <c r="B178" s="11">
        <f t="shared" si="35"/>
        <v>9</v>
      </c>
      <c r="C178" s="11">
        <f t="shared" si="36"/>
        <v>9</v>
      </c>
      <c r="D178" s="12">
        <f t="shared" si="29"/>
        <v>4097903.1231966666</v>
      </c>
      <c r="E178" s="11" t="str">
        <f t="shared" si="30"/>
        <v>22/23</v>
      </c>
      <c r="F178" s="11" t="str">
        <f t="shared" si="31"/>
        <v>Jun</v>
      </c>
      <c r="G178" s="11" t="str">
        <f t="shared" si="32"/>
        <v>Jun'22/23</v>
      </c>
      <c r="H178" s="11" t="str">
        <f t="shared" si="33"/>
        <v>Jun'22/23</v>
      </c>
      <c r="I178" s="11">
        <f t="shared" si="34"/>
        <v>53.519224024456669</v>
      </c>
    </row>
    <row r="179" spans="2:9" x14ac:dyDescent="0.55000000000000004">
      <c r="B179" s="11">
        <f t="shared" si="35"/>
        <v>9</v>
      </c>
      <c r="C179" s="11">
        <f t="shared" si="36"/>
        <v>10</v>
      </c>
      <c r="D179" s="12">
        <f t="shared" si="29"/>
        <v>4302198.1414516661</v>
      </c>
      <c r="E179" s="11" t="str">
        <f t="shared" si="30"/>
        <v>22/23</v>
      </c>
      <c r="F179" s="11" t="str">
        <f t="shared" si="31"/>
        <v>Jul</v>
      </c>
      <c r="G179" s="11" t="str">
        <f t="shared" si="32"/>
        <v>Jul'22/23</v>
      </c>
      <c r="H179" s="11" t="str">
        <f t="shared" si="33"/>
        <v>Jul'22/23</v>
      </c>
      <c r="I179" s="11">
        <f t="shared" si="34"/>
        <v>53.401795048178329</v>
      </c>
    </row>
    <row r="180" spans="2:9" x14ac:dyDescent="0.55000000000000004">
      <c r="B180" s="11">
        <f t="shared" si="35"/>
        <v>9</v>
      </c>
      <c r="C180" s="11">
        <f t="shared" si="36"/>
        <v>11</v>
      </c>
      <c r="D180" s="12">
        <f t="shared" si="29"/>
        <v>4721504.230816667</v>
      </c>
      <c r="E180" s="11" t="str">
        <f t="shared" si="30"/>
        <v>22/23</v>
      </c>
      <c r="F180" s="11" t="str">
        <f t="shared" si="31"/>
        <v>Aug</v>
      </c>
      <c r="G180" s="11" t="str">
        <f t="shared" si="32"/>
        <v>Aug'22/23</v>
      </c>
      <c r="H180" s="11" t="str">
        <f t="shared" si="33"/>
        <v>Aug'22/23</v>
      </c>
      <c r="I180" s="11">
        <f t="shared" si="34"/>
        <v>53.646973308428329</v>
      </c>
    </row>
    <row r="181" spans="2:9" x14ac:dyDescent="0.55000000000000004">
      <c r="B181" s="11">
        <f t="shared" si="35"/>
        <v>9</v>
      </c>
      <c r="C181" s="11">
        <f t="shared" si="36"/>
        <v>12</v>
      </c>
      <c r="D181" s="12">
        <f t="shared" si="29"/>
        <v>4328172.9008750003</v>
      </c>
      <c r="E181" s="11" t="str">
        <f t="shared" si="30"/>
        <v>22/23</v>
      </c>
      <c r="F181" s="11" t="str">
        <f t="shared" si="31"/>
        <v>Sep</v>
      </c>
      <c r="G181" s="11" t="str">
        <f t="shared" si="32"/>
        <v>Sep'22/23</v>
      </c>
      <c r="H181" s="11" t="str">
        <f t="shared" si="33"/>
        <v>Sep'22/23</v>
      </c>
      <c r="I181" s="11">
        <f t="shared" si="34"/>
        <v>53.050981784415008</v>
      </c>
    </row>
    <row r="182" spans="2:9" x14ac:dyDescent="0.55000000000000004">
      <c r="B182" s="11">
        <f t="shared" si="35"/>
        <v>10</v>
      </c>
      <c r="C182" s="11">
        <f t="shared" si="36"/>
        <v>1</v>
      </c>
      <c r="D182" s="12">
        <f t="shared" si="29"/>
        <v>5358468.0415766668</v>
      </c>
      <c r="E182" s="11" t="str">
        <f t="shared" si="30"/>
        <v>23/24</v>
      </c>
      <c r="F182" s="11" t="str">
        <f t="shared" si="31"/>
        <v>Oct</v>
      </c>
      <c r="G182" s="11" t="str">
        <f t="shared" si="32"/>
        <v>Oct'23/24</v>
      </c>
      <c r="H182" s="11" t="str">
        <f t="shared" si="33"/>
        <v>Oct'23/24</v>
      </c>
      <c r="I182" s="11">
        <f t="shared" si="34"/>
        <v>53.363048542676673</v>
      </c>
    </row>
    <row r="183" spans="2:9" x14ac:dyDescent="0.55000000000000004">
      <c r="B183" s="11">
        <f t="shared" si="35"/>
        <v>10</v>
      </c>
      <c r="C183" s="11">
        <f t="shared" si="36"/>
        <v>2</v>
      </c>
      <c r="D183" s="12">
        <f t="shared" si="29"/>
        <v>5344923.8298266679</v>
      </c>
      <c r="E183" s="11" t="str">
        <f t="shared" si="30"/>
        <v>23/24</v>
      </c>
      <c r="F183" s="11" t="str">
        <f t="shared" si="31"/>
        <v>Nov</v>
      </c>
      <c r="G183" s="11" t="str">
        <f t="shared" si="32"/>
        <v>Nov'23/24</v>
      </c>
      <c r="H183" s="11" t="str">
        <f t="shared" si="33"/>
        <v>Nov'23/24</v>
      </c>
      <c r="I183" s="11">
        <f t="shared" si="34"/>
        <v>53.731460418706675</v>
      </c>
    </row>
    <row r="184" spans="2:9" x14ac:dyDescent="0.55000000000000004">
      <c r="B184" s="11">
        <f t="shared" si="35"/>
        <v>10</v>
      </c>
      <c r="C184" s="11">
        <f t="shared" si="36"/>
        <v>3</v>
      </c>
      <c r="D184" s="12">
        <f t="shared" si="29"/>
        <v>5383163.2927449998</v>
      </c>
      <c r="E184" s="11" t="str">
        <f t="shared" si="30"/>
        <v>23/24</v>
      </c>
      <c r="F184" s="11" t="str">
        <f t="shared" si="31"/>
        <v>Dec</v>
      </c>
      <c r="G184" s="11" t="str">
        <f t="shared" si="32"/>
        <v>Dec'23/24</v>
      </c>
      <c r="H184" s="11" t="str">
        <f t="shared" si="33"/>
        <v>Dec'23/24</v>
      </c>
      <c r="I184" s="11">
        <f t="shared" si="34"/>
        <v>54.542578448215011</v>
      </c>
    </row>
    <row r="185" spans="2:9" x14ac:dyDescent="0.55000000000000004">
      <c r="B185" s="11">
        <f t="shared" si="35"/>
        <v>10</v>
      </c>
      <c r="C185" s="11">
        <f t="shared" si="36"/>
        <v>4</v>
      </c>
      <c r="D185" s="12">
        <f t="shared" si="29"/>
        <v>5181643.8392483341</v>
      </c>
      <c r="E185" s="11" t="str">
        <f t="shared" si="30"/>
        <v>23/24</v>
      </c>
      <c r="F185" s="11" t="str">
        <f t="shared" si="31"/>
        <v>Jan</v>
      </c>
      <c r="G185" s="11" t="str">
        <f t="shared" si="32"/>
        <v>Jan'23/24</v>
      </c>
      <c r="H185" s="11" t="str">
        <f t="shared" si="33"/>
        <v>Jan'23/24</v>
      </c>
      <c r="I185" s="11">
        <f t="shared" si="34"/>
        <v>55.584899220410001</v>
      </c>
    </row>
    <row r="186" spans="2:9" x14ac:dyDescent="0.55000000000000004">
      <c r="B186" s="11">
        <f t="shared" si="35"/>
        <v>10</v>
      </c>
      <c r="C186" s="11">
        <f t="shared" si="36"/>
        <v>5</v>
      </c>
      <c r="D186" s="12">
        <f t="shared" si="29"/>
        <v>5047144.7697383342</v>
      </c>
      <c r="E186" s="11" t="str">
        <f t="shared" si="30"/>
        <v>23/24</v>
      </c>
      <c r="F186" s="11" t="str">
        <f t="shared" si="31"/>
        <v>Feb</v>
      </c>
      <c r="G186" s="11" t="str">
        <f t="shared" si="32"/>
        <v>Feb'23/24</v>
      </c>
      <c r="H186" s="11" t="str">
        <f t="shared" si="33"/>
        <v>Feb'23/24</v>
      </c>
      <c r="I186" s="11">
        <f t="shared" si="34"/>
        <v>56.745460962328337</v>
      </c>
    </row>
    <row r="187" spans="2:9" x14ac:dyDescent="0.55000000000000004">
      <c r="B187" s="11">
        <f t="shared" si="35"/>
        <v>10</v>
      </c>
      <c r="C187" s="11">
        <f t="shared" si="36"/>
        <v>6</v>
      </c>
      <c r="D187" s="12">
        <f t="shared" si="29"/>
        <v>5425480.4839716665</v>
      </c>
      <c r="E187" s="11" t="str">
        <f t="shared" si="30"/>
        <v>23/24</v>
      </c>
      <c r="F187" s="11" t="str">
        <f t="shared" si="31"/>
        <v>Mar</v>
      </c>
      <c r="G187" s="11" t="str">
        <f t="shared" si="32"/>
        <v>Mar'23/24</v>
      </c>
      <c r="H187" s="11" t="str">
        <f t="shared" si="33"/>
        <v>Mar'23/24</v>
      </c>
      <c r="I187" s="11">
        <f t="shared" si="34"/>
        <v>57.537546770308346</v>
      </c>
    </row>
    <row r="188" spans="2:9" x14ac:dyDescent="0.55000000000000004">
      <c r="B188" s="11">
        <f t="shared" si="35"/>
        <v>10</v>
      </c>
      <c r="C188" s="11">
        <f t="shared" si="36"/>
        <v>7</v>
      </c>
      <c r="D188" s="12">
        <f t="shared" si="29"/>
        <v>5264969.4607216669</v>
      </c>
      <c r="E188" s="11" t="str">
        <f t="shared" si="30"/>
        <v>23/24</v>
      </c>
      <c r="F188" s="11" t="str">
        <f t="shared" si="31"/>
        <v>Apr</v>
      </c>
      <c r="G188" s="11" t="str">
        <f t="shared" si="32"/>
        <v>Apr'23/24</v>
      </c>
      <c r="H188" s="11" t="str">
        <f t="shared" si="33"/>
        <v>Apr'23/24</v>
      </c>
      <c r="I188" s="11">
        <f t="shared" si="34"/>
        <v>58.650988710665011</v>
      </c>
    </row>
    <row r="189" spans="2:9" x14ac:dyDescent="0.55000000000000004">
      <c r="B189" s="11">
        <f t="shared" si="35"/>
        <v>10</v>
      </c>
      <c r="C189" s="11">
        <f t="shared" si="36"/>
        <v>8</v>
      </c>
      <c r="D189" s="12">
        <f t="shared" si="29"/>
        <v>5747200.6055466663</v>
      </c>
      <c r="E189" s="11" t="str">
        <f t="shared" si="30"/>
        <v>23/24</v>
      </c>
      <c r="F189" s="11" t="str">
        <f t="shared" si="31"/>
        <v>May</v>
      </c>
      <c r="G189" s="11" t="str">
        <f t="shared" si="32"/>
        <v>May'23/24</v>
      </c>
      <c r="H189" s="11" t="str">
        <f t="shared" si="33"/>
        <v>May'23/24</v>
      </c>
      <c r="I189" s="11">
        <f t="shared" si="34"/>
        <v>60.202772719715007</v>
      </c>
    </row>
    <row r="190" spans="2:9" x14ac:dyDescent="0.55000000000000004">
      <c r="B190" s="11">
        <f t="shared" si="35"/>
        <v>10</v>
      </c>
      <c r="C190" s="11">
        <f t="shared" si="36"/>
        <v>9</v>
      </c>
      <c r="D190" s="12">
        <f t="shared" si="29"/>
        <v>5088560.0712883342</v>
      </c>
      <c r="E190" s="11" t="str">
        <f t="shared" si="30"/>
        <v>23/24</v>
      </c>
      <c r="F190" s="11" t="str">
        <f t="shared" si="31"/>
        <v>Jun</v>
      </c>
      <c r="G190" s="11" t="str">
        <f t="shared" si="32"/>
        <v>Jun'23/24</v>
      </c>
      <c r="H190" s="11" t="str">
        <f t="shared" si="33"/>
        <v>Jun'23/24</v>
      </c>
      <c r="I190" s="11">
        <f t="shared" si="34"/>
        <v>61.193429667806662</v>
      </c>
    </row>
    <row r="191" spans="2:9" x14ac:dyDescent="0.55000000000000004">
      <c r="B191" s="11">
        <f t="shared" si="35"/>
        <v>10</v>
      </c>
      <c r="C191" s="11">
        <f t="shared" si="36"/>
        <v>10</v>
      </c>
      <c r="D191" s="12">
        <f t="shared" si="29"/>
        <v>5257017.7720766673</v>
      </c>
      <c r="E191" s="11" t="str">
        <f t="shared" si="30"/>
        <v>23/24</v>
      </c>
      <c r="F191" s="11" t="str">
        <f t="shared" si="31"/>
        <v>Jul</v>
      </c>
      <c r="G191" s="11" t="str">
        <f t="shared" si="32"/>
        <v>Jul'23/24</v>
      </c>
      <c r="H191" s="11" t="str">
        <f t="shared" si="33"/>
        <v>Jul'23/24</v>
      </c>
      <c r="I191" s="11">
        <f t="shared" si="34"/>
        <v>62.148249298431672</v>
      </c>
    </row>
    <row r="192" spans="2:9" x14ac:dyDescent="0.55000000000000004">
      <c r="B192" s="11">
        <f t="shared" si="35"/>
        <v>10</v>
      </c>
      <c r="C192" s="11">
        <f t="shared" si="36"/>
        <v>11</v>
      </c>
      <c r="D192" s="12">
        <f t="shared" si="29"/>
        <v>5046313.9901583334</v>
      </c>
      <c r="E192" s="11" t="str">
        <f t="shared" si="30"/>
        <v>23/24</v>
      </c>
      <c r="F192" s="11" t="str">
        <f t="shared" si="31"/>
        <v>Aug</v>
      </c>
      <c r="G192" s="11" t="str">
        <f t="shared" si="32"/>
        <v>Aug'23/24</v>
      </c>
      <c r="H192" s="11" t="str">
        <f t="shared" si="33"/>
        <v>Aug'23/24</v>
      </c>
      <c r="I192" s="11">
        <f t="shared" si="34"/>
        <v>62.473059057773327</v>
      </c>
    </row>
    <row r="193" spans="2:9" x14ac:dyDescent="0.55000000000000004">
      <c r="B193" s="11">
        <f t="shared" si="35"/>
        <v>10</v>
      </c>
      <c r="C193" s="11">
        <f t="shared" si="36"/>
        <v>12</v>
      </c>
      <c r="D193" s="12">
        <f t="shared" si="29"/>
        <v>5794074.9397400003</v>
      </c>
      <c r="E193" s="11" t="str">
        <f t="shared" si="30"/>
        <v>23/24</v>
      </c>
      <c r="F193" s="11" t="str">
        <f t="shared" si="31"/>
        <v>Sep</v>
      </c>
      <c r="G193" s="11" t="str">
        <f t="shared" si="32"/>
        <v>Sep'23/24</v>
      </c>
      <c r="H193" s="11" t="str">
        <f t="shared" si="33"/>
        <v>Sep'23/24</v>
      </c>
      <c r="I193" s="11">
        <f t="shared" si="34"/>
        <v>63.938961096638337</v>
      </c>
    </row>
    <row r="194" spans="2:9" x14ac:dyDescent="0.55000000000000004">
      <c r="B194" s="11">
        <f t="shared" si="35"/>
        <v>11</v>
      </c>
      <c r="C194" s="11">
        <f t="shared" si="36"/>
        <v>1</v>
      </c>
      <c r="D194" s="12">
        <f t="shared" si="29"/>
        <v>6098193.2113883328</v>
      </c>
      <c r="E194" s="11" t="str">
        <f t="shared" si="30"/>
        <v>24/25</v>
      </c>
      <c r="F194" s="11" t="str">
        <f t="shared" si="31"/>
        <v>Oct</v>
      </c>
      <c r="G194" s="11" t="str">
        <f t="shared" si="32"/>
        <v>Oct'24/25</v>
      </c>
      <c r="H194" s="11" t="str">
        <f t="shared" si="33"/>
        <v>Oct'24/25</v>
      </c>
      <c r="I194" s="11">
        <f t="shared" si="34"/>
        <v>64.678686266450015</v>
      </c>
    </row>
    <row r="195" spans="2:9" x14ac:dyDescent="0.55000000000000004">
      <c r="B195" s="11">
        <f t="shared" si="35"/>
        <v>11</v>
      </c>
      <c r="C195" s="11">
        <f t="shared" si="36"/>
        <v>2</v>
      </c>
      <c r="D195" s="12">
        <f t="shared" si="29"/>
        <v>5639219.0509333331</v>
      </c>
      <c r="E195" s="11" t="str">
        <f t="shared" si="30"/>
        <v>24/25</v>
      </c>
      <c r="F195" s="11" t="str">
        <f t="shared" si="31"/>
        <v>Nov</v>
      </c>
      <c r="G195" s="11" t="str">
        <f t="shared" si="32"/>
        <v>Nov'24/25</v>
      </c>
      <c r="H195" s="11" t="str">
        <f t="shared" si="33"/>
        <v>Nov'24/25</v>
      </c>
      <c r="I195" s="11">
        <f t="shared" si="34"/>
        <v>64.97298148755668</v>
      </c>
    </row>
    <row r="196" spans="2:9" x14ac:dyDescent="0.55000000000000004">
      <c r="B196" s="11">
        <f t="shared" si="35"/>
        <v>11</v>
      </c>
      <c r="C196" s="11">
        <f t="shared" si="36"/>
        <v>3</v>
      </c>
      <c r="D196" s="12">
        <f t="shared" si="29"/>
        <v>6019202.6407916676</v>
      </c>
      <c r="E196" s="11" t="str">
        <f t="shared" si="30"/>
        <v>24/25</v>
      </c>
      <c r="F196" s="11" t="str">
        <f t="shared" si="31"/>
        <v>Dec</v>
      </c>
      <c r="G196" s="11" t="str">
        <f t="shared" si="32"/>
        <v>Dec'24/25</v>
      </c>
      <c r="H196" s="11" t="str">
        <f t="shared" si="33"/>
        <v>Dec'24/25</v>
      </c>
      <c r="I196" s="11">
        <f t="shared" si="34"/>
        <v>65.609020835603346</v>
      </c>
    </row>
    <row r="197" spans="2:9" x14ac:dyDescent="0.55000000000000004">
      <c r="B197" s="11">
        <f t="shared" si="35"/>
        <v>11</v>
      </c>
      <c r="C197" s="11">
        <f t="shared" si="36"/>
        <v>4</v>
      </c>
      <c r="D197" s="12">
        <f t="shared" si="29"/>
        <v>5271083.4839783339</v>
      </c>
      <c r="E197" s="11" t="str">
        <f t="shared" si="30"/>
        <v>24/25</v>
      </c>
      <c r="F197" s="11" t="str">
        <f t="shared" si="31"/>
        <v>Jan</v>
      </c>
      <c r="G197" s="11" t="str">
        <f t="shared" si="32"/>
        <v>Jan'24/25</v>
      </c>
      <c r="H197" s="11" t="str">
        <f t="shared" si="33"/>
        <v>Jan'24/25</v>
      </c>
      <c r="I197" s="11">
        <f t="shared" si="34"/>
        <v>65.698460480333338</v>
      </c>
    </row>
    <row r="198" spans="2:9" x14ac:dyDescent="0.55000000000000004">
      <c r="B198" s="11">
        <f t="shared" si="35"/>
        <v>11</v>
      </c>
      <c r="C198" s="11">
        <f t="shared" si="36"/>
        <v>5</v>
      </c>
      <c r="D198" s="12">
        <f t="shared" si="29"/>
        <v>5233585.0373633336</v>
      </c>
      <c r="E198" s="11" t="str">
        <f t="shared" si="30"/>
        <v>24/25</v>
      </c>
      <c r="F198" s="11" t="str">
        <f t="shared" si="31"/>
        <v>Feb</v>
      </c>
      <c r="G198" s="11" t="str">
        <f t="shared" si="32"/>
        <v>Feb'24/25</v>
      </c>
      <c r="H198" s="11" t="str">
        <f t="shared" si="33"/>
        <v>Feb'24/25</v>
      </c>
      <c r="I198" s="11">
        <f t="shared" si="34"/>
        <v>65.884900747958341</v>
      </c>
    </row>
    <row r="199" spans="2:9" x14ac:dyDescent="0.55000000000000004">
      <c r="B199" s="11">
        <f t="shared" si="35"/>
        <v>11</v>
      </c>
      <c r="C199" s="11">
        <f t="shared" si="36"/>
        <v>6</v>
      </c>
      <c r="D199" s="12">
        <f t="shared" si="29"/>
        <v>5676045.6699399995</v>
      </c>
      <c r="E199" s="11" t="str">
        <f t="shared" si="30"/>
        <v>24/25</v>
      </c>
      <c r="F199" s="11" t="str">
        <f t="shared" si="31"/>
        <v>Mar</v>
      </c>
      <c r="G199" s="11" t="str">
        <f t="shared" si="32"/>
        <v>Mar'24/25</v>
      </c>
      <c r="H199" s="11" t="str">
        <f t="shared" si="33"/>
        <v>Mar'24/25</v>
      </c>
      <c r="I199" s="11">
        <f t="shared" si="34"/>
        <v>66.135465933926668</v>
      </c>
    </row>
    <row r="200" spans="2:9" x14ac:dyDescent="0.55000000000000004">
      <c r="B200" s="11">
        <f t="shared" si="35"/>
        <v>11</v>
      </c>
      <c r="C200" s="11">
        <f t="shared" si="36"/>
        <v>7</v>
      </c>
      <c r="D200" s="12">
        <f t="shared" si="29"/>
        <v>4922852.3314300003</v>
      </c>
      <c r="E200" s="11" t="str">
        <f t="shared" si="30"/>
        <v>24/25</v>
      </c>
      <c r="F200" s="11" t="str">
        <f t="shared" si="31"/>
        <v>Apr</v>
      </c>
      <c r="G200" s="11" t="str">
        <f t="shared" si="32"/>
        <v>Apr'24/25</v>
      </c>
      <c r="H200" s="11" t="str">
        <f t="shared" si="33"/>
        <v>Apr'24/25</v>
      </c>
      <c r="I200" s="11">
        <f t="shared" si="34"/>
        <v>65.793348804635016</v>
      </c>
    </row>
    <row r="201" spans="2:9" x14ac:dyDescent="0.55000000000000004">
      <c r="B201" s="11">
        <f t="shared" si="35"/>
        <v>11</v>
      </c>
      <c r="C201" s="11">
        <f t="shared" si="36"/>
        <v>8</v>
      </c>
      <c r="D201" s="12">
        <f t="shared" si="29"/>
        <v>5216939.0378566664</v>
      </c>
      <c r="E201" s="11" t="str">
        <f t="shared" si="30"/>
        <v>24/25</v>
      </c>
      <c r="F201" s="11" t="str">
        <f t="shared" si="31"/>
        <v>May</v>
      </c>
      <c r="G201" s="11" t="str">
        <f t="shared" si="32"/>
        <v>May'24/25</v>
      </c>
      <c r="H201" s="11" t="str">
        <f t="shared" si="33"/>
        <v>May'24/25</v>
      </c>
      <c r="I201" s="11">
        <f t="shared" si="34"/>
        <v>65.263087236945012</v>
      </c>
    </row>
    <row r="202" spans="2:9" x14ac:dyDescent="0.55000000000000004">
      <c r="B202" s="11">
        <f t="shared" si="35"/>
        <v>11</v>
      </c>
      <c r="C202" s="11">
        <f t="shared" si="36"/>
        <v>9</v>
      </c>
      <c r="D202" s="12">
        <f t="shared" si="29"/>
        <v>4728810.9647333343</v>
      </c>
      <c r="E202" s="11" t="str">
        <f t="shared" si="30"/>
        <v>24/25</v>
      </c>
      <c r="F202" s="11" t="str">
        <f t="shared" si="31"/>
        <v>Jun</v>
      </c>
      <c r="G202" s="11" t="str">
        <f t="shared" si="32"/>
        <v>Jun'24/25</v>
      </c>
      <c r="H202" s="11" t="str">
        <f t="shared" si="33"/>
        <v>Jun'24/25</v>
      </c>
      <c r="I202" s="11">
        <f t="shared" si="34"/>
        <v>64.903338130390011</v>
      </c>
    </row>
    <row r="203" spans="2:9" x14ac:dyDescent="0.55000000000000004">
      <c r="B203" s="11">
        <f t="shared" si="35"/>
        <v>11</v>
      </c>
      <c r="C203" s="11">
        <f t="shared" si="36"/>
        <v>10</v>
      </c>
      <c r="D203" s="12">
        <f t="shared" ref="D203:D229" si="37">INDEX($C$7:$N$19,MATCH(B203,$A$7:$A$19),MATCH(C203,$C$4:$N$4))</f>
        <v>4897909.6651833337</v>
      </c>
      <c r="E203" s="11" t="str">
        <f t="shared" ref="E203:E229" si="38">_xlfn.XLOOKUP(B203,$A$7:$A$19,$B$7:$B$19)</f>
        <v>24/25</v>
      </c>
      <c r="F203" s="11" t="str">
        <f t="shared" ref="F203:F229" si="39">_xlfn.XLOOKUP(C203,$C$4:$N$4,$C$6:$N$6)</f>
        <v>Jul</v>
      </c>
      <c r="G203" s="11" t="str">
        <f t="shared" ref="G203:G229" si="40">_xlfn.CONCAT(F203,"'",E203)</f>
        <v>Jul'24/25</v>
      </c>
      <c r="H203" s="11" t="str">
        <f t="shared" si="33"/>
        <v>Jul'24/25</v>
      </c>
      <c r="I203" s="11">
        <f t="shared" si="34"/>
        <v>64.544230023496667</v>
      </c>
    </row>
    <row r="204" spans="2:9" x14ac:dyDescent="0.55000000000000004">
      <c r="B204" s="11">
        <f t="shared" si="35"/>
        <v>11</v>
      </c>
      <c r="C204" s="11">
        <f t="shared" si="36"/>
        <v>11</v>
      </c>
      <c r="D204" s="12">
        <f t="shared" si="37"/>
        <v>4870855.1958872229</v>
      </c>
      <c r="E204" s="11" t="str">
        <f t="shared" si="38"/>
        <v>24/25</v>
      </c>
      <c r="F204" s="11" t="str">
        <f t="shared" si="39"/>
        <v>Aug</v>
      </c>
      <c r="G204" s="11" t="str">
        <f t="shared" si="40"/>
        <v>Aug'24/25</v>
      </c>
      <c r="H204" s="11" t="str">
        <f t="shared" si="33"/>
        <v>Aug'24/25</v>
      </c>
      <c r="I204" s="11">
        <f t="shared" si="34"/>
        <v>64.368771229225572</v>
      </c>
    </row>
    <row r="205" spans="2:9" x14ac:dyDescent="0.55000000000000004">
      <c r="B205" s="11">
        <f t="shared" si="35"/>
        <v>11</v>
      </c>
      <c r="C205" s="11">
        <f t="shared" si="36"/>
        <v>12</v>
      </c>
      <c r="D205" s="12">
        <f t="shared" si="37"/>
        <v>5464003.4291537264</v>
      </c>
      <c r="E205" s="11" t="str">
        <f t="shared" si="38"/>
        <v>24/25</v>
      </c>
      <c r="F205" s="11" t="str">
        <f t="shared" si="39"/>
        <v>Sep</v>
      </c>
      <c r="G205" s="11" t="str">
        <f t="shared" si="40"/>
        <v>Sep'24/25</v>
      </c>
      <c r="H205" s="11" t="str">
        <f t="shared" si="33"/>
        <v>Sep'24/25</v>
      </c>
      <c r="I205" s="11">
        <f t="shared" si="34"/>
        <v>64.038699718639293</v>
      </c>
    </row>
    <row r="206" spans="2:9" x14ac:dyDescent="0.55000000000000004">
      <c r="B206" s="11">
        <f t="shared" si="35"/>
        <v>12</v>
      </c>
      <c r="C206" s="11">
        <f t="shared" si="36"/>
        <v>1</v>
      </c>
      <c r="D206" s="12">
        <f t="shared" si="37"/>
        <v>5741470.5699999994</v>
      </c>
      <c r="E206" s="11" t="str">
        <f t="shared" si="38"/>
        <v>25/26</v>
      </c>
      <c r="F206" s="11" t="str">
        <f t="shared" si="39"/>
        <v>Oct</v>
      </c>
      <c r="G206" s="11" t="str">
        <f t="shared" si="40"/>
        <v>Oct'25/26</v>
      </c>
      <c r="H206" s="11" t="str">
        <f t="shared" si="33"/>
        <v>Oct'25/26</v>
      </c>
      <c r="I206" s="11">
        <f t="shared" si="34"/>
        <v>63.681977077250949</v>
      </c>
    </row>
    <row r="207" spans="2:9" x14ac:dyDescent="0.55000000000000004">
      <c r="B207" s="11">
        <f t="shared" si="35"/>
        <v>12</v>
      </c>
      <c r="C207" s="11">
        <f t="shared" si="36"/>
        <v>2</v>
      </c>
      <c r="D207" s="12">
        <f t="shared" si="37"/>
        <v>5386101.6906666663</v>
      </c>
      <c r="E207" s="11" t="str">
        <f t="shared" si="38"/>
        <v>25/26</v>
      </c>
      <c r="F207" s="11" t="str">
        <f t="shared" si="39"/>
        <v>Nov</v>
      </c>
      <c r="G207" s="11" t="str">
        <f t="shared" si="40"/>
        <v>Nov'25/26</v>
      </c>
      <c r="H207" s="11" t="str">
        <f t="shared" si="33"/>
        <v>Nov'25/26</v>
      </c>
      <c r="I207" s="11">
        <f t="shared" si="34"/>
        <v>63.428859716984284</v>
      </c>
    </row>
    <row r="208" spans="2:9" x14ac:dyDescent="0.55000000000000004">
      <c r="B208" s="11">
        <f t="shared" si="35"/>
        <v>12</v>
      </c>
      <c r="C208" s="11">
        <f t="shared" si="36"/>
        <v>3</v>
      </c>
      <c r="D208" s="12">
        <f t="shared" si="37"/>
        <v>4824905.4316666666</v>
      </c>
      <c r="E208" s="11" t="str">
        <f t="shared" si="38"/>
        <v>25/26</v>
      </c>
      <c r="F208" s="11" t="str">
        <f t="shared" si="39"/>
        <v>Dec</v>
      </c>
      <c r="G208" s="11" t="str">
        <f t="shared" si="40"/>
        <v>Dec'25/26</v>
      </c>
      <c r="H208" s="11" t="str">
        <f t="shared" si="33"/>
        <v>Dec'25/26</v>
      </c>
      <c r="I208" s="11">
        <f t="shared" si="34"/>
        <v>62.23456250785928</v>
      </c>
    </row>
    <row r="209" spans="2:9" x14ac:dyDescent="0.55000000000000004">
      <c r="B209" s="11">
        <f t="shared" si="35"/>
        <v>12</v>
      </c>
      <c r="C209" s="11">
        <f t="shared" si="36"/>
        <v>4</v>
      </c>
      <c r="D209" s="12">
        <f t="shared" si="37"/>
        <v>4381685</v>
      </c>
      <c r="E209" s="11" t="str">
        <f t="shared" si="38"/>
        <v>25/26</v>
      </c>
      <c r="F209" s="11" t="str">
        <f t="shared" si="39"/>
        <v>Jan</v>
      </c>
      <c r="G209" s="11" t="str">
        <f t="shared" si="40"/>
        <v>Jan'25/26</v>
      </c>
      <c r="H209" s="11" t="str">
        <f t="shared" si="33"/>
        <v>Jan'25/26</v>
      </c>
      <c r="I209" s="11">
        <f t="shared" si="34"/>
        <v>61.345164023880955</v>
      </c>
    </row>
    <row r="210" spans="2:9" x14ac:dyDescent="0.55000000000000004">
      <c r="B210" s="11">
        <f t="shared" si="35"/>
        <v>12</v>
      </c>
      <c r="C210" s="11">
        <f t="shared" si="36"/>
        <v>5</v>
      </c>
      <c r="D210" s="12">
        <f t="shared" si="37"/>
        <v>4217521</v>
      </c>
      <c r="E210" s="11" t="str">
        <f t="shared" si="38"/>
        <v>25/26</v>
      </c>
      <c r="F210" s="11" t="str">
        <f t="shared" si="39"/>
        <v>Feb</v>
      </c>
      <c r="G210" s="11" t="str">
        <f t="shared" si="40"/>
        <v>Feb'25/26</v>
      </c>
      <c r="H210" s="11" t="str">
        <f t="shared" si="33"/>
        <v>Feb'25/26</v>
      </c>
      <c r="I210" s="11">
        <f t="shared" si="34"/>
        <v>60.329099986517619</v>
      </c>
    </row>
    <row r="211" spans="2:9" x14ac:dyDescent="0.55000000000000004">
      <c r="B211" s="11">
        <f t="shared" si="35"/>
        <v>12</v>
      </c>
      <c r="C211" s="11">
        <f t="shared" si="36"/>
        <v>6</v>
      </c>
      <c r="D211" s="12">
        <f t="shared" si="37"/>
        <v>4602691.333333333</v>
      </c>
      <c r="E211" s="11" t="str">
        <f t="shared" si="38"/>
        <v>25/26</v>
      </c>
      <c r="F211" s="11" t="str">
        <f t="shared" si="39"/>
        <v>Mar</v>
      </c>
      <c r="G211" s="11" t="str">
        <f t="shared" si="40"/>
        <v>Mar'25/26</v>
      </c>
      <c r="H211" s="11" t="str">
        <f t="shared" si="33"/>
        <v>Mar'25/26</v>
      </c>
      <c r="I211" s="11">
        <f t="shared" si="34"/>
        <v>59.255745649910949</v>
      </c>
    </row>
    <row r="212" spans="2:9" x14ac:dyDescent="0.55000000000000004">
      <c r="B212" s="11">
        <f t="shared" si="35"/>
        <v>12</v>
      </c>
      <c r="C212" s="11">
        <f t="shared" si="36"/>
        <v>7</v>
      </c>
      <c r="D212" s="12">
        <f t="shared" si="37"/>
        <v>4415479.333333333</v>
      </c>
      <c r="E212" s="11" t="str">
        <f t="shared" si="38"/>
        <v>25/26</v>
      </c>
      <c r="F212" s="11" t="str">
        <f t="shared" si="39"/>
        <v>Apr</v>
      </c>
      <c r="G212" s="11" t="str">
        <f t="shared" si="40"/>
        <v>Apr'25/26</v>
      </c>
      <c r="H212" s="11" t="str">
        <f t="shared" si="33"/>
        <v>Apr'25/26</v>
      </c>
      <c r="I212" s="11">
        <f t="shared" si="34"/>
        <v>58.748372651814286</v>
      </c>
    </row>
    <row r="213" spans="2:9" x14ac:dyDescent="0.55000000000000004">
      <c r="B213" s="11">
        <f t="shared" si="35"/>
        <v>12</v>
      </c>
      <c r="C213" s="11">
        <f t="shared" si="36"/>
        <v>8</v>
      </c>
      <c r="D213" s="12">
        <f t="shared" si="37"/>
        <v>4660112.333333333</v>
      </c>
      <c r="E213" s="11" t="str">
        <f t="shared" si="38"/>
        <v>25/26</v>
      </c>
      <c r="F213" s="11" t="str">
        <f t="shared" si="39"/>
        <v>May</v>
      </c>
      <c r="G213" s="11" t="str">
        <f t="shared" si="40"/>
        <v>May'25/26</v>
      </c>
      <c r="H213" s="11" t="str">
        <f t="shared" si="33"/>
        <v>May'25/26</v>
      </c>
      <c r="I213" s="11">
        <f t="shared" si="34"/>
        <v>58.191545947290955</v>
      </c>
    </row>
    <row r="214" spans="2:9" x14ac:dyDescent="0.55000000000000004">
      <c r="B214" s="11">
        <f t="shared" si="35"/>
        <v>12</v>
      </c>
      <c r="C214" s="11">
        <f t="shared" si="36"/>
        <v>9</v>
      </c>
      <c r="D214" s="12" t="e">
        <f t="shared" si="37"/>
        <v>#N/A</v>
      </c>
      <c r="E214" s="11" t="str">
        <f t="shared" si="38"/>
        <v>25/26</v>
      </c>
      <c r="F214" s="11" t="str">
        <f t="shared" si="39"/>
        <v>Jun</v>
      </c>
      <c r="G214" s="11" t="str">
        <f t="shared" si="40"/>
        <v>Jun'25/26</v>
      </c>
      <c r="H214" s="11" t="str">
        <f t="shared" ref="H214:H229" si="41">G214</f>
        <v>Jun'25/26</v>
      </c>
      <c r="I214" s="11" t="e">
        <f t="shared" ref="I214:I229" si="42">SUM(D203:D214)/1000000</f>
        <v>#N/A</v>
      </c>
    </row>
    <row r="215" spans="2:9" x14ac:dyDescent="0.55000000000000004">
      <c r="B215" s="11">
        <f t="shared" ref="B215:B229" si="43">B203+1</f>
        <v>12</v>
      </c>
      <c r="C215" s="11">
        <f t="shared" ref="C215:C229" si="44">C203</f>
        <v>10</v>
      </c>
      <c r="D215" s="12" t="e">
        <f t="shared" si="37"/>
        <v>#N/A</v>
      </c>
      <c r="E215" s="11" t="str">
        <f t="shared" si="38"/>
        <v>25/26</v>
      </c>
      <c r="F215" s="11" t="str">
        <f t="shared" si="39"/>
        <v>Jul</v>
      </c>
      <c r="G215" s="11" t="str">
        <f t="shared" si="40"/>
        <v>Jul'25/26</v>
      </c>
      <c r="H215" s="11" t="str">
        <f t="shared" si="41"/>
        <v>Jul'25/26</v>
      </c>
      <c r="I215" s="11" t="e">
        <f t="shared" si="42"/>
        <v>#N/A</v>
      </c>
    </row>
    <row r="216" spans="2:9" x14ac:dyDescent="0.55000000000000004">
      <c r="B216" s="11">
        <f t="shared" si="43"/>
        <v>12</v>
      </c>
      <c r="C216" s="11">
        <f t="shared" si="44"/>
        <v>11</v>
      </c>
      <c r="D216" s="12" t="e">
        <f t="shared" si="37"/>
        <v>#N/A</v>
      </c>
      <c r="E216" s="11" t="str">
        <f t="shared" si="38"/>
        <v>25/26</v>
      </c>
      <c r="F216" s="11" t="str">
        <f t="shared" si="39"/>
        <v>Aug</v>
      </c>
      <c r="G216" s="11" t="str">
        <f t="shared" si="40"/>
        <v>Aug'25/26</v>
      </c>
      <c r="H216" s="11" t="str">
        <f t="shared" si="41"/>
        <v>Aug'25/26</v>
      </c>
      <c r="I216" s="11" t="e">
        <f t="shared" si="42"/>
        <v>#N/A</v>
      </c>
    </row>
    <row r="217" spans="2:9" x14ac:dyDescent="0.55000000000000004">
      <c r="B217" s="11">
        <f t="shared" si="43"/>
        <v>12</v>
      </c>
      <c r="C217" s="11">
        <f t="shared" si="44"/>
        <v>12</v>
      </c>
      <c r="D217" s="12" t="e">
        <f t="shared" si="37"/>
        <v>#N/A</v>
      </c>
      <c r="E217" s="11" t="str">
        <f t="shared" si="38"/>
        <v>25/26</v>
      </c>
      <c r="F217" s="11" t="str">
        <f t="shared" si="39"/>
        <v>Sep</v>
      </c>
      <c r="G217" s="11" t="str">
        <f t="shared" si="40"/>
        <v>Sep'25/26</v>
      </c>
      <c r="H217" s="11" t="str">
        <f t="shared" si="41"/>
        <v>Sep'25/26</v>
      </c>
      <c r="I217" s="11" t="e">
        <f t="shared" si="42"/>
        <v>#N/A</v>
      </c>
    </row>
    <row r="218" spans="2:9" x14ac:dyDescent="0.55000000000000004">
      <c r="B218" s="11">
        <f t="shared" si="43"/>
        <v>13</v>
      </c>
      <c r="C218" s="11">
        <f t="shared" si="44"/>
        <v>1</v>
      </c>
      <c r="D218" s="12" t="e">
        <f t="shared" si="37"/>
        <v>#N/A</v>
      </c>
      <c r="E218" s="11" t="str">
        <f t="shared" si="38"/>
        <v>26/27</v>
      </c>
      <c r="F218" s="11" t="str">
        <f t="shared" si="39"/>
        <v>Oct</v>
      </c>
      <c r="G218" s="11" t="str">
        <f t="shared" si="40"/>
        <v>Oct'26/27</v>
      </c>
      <c r="H218" s="11" t="str">
        <f t="shared" si="41"/>
        <v>Oct'26/27</v>
      </c>
      <c r="I218" s="11" t="e">
        <f t="shared" si="42"/>
        <v>#N/A</v>
      </c>
    </row>
    <row r="219" spans="2:9" x14ac:dyDescent="0.55000000000000004">
      <c r="B219" s="11">
        <f t="shared" si="43"/>
        <v>13</v>
      </c>
      <c r="C219" s="11">
        <f t="shared" si="44"/>
        <v>2</v>
      </c>
      <c r="D219" s="12" t="e">
        <f t="shared" si="37"/>
        <v>#N/A</v>
      </c>
      <c r="E219" s="11" t="str">
        <f t="shared" si="38"/>
        <v>26/27</v>
      </c>
      <c r="F219" s="11" t="str">
        <f t="shared" si="39"/>
        <v>Nov</v>
      </c>
      <c r="G219" s="11" t="str">
        <f t="shared" si="40"/>
        <v>Nov'26/27</v>
      </c>
      <c r="H219" s="11" t="str">
        <f t="shared" si="41"/>
        <v>Nov'26/27</v>
      </c>
      <c r="I219" s="11" t="e">
        <f t="shared" si="42"/>
        <v>#N/A</v>
      </c>
    </row>
    <row r="220" spans="2:9" x14ac:dyDescent="0.55000000000000004">
      <c r="B220" s="11">
        <f t="shared" si="43"/>
        <v>13</v>
      </c>
      <c r="C220" s="11">
        <f t="shared" si="44"/>
        <v>3</v>
      </c>
      <c r="D220" s="12" t="e">
        <f t="shared" si="37"/>
        <v>#N/A</v>
      </c>
      <c r="E220" s="11" t="str">
        <f t="shared" si="38"/>
        <v>26/27</v>
      </c>
      <c r="F220" s="11" t="str">
        <f t="shared" si="39"/>
        <v>Dec</v>
      </c>
      <c r="G220" s="11" t="str">
        <f t="shared" si="40"/>
        <v>Dec'26/27</v>
      </c>
      <c r="H220" s="11" t="str">
        <f t="shared" si="41"/>
        <v>Dec'26/27</v>
      </c>
      <c r="I220" s="11" t="e">
        <f t="shared" si="42"/>
        <v>#N/A</v>
      </c>
    </row>
    <row r="221" spans="2:9" x14ac:dyDescent="0.55000000000000004">
      <c r="B221" s="11">
        <f t="shared" si="43"/>
        <v>13</v>
      </c>
      <c r="C221" s="11">
        <f t="shared" si="44"/>
        <v>4</v>
      </c>
      <c r="D221" s="12" t="e">
        <f t="shared" si="37"/>
        <v>#N/A</v>
      </c>
      <c r="E221" s="11" t="str">
        <f t="shared" si="38"/>
        <v>26/27</v>
      </c>
      <c r="F221" s="11" t="str">
        <f t="shared" si="39"/>
        <v>Jan</v>
      </c>
      <c r="G221" s="11" t="str">
        <f t="shared" si="40"/>
        <v>Jan'26/27</v>
      </c>
      <c r="H221" s="11" t="str">
        <f t="shared" si="41"/>
        <v>Jan'26/27</v>
      </c>
      <c r="I221" s="11" t="e">
        <f t="shared" si="42"/>
        <v>#N/A</v>
      </c>
    </row>
    <row r="222" spans="2:9" x14ac:dyDescent="0.55000000000000004">
      <c r="B222" s="11">
        <f t="shared" si="43"/>
        <v>13</v>
      </c>
      <c r="C222" s="11">
        <f t="shared" si="44"/>
        <v>5</v>
      </c>
      <c r="D222" s="12" t="e">
        <f t="shared" si="37"/>
        <v>#N/A</v>
      </c>
      <c r="E222" s="11" t="str">
        <f t="shared" si="38"/>
        <v>26/27</v>
      </c>
      <c r="F222" s="11" t="str">
        <f t="shared" si="39"/>
        <v>Feb</v>
      </c>
      <c r="G222" s="11" t="str">
        <f t="shared" si="40"/>
        <v>Feb'26/27</v>
      </c>
      <c r="H222" s="11" t="str">
        <f t="shared" si="41"/>
        <v>Feb'26/27</v>
      </c>
      <c r="I222" s="11" t="e">
        <f t="shared" si="42"/>
        <v>#N/A</v>
      </c>
    </row>
    <row r="223" spans="2:9" x14ac:dyDescent="0.55000000000000004">
      <c r="B223" s="11">
        <f t="shared" si="43"/>
        <v>13</v>
      </c>
      <c r="C223" s="11">
        <f t="shared" si="44"/>
        <v>6</v>
      </c>
      <c r="D223" s="12" t="e">
        <f t="shared" si="37"/>
        <v>#N/A</v>
      </c>
      <c r="E223" s="11" t="str">
        <f t="shared" si="38"/>
        <v>26/27</v>
      </c>
      <c r="F223" s="11" t="str">
        <f t="shared" si="39"/>
        <v>Mar</v>
      </c>
      <c r="G223" s="11" t="str">
        <f t="shared" si="40"/>
        <v>Mar'26/27</v>
      </c>
      <c r="H223" s="11" t="str">
        <f t="shared" si="41"/>
        <v>Mar'26/27</v>
      </c>
      <c r="I223" s="11" t="e">
        <f t="shared" si="42"/>
        <v>#N/A</v>
      </c>
    </row>
    <row r="224" spans="2:9" x14ac:dyDescent="0.55000000000000004">
      <c r="B224" s="11">
        <f t="shared" si="43"/>
        <v>13</v>
      </c>
      <c r="C224" s="11">
        <f t="shared" si="44"/>
        <v>7</v>
      </c>
      <c r="D224" s="12" t="e">
        <f t="shared" si="37"/>
        <v>#N/A</v>
      </c>
      <c r="E224" s="11" t="str">
        <f t="shared" si="38"/>
        <v>26/27</v>
      </c>
      <c r="F224" s="11" t="str">
        <f t="shared" si="39"/>
        <v>Apr</v>
      </c>
      <c r="G224" s="11" t="str">
        <f t="shared" si="40"/>
        <v>Apr'26/27</v>
      </c>
      <c r="H224" s="11" t="str">
        <f t="shared" si="41"/>
        <v>Apr'26/27</v>
      </c>
      <c r="I224" s="11" t="e">
        <f t="shared" si="42"/>
        <v>#N/A</v>
      </c>
    </row>
    <row r="225" spans="2:9" x14ac:dyDescent="0.55000000000000004">
      <c r="B225" s="11">
        <f t="shared" si="43"/>
        <v>13</v>
      </c>
      <c r="C225" s="11">
        <f t="shared" si="44"/>
        <v>8</v>
      </c>
      <c r="D225" s="12" t="e">
        <f t="shared" si="37"/>
        <v>#N/A</v>
      </c>
      <c r="E225" s="11" t="str">
        <f t="shared" si="38"/>
        <v>26/27</v>
      </c>
      <c r="F225" s="11" t="str">
        <f t="shared" si="39"/>
        <v>May</v>
      </c>
      <c r="G225" s="11" t="str">
        <f t="shared" si="40"/>
        <v>May'26/27</v>
      </c>
      <c r="H225" s="11" t="str">
        <f t="shared" si="41"/>
        <v>May'26/27</v>
      </c>
      <c r="I225" s="11" t="e">
        <f t="shared" si="42"/>
        <v>#N/A</v>
      </c>
    </row>
    <row r="226" spans="2:9" x14ac:dyDescent="0.55000000000000004">
      <c r="B226" s="11">
        <f t="shared" si="43"/>
        <v>13</v>
      </c>
      <c r="C226" s="11">
        <f t="shared" si="44"/>
        <v>9</v>
      </c>
      <c r="D226" s="12" t="e">
        <f t="shared" si="37"/>
        <v>#N/A</v>
      </c>
      <c r="E226" s="11" t="str">
        <f t="shared" si="38"/>
        <v>26/27</v>
      </c>
      <c r="F226" s="11" t="str">
        <f t="shared" si="39"/>
        <v>Jun</v>
      </c>
      <c r="G226" s="11" t="str">
        <f t="shared" si="40"/>
        <v>Jun'26/27</v>
      </c>
      <c r="H226" s="11" t="str">
        <f t="shared" si="41"/>
        <v>Jun'26/27</v>
      </c>
      <c r="I226" s="11" t="e">
        <f t="shared" si="42"/>
        <v>#N/A</v>
      </c>
    </row>
    <row r="227" spans="2:9" x14ac:dyDescent="0.55000000000000004">
      <c r="B227" s="11">
        <f t="shared" si="43"/>
        <v>13</v>
      </c>
      <c r="C227" s="11">
        <f t="shared" si="44"/>
        <v>10</v>
      </c>
      <c r="D227" s="12" t="e">
        <f t="shared" si="37"/>
        <v>#N/A</v>
      </c>
      <c r="E227" s="11" t="str">
        <f t="shared" si="38"/>
        <v>26/27</v>
      </c>
      <c r="F227" s="11" t="str">
        <f t="shared" si="39"/>
        <v>Jul</v>
      </c>
      <c r="G227" s="11" t="str">
        <f t="shared" si="40"/>
        <v>Jul'26/27</v>
      </c>
      <c r="H227" s="11" t="str">
        <f t="shared" si="41"/>
        <v>Jul'26/27</v>
      </c>
      <c r="I227" s="11" t="e">
        <f t="shared" si="42"/>
        <v>#N/A</v>
      </c>
    </row>
    <row r="228" spans="2:9" x14ac:dyDescent="0.55000000000000004">
      <c r="B228" s="11">
        <f t="shared" si="43"/>
        <v>13</v>
      </c>
      <c r="C228" s="11">
        <f t="shared" si="44"/>
        <v>11</v>
      </c>
      <c r="D228" s="12" t="e">
        <f t="shared" si="37"/>
        <v>#N/A</v>
      </c>
      <c r="E228" s="11" t="str">
        <f t="shared" si="38"/>
        <v>26/27</v>
      </c>
      <c r="F228" s="11" t="str">
        <f t="shared" si="39"/>
        <v>Aug</v>
      </c>
      <c r="G228" s="11" t="str">
        <f t="shared" si="40"/>
        <v>Aug'26/27</v>
      </c>
      <c r="H228" s="11" t="str">
        <f t="shared" si="41"/>
        <v>Aug'26/27</v>
      </c>
      <c r="I228" s="11" t="e">
        <f t="shared" si="42"/>
        <v>#N/A</v>
      </c>
    </row>
    <row r="229" spans="2:9" x14ac:dyDescent="0.55000000000000004">
      <c r="B229" s="11">
        <f t="shared" si="43"/>
        <v>13</v>
      </c>
      <c r="C229" s="11">
        <f t="shared" si="44"/>
        <v>12</v>
      </c>
      <c r="D229" s="12" t="e">
        <f t="shared" si="37"/>
        <v>#N/A</v>
      </c>
      <c r="E229" s="11" t="str">
        <f t="shared" si="38"/>
        <v>26/27</v>
      </c>
      <c r="F229" s="11" t="str">
        <f t="shared" si="39"/>
        <v>Sep</v>
      </c>
      <c r="G229" s="11" t="str">
        <f t="shared" si="40"/>
        <v>Sep'26/27</v>
      </c>
      <c r="H229" s="11" t="str">
        <f t="shared" si="41"/>
        <v>Sep'26/27</v>
      </c>
      <c r="I229" s="11" t="e">
        <f t="shared" si="42"/>
        <v>#N/A</v>
      </c>
    </row>
  </sheetData>
  <mergeCells count="5">
    <mergeCell ref="A1:P2"/>
    <mergeCell ref="Q1:V2"/>
    <mergeCell ref="C5:N5"/>
    <mergeCell ref="S6:U6"/>
    <mergeCell ref="N74:Y74"/>
  </mergeCells>
  <conditionalFormatting sqref="C7:N19">
    <cfRule type="cellIs" dxfId="16" priority="1" operator="greaterThanOrEqual">
      <formula>0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{922611BE-CE6A-453D-A27B-8B88C0F2F810}</x14:id>
        </ext>
      </extLst>
    </cfRule>
  </conditionalFormatting>
  <conditionalFormatting sqref="Q17:Q1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{5DF22CEF-A798-431A-B387-1D86314239E6}</x14:id>
        </ext>
      </extLst>
    </cfRule>
  </conditionalFormatting>
  <conditionalFormatting sqref="T7:T19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{9B72BC7C-A20D-4F75-9E18-ADB543DD4158}</x14:id>
        </ext>
      </extLst>
    </cfRule>
  </conditionalFormatting>
  <conditionalFormatting sqref="U1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{C1A4C783-F185-4052-AF32-4DFB094DB11B}</x14:id>
        </ext>
      </extLst>
    </cfRule>
  </conditionalFormatting>
  <pageMargins left="0.7" right="0.7" top="0.75" bottom="0.75" header="0.3" footer="0.3"/>
  <ignoredErrors>
    <ignoredError sqref="D17:N19 C18:C19" evalError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2611BE-CE6A-453D-A27B-8B88C0F2F8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Q8:Q16</xm:sqref>
        </x14:conditionalFormatting>
        <x14:conditionalFormatting xmlns:xm="http://schemas.microsoft.com/office/excel/2006/main">
          <x14:cfRule type="dataBar" id="{5DF22CEF-A798-431A-B387-1D86314239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Q17:Q19</xm:sqref>
        </x14:conditionalFormatting>
        <x14:conditionalFormatting xmlns:xm="http://schemas.microsoft.com/office/excel/2006/main">
          <x14:cfRule type="dataBar" id="{9B72BC7C-A20D-4F75-9E18-ADB543DD41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C1A4C783-F185-4052-AF32-4DFB094DB1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7D48-E644-4CEA-8117-6E6B8839E5BA}">
  <dimension ref="A1:AI229"/>
  <sheetViews>
    <sheetView showGridLines="0" zoomScale="70" zoomScaleNormal="70" workbookViewId="0">
      <selection activeCell="C3" sqref="C3"/>
    </sheetView>
  </sheetViews>
  <sheetFormatPr defaultColWidth="8.83984375" defaultRowHeight="14.4" x14ac:dyDescent="0.55000000000000004"/>
  <cols>
    <col min="1" max="17" width="8.83984375" style="11"/>
    <col min="18" max="18" width="8.83984375" style="11" customWidth="1"/>
    <col min="19" max="16384" width="8.83984375" style="11"/>
  </cols>
  <sheetData>
    <row r="1" spans="1:35" s="17" customFormat="1" ht="25.9" customHeight="1" x14ac:dyDescent="0.55000000000000004">
      <c r="A1" s="73" t="s">
        <v>107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8" t="s">
        <v>108</v>
      </c>
      <c r="R1" s="78"/>
      <c r="S1" s="78"/>
      <c r="T1" s="78"/>
      <c r="U1" s="78"/>
      <c r="V1" s="78"/>
      <c r="W1" s="29"/>
      <c r="X1" s="29"/>
      <c r="Y1" s="29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8"/>
      <c r="R2" s="78"/>
      <c r="S2" s="78"/>
      <c r="T2" s="78"/>
      <c r="U2" s="78"/>
      <c r="V2" s="78"/>
      <c r="W2" s="29"/>
      <c r="X2" s="29"/>
      <c r="Y2" s="29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Oct-May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Non Brazil Origins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Oct-May</v>
      </c>
      <c r="T6" s="75"/>
      <c r="U6" s="75"/>
    </row>
    <row r="7" spans="1:35" x14ac:dyDescent="0.55000000000000004">
      <c r="A7" s="14">
        <v>1</v>
      </c>
      <c r="B7" s="6" t="s">
        <v>15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6" t="s">
        <v>15</v>
      </c>
      <c r="P7" s="20" t="str">
        <f t="shared" ref="P7:P19" si="0">IF(COUNT(C7:N7)=12,SUM(C7:N7),"")</f>
        <v/>
      </c>
      <c r="Q7" s="2"/>
      <c r="R7" s="2"/>
      <c r="S7" s="6" t="s">
        <v>15</v>
      </c>
      <c r="T7" s="20" t="str">
        <f t="shared" ref="T7:T17" ca="1" si="1">IFERROR(IF(SUM(OFFSET(C7,0,0,1,$C$56))=0,"",SUM(OFFSET(C7,0,0,1,$C$56))),"")</f>
        <v/>
      </c>
      <c r="U7" s="2"/>
    </row>
    <row r="8" spans="1:35" x14ac:dyDescent="0.55000000000000004">
      <c r="A8" s="14">
        <v>2</v>
      </c>
      <c r="B8" s="6" t="s">
        <v>16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6" t="s">
        <v>16</v>
      </c>
      <c r="P8" s="20" t="str">
        <f t="shared" si="0"/>
        <v/>
      </c>
      <c r="Q8" s="7" t="str">
        <f t="shared" ref="Q8:Q17" si="2">IFERROR(P8/P7-1,"")</f>
        <v/>
      </c>
      <c r="R8" s="2"/>
      <c r="S8" s="6" t="s">
        <v>16</v>
      </c>
      <c r="T8" s="20" t="str">
        <f t="shared" ca="1" si="1"/>
        <v/>
      </c>
      <c r="U8" s="7" t="str">
        <f t="shared" ref="U8:U18" ca="1" si="3">IFERROR(T8/T7-1,"")</f>
        <v/>
      </c>
    </row>
    <row r="9" spans="1:35" x14ac:dyDescent="0.55000000000000004">
      <c r="A9" s="14">
        <v>3</v>
      </c>
      <c r="B9" s="6" t="s">
        <v>17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6" t="s">
        <v>17</v>
      </c>
      <c r="P9" s="20" t="str">
        <f t="shared" si="0"/>
        <v/>
      </c>
      <c r="Q9" s="7" t="str">
        <f t="shared" si="2"/>
        <v/>
      </c>
      <c r="R9" s="2"/>
      <c r="S9" s="6" t="s">
        <v>17</v>
      </c>
      <c r="T9" s="20" t="str">
        <f t="shared" ca="1" si="1"/>
        <v/>
      </c>
      <c r="U9" s="7" t="str">
        <f t="shared" ca="1" si="3"/>
        <v/>
      </c>
    </row>
    <row r="10" spans="1:35" x14ac:dyDescent="0.55000000000000004">
      <c r="A10" s="14">
        <v>4</v>
      </c>
      <c r="B10" s="6" t="s">
        <v>18</v>
      </c>
      <c r="C10" s="23">
        <f>Colombia!C10+Honduras!C10+Ethiopia!C10+Peru!C10</f>
        <v>2178602.9918316668</v>
      </c>
      <c r="D10" s="23">
        <f>Colombia!D10+Honduras!D10+Ethiopia!D10+Peru!D10</f>
        <v>2306063.12396</v>
      </c>
      <c r="E10" s="23">
        <f>Colombia!E10+Honduras!E10+Ethiopia!E10+Peru!E10</f>
        <v>2452176.8519066665</v>
      </c>
      <c r="F10" s="23">
        <f>Colombia!F10+Honduras!F10+Ethiopia!F10+Peru!F10</f>
        <v>2415155.3163416665</v>
      </c>
      <c r="G10" s="23">
        <f>Colombia!G10+Honduras!G10+Ethiopia!G10+Peru!G10</f>
        <v>2530337.1865083333</v>
      </c>
      <c r="H10" s="23">
        <f>Colombia!H10+Honduras!H10+Ethiopia!H10+Peru!H10</f>
        <v>2041396.8522366667</v>
      </c>
      <c r="I10" s="23">
        <f>Colombia!I10+Honduras!I10+Ethiopia!I10+Peru!I10</f>
        <v>2240530.42313</v>
      </c>
      <c r="J10" s="23">
        <f>Colombia!J10+Honduras!J10+Ethiopia!J10+Peru!J10</f>
        <v>2273493.8139833333</v>
      </c>
      <c r="K10" s="23">
        <f>Colombia!K10+Honduras!K10+Ethiopia!K10+Peru!K10</f>
        <v>2446172.2475866671</v>
      </c>
      <c r="L10" s="23">
        <f>Colombia!L10+Honduras!L10+Ethiopia!L10+Peru!L10</f>
        <v>2512577.2451883336</v>
      </c>
      <c r="M10" s="23">
        <f>Colombia!M10+Honduras!M10+Ethiopia!M10+Peru!M10</f>
        <v>2503631.6699000001</v>
      </c>
      <c r="N10" s="23">
        <f>Colombia!N10+Honduras!N10+Ethiopia!N10+Peru!N10</f>
        <v>2370866.6203016667</v>
      </c>
      <c r="O10" s="6" t="s">
        <v>18</v>
      </c>
      <c r="P10" s="20">
        <f t="shared" si="0"/>
        <v>28271004.342875004</v>
      </c>
      <c r="Q10" s="7" t="str">
        <f t="shared" si="2"/>
        <v/>
      </c>
      <c r="R10" s="2"/>
      <c r="S10" s="6" t="s">
        <v>18</v>
      </c>
      <c r="T10" s="20">
        <f t="shared" ca="1" si="1"/>
        <v>18437756.559898335</v>
      </c>
      <c r="U10" s="7" t="str">
        <f t="shared" ca="1" si="3"/>
        <v/>
      </c>
    </row>
    <row r="11" spans="1:35" x14ac:dyDescent="0.55000000000000004">
      <c r="A11" s="14">
        <v>5</v>
      </c>
      <c r="B11" s="6" t="s">
        <v>19</v>
      </c>
      <c r="C11" s="23">
        <f>Colombia!C11+Honduras!C11+Ethiopia!C11+Peru!C11</f>
        <v>2321729.271675</v>
      </c>
      <c r="D11" s="23">
        <f>Colombia!D11+Honduras!D11+Ethiopia!D11+Peru!D11</f>
        <v>2258277.1119249999</v>
      </c>
      <c r="E11" s="23">
        <f>Colombia!E11+Honduras!E11+Ethiopia!E11+Peru!E11</f>
        <v>2360575.2915949998</v>
      </c>
      <c r="F11" s="23">
        <f>Colombia!F11+Honduras!F11+Ethiopia!F11+Peru!F11</f>
        <v>2254293.7911616666</v>
      </c>
      <c r="G11" s="23">
        <f>Colombia!G11+Honduras!G11+Ethiopia!G11+Peru!G11</f>
        <v>2433754.1444033333</v>
      </c>
      <c r="H11" s="23">
        <f>Colombia!H11+Honduras!H11+Ethiopia!H11+Peru!H11</f>
        <v>2361833.1491916669</v>
      </c>
      <c r="I11" s="23">
        <f>Colombia!I11+Honduras!I11+Ethiopia!I11+Peru!I11</f>
        <v>2245177.5757716666</v>
      </c>
      <c r="J11" s="23">
        <f>Colombia!J11+Honduras!J11+Ethiopia!J11+Peru!J11</f>
        <v>2572704.936185</v>
      </c>
      <c r="K11" s="23">
        <f>Colombia!K11+Honduras!K11+Ethiopia!K11+Peru!K11</f>
        <v>2665664.5460583335</v>
      </c>
      <c r="L11" s="23">
        <f>Colombia!L11+Honduras!L11+Ethiopia!L11+Peru!L11</f>
        <v>2749678.0061400002</v>
      </c>
      <c r="M11" s="23">
        <f>Colombia!M11+Honduras!M11+Ethiopia!M11+Peru!M11</f>
        <v>2508484.0130166668</v>
      </c>
      <c r="N11" s="23">
        <f>Colombia!N11+Honduras!N11+Ethiopia!N11+Peru!N11</f>
        <v>2326676.2702750005</v>
      </c>
      <c r="O11" s="6" t="s">
        <v>19</v>
      </c>
      <c r="P11" s="20">
        <f t="shared" si="0"/>
        <v>29058848.107398335</v>
      </c>
      <c r="Q11" s="7">
        <f t="shared" si="2"/>
        <v>2.786755486180259E-2</v>
      </c>
      <c r="R11" s="2"/>
      <c r="S11" s="6" t="s">
        <v>19</v>
      </c>
      <c r="T11" s="20">
        <f t="shared" ca="1" si="1"/>
        <v>18808345.271908332</v>
      </c>
      <c r="U11" s="7">
        <f t="shared" ca="1" si="3"/>
        <v>2.0099447067004839E-2</v>
      </c>
    </row>
    <row r="12" spans="1:35" x14ac:dyDescent="0.55000000000000004">
      <c r="A12" s="14">
        <v>6</v>
      </c>
      <c r="B12" s="6" t="s">
        <v>20</v>
      </c>
      <c r="C12" s="23">
        <f>Colombia!C12+Honduras!C12+Ethiopia!C12+Peru!C12</f>
        <v>2261644.7517466666</v>
      </c>
      <c r="D12" s="23">
        <f>Colombia!D12+Honduras!D12+Ethiopia!D12+Peru!D12</f>
        <v>2161339.7333033332</v>
      </c>
      <c r="E12" s="23">
        <f>Colombia!E12+Honduras!E12+Ethiopia!E12+Peru!E12</f>
        <v>2523340.0118733332</v>
      </c>
      <c r="F12" s="23">
        <f>Colombia!F12+Honduras!F12+Ethiopia!F12+Peru!F12</f>
        <v>2219283.2302100002</v>
      </c>
      <c r="G12" s="23">
        <f>Colombia!G12+Honduras!G12+Ethiopia!G12+Peru!G12</f>
        <v>2234200.5510433335</v>
      </c>
      <c r="H12" s="23">
        <f>Colombia!H12+Honduras!H12+Ethiopia!H12+Peru!H12</f>
        <v>2202792.5210750001</v>
      </c>
      <c r="I12" s="23">
        <f>Colombia!I12+Honduras!I12+Ethiopia!I12+Peru!I12</f>
        <v>1802269.8616500001</v>
      </c>
      <c r="J12" s="23">
        <f>Colombia!J12+Honduras!J12+Ethiopia!J12+Peru!J12</f>
        <v>2233455.602833333</v>
      </c>
      <c r="K12" s="23">
        <f>Colombia!K12+Honduras!K12+Ethiopia!K12+Peru!K12</f>
        <v>2395074.0498416666</v>
      </c>
      <c r="L12" s="23">
        <f>Colombia!L12+Honduras!L12+Ethiopia!L12+Peru!L12</f>
        <v>2187914.2796999998</v>
      </c>
      <c r="M12" s="23">
        <f>Colombia!M12+Honduras!M12+Ethiopia!M12+Peru!M12</f>
        <v>2137253.4400399998</v>
      </c>
      <c r="N12" s="23">
        <f>Colombia!N12+Honduras!N12+Ethiopia!N12+Peru!N12</f>
        <v>1886381.9965149998</v>
      </c>
      <c r="O12" s="6" t="s">
        <v>20</v>
      </c>
      <c r="P12" s="20">
        <f t="shared" si="0"/>
        <v>26244950.029831666</v>
      </c>
      <c r="Q12" s="7">
        <f t="shared" si="2"/>
        <v>-9.6834467325298212E-2</v>
      </c>
      <c r="R12" s="2"/>
      <c r="S12" s="6" t="s">
        <v>20</v>
      </c>
      <c r="T12" s="20">
        <f t="shared" ca="1" si="1"/>
        <v>17638326.263735</v>
      </c>
      <c r="U12" s="7">
        <f t="shared" ca="1" si="3"/>
        <v>-6.2207439902798978E-2</v>
      </c>
    </row>
    <row r="13" spans="1:35" x14ac:dyDescent="0.55000000000000004">
      <c r="A13" s="14">
        <v>7</v>
      </c>
      <c r="B13" s="6" t="s">
        <v>21</v>
      </c>
      <c r="C13" s="23">
        <f>Colombia!C13+Honduras!C13+Ethiopia!C13+Peru!C13</f>
        <v>1748592.2938416668</v>
      </c>
      <c r="D13" s="23">
        <f>Colombia!D13+Honduras!D13+Ethiopia!D13+Peru!D13</f>
        <v>2097890.1375366668</v>
      </c>
      <c r="E13" s="23">
        <f>Colombia!E13+Honduras!E13+Ethiopia!E13+Peru!E13</f>
        <v>2158408.0132750003</v>
      </c>
      <c r="F13" s="23">
        <f>Colombia!F13+Honduras!F13+Ethiopia!F13+Peru!F13</f>
        <v>1906638.5599866668</v>
      </c>
      <c r="G13" s="23">
        <f>Colombia!G13+Honduras!G13+Ethiopia!G13+Peru!G13</f>
        <v>2254061.2135883332</v>
      </c>
      <c r="H13" s="23">
        <f>Colombia!H13+Honduras!H13+Ethiopia!H13+Peru!H13</f>
        <v>2419011.2646949999</v>
      </c>
      <c r="I13" s="23">
        <f>Colombia!I13+Honduras!I13+Ethiopia!I13+Peru!I13</f>
        <v>2367595.3871300002</v>
      </c>
      <c r="J13" s="23">
        <f>Colombia!J13+Honduras!J13+Ethiopia!J13+Peru!J13</f>
        <v>2371636.469875</v>
      </c>
      <c r="K13" s="23">
        <f>Colombia!K13+Honduras!K13+Ethiopia!K13+Peru!K13</f>
        <v>2524815.4729350004</v>
      </c>
      <c r="L13" s="23">
        <f>Colombia!L13+Honduras!L13+Ethiopia!L13+Peru!L13</f>
        <v>2698654.7364683333</v>
      </c>
      <c r="M13" s="23">
        <f>Colombia!M13+Honduras!M13+Ethiopia!M13+Peru!M13</f>
        <v>2374928.242496667</v>
      </c>
      <c r="N13" s="23">
        <f>Colombia!N13+Honduras!N13+Ethiopia!N13+Peru!N13</f>
        <v>2337093.8482816666</v>
      </c>
      <c r="O13" s="6" t="s">
        <v>21</v>
      </c>
      <c r="P13" s="20">
        <f t="shared" si="0"/>
        <v>27259325.640110001</v>
      </c>
      <c r="Q13" s="7">
        <f t="shared" si="2"/>
        <v>3.8650315932220458E-2</v>
      </c>
      <c r="R13" s="2"/>
      <c r="S13" s="6" t="s">
        <v>21</v>
      </c>
      <c r="T13" s="20">
        <f t="shared" ca="1" si="1"/>
        <v>17323833.339928333</v>
      </c>
      <c r="U13" s="7">
        <f t="shared" ca="1" si="3"/>
        <v>-1.7830088813657774E-2</v>
      </c>
    </row>
    <row r="14" spans="1:35" x14ac:dyDescent="0.55000000000000004">
      <c r="A14" s="14">
        <v>8</v>
      </c>
      <c r="B14" s="6" t="s">
        <v>22</v>
      </c>
      <c r="C14" s="23">
        <f>Colombia!C14+Honduras!C14+Ethiopia!C14+Peru!C14</f>
        <v>2006375.9702233337</v>
      </c>
      <c r="D14" s="23">
        <f>Colombia!D14+Honduras!D14+Ethiopia!D14+Peru!D14</f>
        <v>2203091.8349449998</v>
      </c>
      <c r="E14" s="23">
        <f>Colombia!E14+Honduras!E14+Ethiopia!E14+Peru!E14</f>
        <v>2377227.47425</v>
      </c>
      <c r="F14" s="23">
        <f>Colombia!F14+Honduras!F14+Ethiopia!F14+Peru!F14</f>
        <v>2282667.80761</v>
      </c>
      <c r="G14" s="23">
        <f>Colombia!G14+Honduras!G14+Ethiopia!G14+Peru!G14</f>
        <v>2215057.5139183337</v>
      </c>
      <c r="H14" s="23">
        <f>Colombia!H14+Honduras!H14+Ethiopia!H14+Peru!H14</f>
        <v>2578395.6913516666</v>
      </c>
      <c r="I14" s="23">
        <f>Colombia!I14+Honduras!I14+Ethiopia!I14+Peru!I14</f>
        <v>1988182.8075166666</v>
      </c>
      <c r="J14" s="23">
        <f>Colombia!J14+Honduras!J14+Ethiopia!J14+Peru!J14</f>
        <v>2085350.4998600001</v>
      </c>
      <c r="K14" s="23">
        <f>Colombia!K14+Honduras!K14+Ethiopia!K14+Peru!K14</f>
        <v>2298817.0806333334</v>
      </c>
      <c r="L14" s="23">
        <f>Colombia!L14+Honduras!L14+Ethiopia!L14+Peru!L14</f>
        <v>2362463.1177300001</v>
      </c>
      <c r="M14" s="23">
        <f>Colombia!M14+Honduras!M14+Ethiopia!M14+Peru!M14</f>
        <v>2091912.9705666667</v>
      </c>
      <c r="N14" s="23">
        <f>Colombia!N14+Honduras!N14+Ethiopia!N14+Peru!N14</f>
        <v>1923058.4248883333</v>
      </c>
      <c r="O14" s="6" t="s">
        <v>22</v>
      </c>
      <c r="P14" s="20">
        <f t="shared" si="0"/>
        <v>26412601.193493336</v>
      </c>
      <c r="Q14" s="7">
        <f t="shared" si="2"/>
        <v>-3.1061826612862942E-2</v>
      </c>
      <c r="R14" s="2"/>
      <c r="S14" s="6" t="s">
        <v>22</v>
      </c>
      <c r="T14" s="20">
        <f t="shared" ca="1" si="1"/>
        <v>17736349.599675003</v>
      </c>
      <c r="U14" s="7">
        <f t="shared" ca="1" si="3"/>
        <v>2.3812065820091544E-2</v>
      </c>
    </row>
    <row r="15" spans="1:35" x14ac:dyDescent="0.55000000000000004">
      <c r="A15" s="14">
        <v>9</v>
      </c>
      <c r="B15" s="6" t="s">
        <v>23</v>
      </c>
      <c r="C15" s="23">
        <f>Colombia!C15+Honduras!C15+Ethiopia!C15+Peru!C15</f>
        <v>1879366.2833150001</v>
      </c>
      <c r="D15" s="23">
        <f>Colombia!D15+Honduras!D15+Ethiopia!D15+Peru!D15</f>
        <v>1625384.9537966668</v>
      </c>
      <c r="E15" s="23">
        <f>Colombia!E15+Honduras!E15+Ethiopia!E15+Peru!E15</f>
        <v>1737273.2632366666</v>
      </c>
      <c r="F15" s="23">
        <f>Colombia!F15+Honduras!F15+Ethiopia!F15+Peru!F15</f>
        <v>1703899.0670533334</v>
      </c>
      <c r="G15" s="23">
        <f>Colombia!G15+Honduras!G15+Ethiopia!G15+Peru!G15</f>
        <v>1828239.0278200002</v>
      </c>
      <c r="H15" s="23">
        <f>Colombia!H15+Honduras!H15+Ethiopia!H15+Peru!H15</f>
        <v>1943106.6759916667</v>
      </c>
      <c r="I15" s="23">
        <f>Colombia!I15+Honduras!I15+Ethiopia!I15+Peru!I15</f>
        <v>1850916.520365</v>
      </c>
      <c r="J15" s="23">
        <f>Colombia!J15+Honduras!J15+Ethiopia!J15+Peru!J15</f>
        <v>2210287.5964966668</v>
      </c>
      <c r="K15" s="23">
        <f>Colombia!K15+Honduras!K15+Ethiopia!K15+Peru!K15</f>
        <v>2032559.1231966666</v>
      </c>
      <c r="L15" s="23">
        <f>Colombia!L15+Honduras!L15+Ethiopia!L15+Peru!L15</f>
        <v>2099317.1414516666</v>
      </c>
      <c r="M15" s="23">
        <f>Colombia!M15+Honduras!M15+Ethiopia!M15+Peru!M15</f>
        <v>2059977.230816667</v>
      </c>
      <c r="N15" s="23">
        <f>Colombia!N15+Honduras!N15+Ethiopia!N15+Peru!N15</f>
        <v>1909436.9008750003</v>
      </c>
      <c r="O15" s="6" t="s">
        <v>23</v>
      </c>
      <c r="P15" s="20">
        <f t="shared" si="0"/>
        <v>22879763.784414999</v>
      </c>
      <c r="Q15" s="7">
        <f t="shared" si="2"/>
        <v>-0.13375575480799828</v>
      </c>
      <c r="R15" s="2"/>
      <c r="S15" s="6" t="s">
        <v>23</v>
      </c>
      <c r="T15" s="20">
        <f t="shared" ca="1" si="1"/>
        <v>14778473.388075002</v>
      </c>
      <c r="U15" s="7">
        <f t="shared" ca="1" si="3"/>
        <v>-0.16676916492750016</v>
      </c>
    </row>
    <row r="16" spans="1:35" x14ac:dyDescent="0.55000000000000004">
      <c r="A16" s="14">
        <v>10</v>
      </c>
      <c r="B16" s="6" t="s">
        <v>24</v>
      </c>
      <c r="C16" s="23">
        <f>Colombia!C16+Honduras!C16+Ethiopia!C16+Peru!C16</f>
        <v>1911974.0415766668</v>
      </c>
      <c r="D16" s="23">
        <f>Colombia!D16+Honduras!D16+Ethiopia!D16+Peru!D16</f>
        <v>2066509.8298266665</v>
      </c>
      <c r="E16" s="23">
        <f>Colombia!E16+Honduras!E16+Ethiopia!E16+Peru!E16</f>
        <v>2109982.2927449998</v>
      </c>
      <c r="F16" s="23">
        <f>Colombia!F16+Honduras!F16+Ethiopia!F16+Peru!F16</f>
        <v>1906051.8392483336</v>
      </c>
      <c r="G16" s="23">
        <f>Colombia!G16+Honduras!G16+Ethiopia!G16+Peru!G16</f>
        <v>2224914.7697383333</v>
      </c>
      <c r="H16" s="23">
        <f>Colombia!H16+Honduras!H16+Ethiopia!H16+Peru!H16</f>
        <v>2276646.4839716665</v>
      </c>
      <c r="I16" s="23">
        <f>Colombia!I16+Honduras!I16+Ethiopia!I16+Peru!I16</f>
        <v>2020635.4607216669</v>
      </c>
      <c r="J16" s="23">
        <f>Colombia!J16+Honduras!J16+Ethiopia!J16+Peru!J16</f>
        <v>2569088.6055466668</v>
      </c>
      <c r="K16" s="23">
        <f>Colombia!K16+Honduras!K16+Ethiopia!K16+Peru!K16</f>
        <v>2592412.0712883342</v>
      </c>
      <c r="L16" s="23">
        <f>Colombia!L16+Honduras!L16+Ethiopia!L16+Peru!L16</f>
        <v>2759267.7720766668</v>
      </c>
      <c r="M16" s="23">
        <f>Colombia!M16+Honduras!M16+Ethiopia!M16+Peru!M16</f>
        <v>2503321.9901583334</v>
      </c>
      <c r="N16" s="23">
        <f>Colombia!N16+Honduras!N16+Ethiopia!N16+Peru!N16</f>
        <v>2495104.9397399998</v>
      </c>
      <c r="O16" s="6" t="s">
        <v>24</v>
      </c>
      <c r="P16" s="20">
        <f t="shared" si="0"/>
        <v>27435910.096638333</v>
      </c>
      <c r="Q16" s="7">
        <f t="shared" si="2"/>
        <v>0.19913432477510296</v>
      </c>
      <c r="R16" s="2"/>
      <c r="S16" s="6" t="s">
        <v>24</v>
      </c>
      <c r="T16" s="20">
        <f t="shared" ca="1" si="1"/>
        <v>17085803.323375002</v>
      </c>
      <c r="U16" s="7">
        <f t="shared" ca="1" si="3"/>
        <v>0.15612775925569022</v>
      </c>
    </row>
    <row r="17" spans="1:21" x14ac:dyDescent="0.55000000000000004">
      <c r="A17" s="14">
        <v>11</v>
      </c>
      <c r="B17" s="6" t="s">
        <v>25</v>
      </c>
      <c r="C17" s="23">
        <f>Colombia!C17+Honduras!C17+Ethiopia!C17+Peru!C17</f>
        <v>2213446.2113883337</v>
      </c>
      <c r="D17" s="23">
        <f>Colombia!D17+Honduras!D17+Ethiopia!D17+Peru!D17</f>
        <v>2060845.0509333333</v>
      </c>
      <c r="E17" s="23">
        <f>Colombia!E17+Honduras!E17+Ethiopia!E17+Peru!E17</f>
        <v>2119202.6407916667</v>
      </c>
      <c r="F17" s="23">
        <f>Colombia!F17+Honduras!F17+Ethiopia!F17+Peru!F17</f>
        <v>1969387.4839783332</v>
      </c>
      <c r="G17" s="23">
        <f>Colombia!G17+Honduras!G17+Ethiopia!G17+Peru!G17</f>
        <v>2325878.0373633336</v>
      </c>
      <c r="H17" s="23">
        <f>Colombia!H17+Honduras!H17+Ethiopia!H17+Peru!H17</f>
        <v>2851885.6699399995</v>
      </c>
      <c r="I17" s="23">
        <f>Colombia!I17+Honduras!I17+Ethiopia!I17+Peru!I17</f>
        <v>2234744.3314299998</v>
      </c>
      <c r="J17" s="23">
        <f>Colombia!J17+Honduras!J17+Ethiopia!J17+Peru!J17</f>
        <v>2803758.0378566668</v>
      </c>
      <c r="K17" s="23">
        <f>Colombia!K17+Honduras!K17+Ethiopia!K17+Peru!K17</f>
        <v>2900325.9647333333</v>
      </c>
      <c r="L17" s="23">
        <f>Colombia!L17+Honduras!L17+Ethiopia!L17+Peru!L17</f>
        <v>2905486.6651833337</v>
      </c>
      <c r="M17" s="23">
        <f>Colombia!M17+Honduras!M17+Ethiopia!M17+Peru!M17</f>
        <v>2591233.195887222</v>
      </c>
      <c r="N17" s="23">
        <f>Colombia!N17+Honduras!N17+Ethiopia!N17+Peru!N17</f>
        <v>2486547.429153726</v>
      </c>
      <c r="O17" s="6" t="s">
        <v>25</v>
      </c>
      <c r="P17" s="5">
        <f t="shared" si="0"/>
        <v>29462740.718639284</v>
      </c>
      <c r="Q17" s="7">
        <f t="shared" si="2"/>
        <v>7.3875100729729137E-2</v>
      </c>
      <c r="R17" s="2"/>
      <c r="S17" s="6" t="s">
        <v>25</v>
      </c>
      <c r="T17" s="20">
        <f t="shared" ca="1" si="1"/>
        <v>18579147.463681668</v>
      </c>
      <c r="U17" s="7">
        <f t="shared" ca="1" si="3"/>
        <v>8.7402629659421915E-2</v>
      </c>
    </row>
    <row r="18" spans="1:21" x14ac:dyDescent="0.55000000000000004">
      <c r="A18" s="14">
        <v>12</v>
      </c>
      <c r="B18" s="6" t="s">
        <v>26</v>
      </c>
      <c r="C18" s="23">
        <f>Colombia!C18+Honduras!C18+Ethiopia!C18+Peru!C18</f>
        <v>2353468.5700000003</v>
      </c>
      <c r="D18" s="23">
        <f>Colombia!D18+Honduras!D18+Ethiopia!D18+Peru!D18</f>
        <v>2321823.6906666667</v>
      </c>
      <c r="E18" s="23">
        <f>Colombia!E18+Honduras!E18+Ethiopia!E18+Peru!E18</f>
        <v>2178828.4316666666</v>
      </c>
      <c r="F18" s="23">
        <f>Colombia!F18+Honduras!F18+Ethiopia!F18+Peru!F18</f>
        <v>2026800</v>
      </c>
      <c r="G18" s="23">
        <f>Colombia!G18+Honduras!G18+Ethiopia!G18+Peru!G18</f>
        <v>2147800</v>
      </c>
      <c r="H18" s="23">
        <f>Colombia!H18+Honduras!H18+Ethiopia!H18+Peru!H18</f>
        <v>2307233.3333333335</v>
      </c>
      <c r="I18" s="23">
        <f>Colombia!I18+Honduras!I18+Ethiopia!I18+Peru!I18</f>
        <v>2131183.3333333335</v>
      </c>
      <c r="J18" s="23">
        <f>Colombia!J18+Honduras!J18+Ethiopia!J18+Peru!J18</f>
        <v>2515783.3333333335</v>
      </c>
      <c r="K18" s="23" t="e">
        <f>Colombia!K18+Honduras!K18+Ethiopia!K18+Peru!K18</f>
        <v>#N/A</v>
      </c>
      <c r="L18" s="23" t="e">
        <f>Colombia!L18+Honduras!L18+Ethiopia!L18+Peru!L18</f>
        <v>#N/A</v>
      </c>
      <c r="M18" s="23" t="e">
        <f>Colombia!M18+Honduras!M18+Ethiopia!M18+Peru!M18</f>
        <v>#N/A</v>
      </c>
      <c r="N18" s="23" t="e">
        <f>Colombia!N18+Honduras!N18+Ethiopia!N18+Peru!N18</f>
        <v>#N/A</v>
      </c>
      <c r="O18" s="6" t="s">
        <v>26</v>
      </c>
      <c r="P18" s="5" t="str">
        <f t="shared" si="0"/>
        <v/>
      </c>
      <c r="Q18" s="7"/>
      <c r="R18" s="2"/>
      <c r="S18" s="6" t="s">
        <v>26</v>
      </c>
      <c r="T18" s="20">
        <f ca="1">IFERROR(IF(SUM(OFFSET(C18,0,0,1,$C$56))=0,"",SUM(OFFSET(C18,0,0,1,$C$56))),"")</f>
        <v>17982920.692333333</v>
      </c>
      <c r="U18" s="7">
        <f t="shared" ca="1" si="3"/>
        <v>-3.2091180314588352E-2</v>
      </c>
    </row>
    <row r="19" spans="1:21" x14ac:dyDescent="0.55000000000000004">
      <c r="A19" s="14">
        <v>13</v>
      </c>
      <c r="B19" s="6" t="s">
        <v>27</v>
      </c>
      <c r="C19" s="23" t="e">
        <f>Colombia!C19+Honduras!C19+Ethiopia!C19+Peru!C19</f>
        <v>#N/A</v>
      </c>
      <c r="D19" s="23" t="e">
        <f>Colombia!D19+Honduras!D19+Ethiopia!D19+Peru!D19</f>
        <v>#N/A</v>
      </c>
      <c r="E19" s="23" t="e">
        <f>Colombia!E19+Honduras!E19+Ethiopia!E19+Peru!E19</f>
        <v>#N/A</v>
      </c>
      <c r="F19" s="23" t="e">
        <f>Colombia!F19+Honduras!F19+Ethiopia!F19+Peru!F19</f>
        <v>#N/A</v>
      </c>
      <c r="G19" s="23" t="e">
        <f>Colombia!G19+Honduras!G19+Ethiopia!G19+Peru!G19</f>
        <v>#N/A</v>
      </c>
      <c r="H19" s="23" t="e">
        <f>Colombia!H19+Honduras!H19+Ethiopia!H19+Peru!H19</f>
        <v>#N/A</v>
      </c>
      <c r="I19" s="23" t="e">
        <f>Colombia!I19+Honduras!I19+Ethiopia!I19+Peru!I19</f>
        <v>#N/A</v>
      </c>
      <c r="J19" s="23" t="e">
        <f>Colombia!J19+Honduras!J19+Ethiopia!J19+Peru!J19</f>
        <v>#N/A</v>
      </c>
      <c r="K19" s="23" t="e">
        <f>Colombia!K19+Honduras!K19+Ethiopia!K19+Peru!K19</f>
        <v>#N/A</v>
      </c>
      <c r="L19" s="23" t="e">
        <f>Colombia!L19+Honduras!L19+Ethiopia!L19+Peru!L19</f>
        <v>#N/A</v>
      </c>
      <c r="M19" s="23" t="e">
        <f>Colombia!M19+Honduras!M19+Ethiopia!M19+Peru!M19</f>
        <v>#N/A</v>
      </c>
      <c r="N19" s="23" t="e">
        <f>Colombia!N19+Honduras!N19+Ethiopia!N19+Peru!N19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ca="1">IFERROR(IF(SUM(OFFSET(C19,0,0,1,$C$56))=0,"",SUM(OFFSET(C19,0,0,1,$C$56))),"")</f>
        <v/>
      </c>
      <c r="U19" s="7"/>
    </row>
    <row r="20" spans="1:21" x14ac:dyDescent="0.55000000000000004">
      <c r="B20" s="8" t="s">
        <v>28</v>
      </c>
      <c r="C20" s="22">
        <f>IFERROR(C18/C17-1,"")</f>
        <v>6.3259887631893497E-2</v>
      </c>
      <c r="D20" s="22">
        <f t="shared" ref="D20:N20" si="4">IFERROR(D18/D17-1,"")</f>
        <v>0.12663671129235987</v>
      </c>
      <c r="E20" s="22">
        <f t="shared" si="4"/>
        <v>2.8135955348151942E-2</v>
      </c>
      <c r="F20" s="22">
        <f t="shared" si="4"/>
        <v>2.9152473288643233E-2</v>
      </c>
      <c r="G20" s="22">
        <f t="shared" si="4"/>
        <v>-7.6563789890379153E-2</v>
      </c>
      <c r="H20" s="22">
        <f t="shared" si="4"/>
        <v>-0.19097972346770997</v>
      </c>
      <c r="I20" s="22">
        <f t="shared" si="4"/>
        <v>-4.6341318172355872E-2</v>
      </c>
      <c r="J20" s="22">
        <f t="shared" si="4"/>
        <v>-0.10271025553384616</v>
      </c>
      <c r="K20" s="22" t="str">
        <f t="shared" si="4"/>
        <v/>
      </c>
      <c r="L20" s="22" t="str">
        <f t="shared" si="4"/>
        <v/>
      </c>
      <c r="M20" s="22" t="str">
        <f t="shared" si="4"/>
        <v/>
      </c>
      <c r="N20" s="22" t="str">
        <f t="shared" si="4"/>
        <v/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Non Brazil Origins | YTD : Oct-May</v>
      </c>
      <c r="Q27" s="13" t="str">
        <f>_xlfn.CONCAT(A1," | ","Cumulative")</f>
        <v>Non Brazil Origins | Cumulative</v>
      </c>
    </row>
    <row r="56" spans="2:6" x14ac:dyDescent="0.55000000000000004">
      <c r="B56" s="26" t="s">
        <v>29</v>
      </c>
      <c r="C56" s="26">
        <f>COUNT(C18:N18)</f>
        <v>8</v>
      </c>
      <c r="D56" s="25" t="str">
        <f ca="1">OFFSET(B6,0,$C$56,1,1)</f>
        <v>May</v>
      </c>
      <c r="E56" s="11" t="str">
        <f>B17</f>
        <v>24/25</v>
      </c>
      <c r="F56" s="11" t="str">
        <f ca="1">_xlfn.CONCAT(D56,"'",E56)</f>
        <v>May'24/25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2353468.5700000003</v>
      </c>
      <c r="C66" s="12">
        <f t="shared" ref="C66:M66" si="5">D18</f>
        <v>2321823.6906666667</v>
      </c>
      <c r="D66" s="12">
        <f t="shared" si="5"/>
        <v>2178828.4316666666</v>
      </c>
      <c r="E66" s="12">
        <f t="shared" si="5"/>
        <v>2026800</v>
      </c>
      <c r="F66" s="12">
        <f t="shared" si="5"/>
        <v>2147800</v>
      </c>
      <c r="G66" s="12">
        <f t="shared" si="5"/>
        <v>2307233.3333333335</v>
      </c>
      <c r="H66" s="12">
        <f t="shared" si="5"/>
        <v>2131183.3333333335</v>
      </c>
      <c r="I66" s="12">
        <f t="shared" si="5"/>
        <v>2515783.3333333335</v>
      </c>
      <c r="J66" s="12" t="e">
        <f t="shared" si="5"/>
        <v>#N/A</v>
      </c>
      <c r="K66" s="12" t="e">
        <f t="shared" si="5"/>
        <v>#N/A</v>
      </c>
      <c r="L66" s="12" t="e">
        <f t="shared" si="5"/>
        <v>#N/A</v>
      </c>
      <c r="M66" s="12" t="e">
        <f t="shared" si="5"/>
        <v>#N/A</v>
      </c>
    </row>
    <row r="67" spans="1:25" x14ac:dyDescent="0.55000000000000004">
      <c r="A67" s="11" t="s">
        <v>30</v>
      </c>
      <c r="B67" s="12">
        <f>MIN(C7:C17)</f>
        <v>1748592.2938416668</v>
      </c>
      <c r="C67" s="12">
        <f t="shared" ref="C67:M67" si="6">MIN(D7:D17)</f>
        <v>1625384.9537966668</v>
      </c>
      <c r="D67" s="12">
        <f t="shared" si="6"/>
        <v>1737273.2632366666</v>
      </c>
      <c r="E67" s="12">
        <f t="shared" si="6"/>
        <v>1703899.0670533334</v>
      </c>
      <c r="F67" s="12">
        <f t="shared" si="6"/>
        <v>1828239.0278200002</v>
      </c>
      <c r="G67" s="12">
        <f t="shared" si="6"/>
        <v>1943106.6759916667</v>
      </c>
      <c r="H67" s="12">
        <f t="shared" si="6"/>
        <v>1802269.8616500001</v>
      </c>
      <c r="I67" s="12">
        <f t="shared" si="6"/>
        <v>2085350.4998600001</v>
      </c>
      <c r="J67" s="12">
        <f t="shared" si="6"/>
        <v>2032559.1231966666</v>
      </c>
      <c r="K67" s="12">
        <f t="shared" si="6"/>
        <v>2099317.1414516666</v>
      </c>
      <c r="L67" s="12">
        <f t="shared" si="6"/>
        <v>2059977.230816667</v>
      </c>
      <c r="M67" s="12">
        <f t="shared" si="6"/>
        <v>1886381.9965149998</v>
      </c>
      <c r="N67" s="12"/>
    </row>
    <row r="68" spans="1:25" x14ac:dyDescent="0.55000000000000004">
      <c r="A68" s="11" t="s">
        <v>31</v>
      </c>
      <c r="B68" s="12">
        <f>MAX(C7:C17)</f>
        <v>2321729.271675</v>
      </c>
      <c r="C68" s="12">
        <f t="shared" ref="C68:M68" si="7">MAX(D7:D17)</f>
        <v>2306063.12396</v>
      </c>
      <c r="D68" s="12">
        <f t="shared" si="7"/>
        <v>2523340.0118733332</v>
      </c>
      <c r="E68" s="12">
        <f t="shared" si="7"/>
        <v>2415155.3163416665</v>
      </c>
      <c r="F68" s="12">
        <f t="shared" si="7"/>
        <v>2530337.1865083333</v>
      </c>
      <c r="G68" s="12">
        <f t="shared" si="7"/>
        <v>2851885.6699399995</v>
      </c>
      <c r="H68" s="12">
        <f t="shared" si="7"/>
        <v>2367595.3871300002</v>
      </c>
      <c r="I68" s="12">
        <f t="shared" si="7"/>
        <v>2803758.0378566668</v>
      </c>
      <c r="J68" s="12">
        <f t="shared" si="7"/>
        <v>2900325.9647333333</v>
      </c>
      <c r="K68" s="12">
        <f t="shared" si="7"/>
        <v>2905486.6651833337</v>
      </c>
      <c r="L68" s="12">
        <f t="shared" si="7"/>
        <v>2591233.195887222</v>
      </c>
      <c r="M68" s="12">
        <f t="shared" si="7"/>
        <v>2495104.9397399998</v>
      </c>
      <c r="N68" s="12"/>
    </row>
    <row r="69" spans="1:25" x14ac:dyDescent="0.55000000000000004">
      <c r="A69" s="11" t="s">
        <v>32</v>
      </c>
      <c r="B69" s="12">
        <f>AVERAGE(C12:C17)</f>
        <v>2003566.5920152783</v>
      </c>
      <c r="C69" s="12">
        <f t="shared" ref="C69:M69" si="8">AVERAGE(D12:D17)</f>
        <v>2035843.5900569444</v>
      </c>
      <c r="D69" s="12">
        <f t="shared" si="8"/>
        <v>2170905.6160286111</v>
      </c>
      <c r="E69" s="12">
        <f t="shared" si="8"/>
        <v>1997987.9980144445</v>
      </c>
      <c r="F69" s="12">
        <f t="shared" si="8"/>
        <v>2180391.8522452777</v>
      </c>
      <c r="G69" s="12">
        <f t="shared" si="8"/>
        <v>2378639.7178374999</v>
      </c>
      <c r="H69" s="12">
        <f t="shared" si="8"/>
        <v>2044057.394802222</v>
      </c>
      <c r="I69" s="12">
        <f t="shared" si="8"/>
        <v>2378929.4687447217</v>
      </c>
      <c r="J69" s="12">
        <f t="shared" si="8"/>
        <v>2457333.9604380559</v>
      </c>
      <c r="K69" s="12">
        <f t="shared" si="8"/>
        <v>2502183.9521016669</v>
      </c>
      <c r="L69" s="12">
        <f t="shared" si="8"/>
        <v>2293104.511660926</v>
      </c>
      <c r="M69" s="12">
        <f t="shared" si="8"/>
        <v>2172937.2565756212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0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9">INDEX($C$7:$N$19,MATCH(B75,$A$7:$A$19),MATCH(C75,$C$4:$N$4))</f>
        <v>0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9"/>
        <v>0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>
        <f>C7</f>
        <v>0</v>
      </c>
      <c r="O76" s="5">
        <f t="shared" ref="O76:Y88" si="13">N76+D7</f>
        <v>0</v>
      </c>
      <c r="P76" s="5">
        <f t="shared" si="13"/>
        <v>0</v>
      </c>
      <c r="Q76" s="5">
        <f t="shared" si="13"/>
        <v>0</v>
      </c>
      <c r="R76" s="5">
        <f t="shared" si="13"/>
        <v>0</v>
      </c>
      <c r="S76" s="5">
        <f t="shared" si="13"/>
        <v>0</v>
      </c>
      <c r="T76" s="5">
        <f t="shared" si="13"/>
        <v>0</v>
      </c>
      <c r="U76" s="5">
        <f t="shared" si="13"/>
        <v>0</v>
      </c>
      <c r="V76" s="5">
        <f t="shared" si="13"/>
        <v>0</v>
      </c>
      <c r="W76" s="5">
        <f t="shared" si="13"/>
        <v>0</v>
      </c>
      <c r="X76" s="5">
        <f t="shared" si="13"/>
        <v>0</v>
      </c>
      <c r="Y76" s="5">
        <f t="shared" si="13"/>
        <v>0</v>
      </c>
    </row>
    <row r="77" spans="1:25" x14ac:dyDescent="0.55000000000000004">
      <c r="B77" s="11">
        <v>1</v>
      </c>
      <c r="C77" s="11">
        <v>4</v>
      </c>
      <c r="D77" s="12">
        <f t="shared" si="9"/>
        <v>0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14">C8</f>
        <v>0</v>
      </c>
      <c r="O77" s="5">
        <f t="shared" si="13"/>
        <v>0</v>
      </c>
      <c r="P77" s="5">
        <f t="shared" si="13"/>
        <v>0</v>
      </c>
      <c r="Q77" s="5">
        <f t="shared" si="13"/>
        <v>0</v>
      </c>
      <c r="R77" s="5">
        <f t="shared" si="13"/>
        <v>0</v>
      </c>
      <c r="S77" s="5">
        <f t="shared" si="13"/>
        <v>0</v>
      </c>
      <c r="T77" s="5">
        <f t="shared" si="13"/>
        <v>0</v>
      </c>
      <c r="U77" s="5">
        <f t="shared" si="13"/>
        <v>0</v>
      </c>
      <c r="V77" s="5">
        <f t="shared" si="13"/>
        <v>0</v>
      </c>
      <c r="W77" s="5">
        <f t="shared" si="13"/>
        <v>0</v>
      </c>
      <c r="X77" s="5">
        <f t="shared" si="13"/>
        <v>0</v>
      </c>
      <c r="Y77" s="5">
        <f t="shared" si="13"/>
        <v>0</v>
      </c>
    </row>
    <row r="78" spans="1:25" x14ac:dyDescent="0.55000000000000004">
      <c r="B78" s="11">
        <v>1</v>
      </c>
      <c r="C78" s="11">
        <v>5</v>
      </c>
      <c r="D78" s="12">
        <f t="shared" si="9"/>
        <v>0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14"/>
        <v>0</v>
      </c>
      <c r="O78" s="5">
        <f t="shared" si="13"/>
        <v>0</v>
      </c>
      <c r="P78" s="5">
        <f t="shared" si="13"/>
        <v>0</v>
      </c>
      <c r="Q78" s="5">
        <f t="shared" si="13"/>
        <v>0</v>
      </c>
      <c r="R78" s="5">
        <f t="shared" si="13"/>
        <v>0</v>
      </c>
      <c r="S78" s="5">
        <f t="shared" si="13"/>
        <v>0</v>
      </c>
      <c r="T78" s="5">
        <f t="shared" si="13"/>
        <v>0</v>
      </c>
      <c r="U78" s="5">
        <f t="shared" si="13"/>
        <v>0</v>
      </c>
      <c r="V78" s="5">
        <f t="shared" si="13"/>
        <v>0</v>
      </c>
      <c r="W78" s="5">
        <f t="shared" si="13"/>
        <v>0</v>
      </c>
      <c r="X78" s="5">
        <f t="shared" si="13"/>
        <v>0</v>
      </c>
      <c r="Y78" s="5">
        <f t="shared" si="13"/>
        <v>0</v>
      </c>
    </row>
    <row r="79" spans="1:25" x14ac:dyDescent="0.55000000000000004">
      <c r="B79" s="11">
        <v>1</v>
      </c>
      <c r="C79" s="11">
        <v>6</v>
      </c>
      <c r="D79" s="12">
        <f t="shared" si="9"/>
        <v>0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14"/>
        <v>2178602.9918316668</v>
      </c>
      <c r="O79" s="5">
        <f t="shared" si="13"/>
        <v>4484666.1157916673</v>
      </c>
      <c r="P79" s="5">
        <f t="shared" si="13"/>
        <v>6936842.9676983338</v>
      </c>
      <c r="Q79" s="5">
        <f t="shared" si="13"/>
        <v>9351998.2840400003</v>
      </c>
      <c r="R79" s="5">
        <f t="shared" si="13"/>
        <v>11882335.470548334</v>
      </c>
      <c r="S79" s="5">
        <f t="shared" si="13"/>
        <v>13923732.322785001</v>
      </c>
      <c r="T79" s="5">
        <f t="shared" si="13"/>
        <v>16164262.745915001</v>
      </c>
      <c r="U79" s="5">
        <f t="shared" si="13"/>
        <v>18437756.559898335</v>
      </c>
      <c r="V79" s="5">
        <f t="shared" si="13"/>
        <v>20883928.807485003</v>
      </c>
      <c r="W79" s="5">
        <f t="shared" si="13"/>
        <v>23396506.052673336</v>
      </c>
      <c r="X79" s="5">
        <f t="shared" si="13"/>
        <v>25900137.722573336</v>
      </c>
      <c r="Y79" s="5">
        <f t="shared" si="13"/>
        <v>28271004.342875004</v>
      </c>
    </row>
    <row r="80" spans="1:25" x14ac:dyDescent="0.55000000000000004">
      <c r="B80" s="11">
        <v>1</v>
      </c>
      <c r="C80" s="11">
        <v>7</v>
      </c>
      <c r="D80" s="12">
        <f t="shared" si="9"/>
        <v>0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14"/>
        <v>2321729.271675</v>
      </c>
      <c r="O80" s="5">
        <f t="shared" si="13"/>
        <v>4580006.3836000003</v>
      </c>
      <c r="P80" s="5">
        <f t="shared" si="13"/>
        <v>6940581.6751950001</v>
      </c>
      <c r="Q80" s="5">
        <f t="shared" si="13"/>
        <v>9194875.4663566668</v>
      </c>
      <c r="R80" s="5">
        <f t="shared" si="13"/>
        <v>11628629.61076</v>
      </c>
      <c r="S80" s="5">
        <f t="shared" si="13"/>
        <v>13990462.759951666</v>
      </c>
      <c r="T80" s="5">
        <f t="shared" si="13"/>
        <v>16235640.335723333</v>
      </c>
      <c r="U80" s="5">
        <f t="shared" si="13"/>
        <v>18808345.271908332</v>
      </c>
      <c r="V80" s="5">
        <f t="shared" si="13"/>
        <v>21474009.817966666</v>
      </c>
      <c r="W80" s="5">
        <f t="shared" si="13"/>
        <v>24223687.824106667</v>
      </c>
      <c r="X80" s="5">
        <f t="shared" si="13"/>
        <v>26732171.837123334</v>
      </c>
      <c r="Y80" s="5">
        <f t="shared" si="13"/>
        <v>29058848.107398335</v>
      </c>
    </row>
    <row r="81" spans="2:25" x14ac:dyDescent="0.55000000000000004">
      <c r="B81" s="11">
        <v>1</v>
      </c>
      <c r="C81" s="11">
        <v>8</v>
      </c>
      <c r="D81" s="12">
        <f t="shared" si="9"/>
        <v>0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14"/>
        <v>2261644.7517466666</v>
      </c>
      <c r="O81" s="5">
        <f t="shared" si="13"/>
        <v>4422984.4850500003</v>
      </c>
      <c r="P81" s="5">
        <f t="shared" si="13"/>
        <v>6946324.496923333</v>
      </c>
      <c r="Q81" s="5">
        <f t="shared" si="13"/>
        <v>9165607.7271333337</v>
      </c>
      <c r="R81" s="5">
        <f t="shared" si="13"/>
        <v>11399808.278176667</v>
      </c>
      <c r="S81" s="5">
        <f t="shared" si="13"/>
        <v>13602600.799251668</v>
      </c>
      <c r="T81" s="5">
        <f t="shared" si="13"/>
        <v>15404870.660901668</v>
      </c>
      <c r="U81" s="5">
        <f t="shared" si="13"/>
        <v>17638326.263735</v>
      </c>
      <c r="V81" s="5">
        <f t="shared" si="13"/>
        <v>20033400.313576669</v>
      </c>
      <c r="W81" s="5">
        <f t="shared" si="13"/>
        <v>22221314.593276668</v>
      </c>
      <c r="X81" s="5">
        <f t="shared" si="13"/>
        <v>24358568.033316668</v>
      </c>
      <c r="Y81" s="5">
        <f t="shared" si="13"/>
        <v>26244950.029831666</v>
      </c>
    </row>
    <row r="82" spans="2:25" x14ac:dyDescent="0.55000000000000004">
      <c r="B82" s="11">
        <v>1</v>
      </c>
      <c r="C82" s="11">
        <v>9</v>
      </c>
      <c r="D82" s="12">
        <f t="shared" si="9"/>
        <v>0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14"/>
        <v>1748592.2938416668</v>
      </c>
      <c r="O82" s="5">
        <f t="shared" si="13"/>
        <v>3846482.4313783338</v>
      </c>
      <c r="P82" s="5">
        <f t="shared" si="13"/>
        <v>6004890.4446533341</v>
      </c>
      <c r="Q82" s="5">
        <f t="shared" si="13"/>
        <v>7911529.0046400009</v>
      </c>
      <c r="R82" s="5">
        <f t="shared" si="13"/>
        <v>10165590.218228335</v>
      </c>
      <c r="S82" s="5">
        <f t="shared" si="13"/>
        <v>12584601.482923334</v>
      </c>
      <c r="T82" s="5">
        <f t="shared" si="13"/>
        <v>14952196.870053334</v>
      </c>
      <c r="U82" s="5">
        <f t="shared" si="13"/>
        <v>17323833.339928333</v>
      </c>
      <c r="V82" s="5">
        <f t="shared" si="13"/>
        <v>19848648.812863335</v>
      </c>
      <c r="W82" s="5">
        <f t="shared" si="13"/>
        <v>22547303.549331669</v>
      </c>
      <c r="X82" s="5">
        <f t="shared" si="13"/>
        <v>24922231.791828334</v>
      </c>
      <c r="Y82" s="5">
        <f t="shared" si="13"/>
        <v>27259325.640110001</v>
      </c>
    </row>
    <row r="83" spans="2:25" x14ac:dyDescent="0.55000000000000004">
      <c r="B83" s="11">
        <v>1</v>
      </c>
      <c r="C83" s="11">
        <v>10</v>
      </c>
      <c r="D83" s="12">
        <f t="shared" si="9"/>
        <v>0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14"/>
        <v>2006375.9702233337</v>
      </c>
      <c r="O83" s="5">
        <f t="shared" si="13"/>
        <v>4209467.8051683335</v>
      </c>
      <c r="P83" s="5">
        <f t="shared" si="13"/>
        <v>6586695.2794183334</v>
      </c>
      <c r="Q83" s="5">
        <f t="shared" si="13"/>
        <v>8869363.0870283339</v>
      </c>
      <c r="R83" s="5">
        <f t="shared" si="13"/>
        <v>11084420.600946669</v>
      </c>
      <c r="S83" s="5">
        <f t="shared" si="13"/>
        <v>13662816.292298336</v>
      </c>
      <c r="T83" s="5">
        <f t="shared" si="13"/>
        <v>15650999.099815002</v>
      </c>
      <c r="U83" s="5">
        <f t="shared" si="13"/>
        <v>17736349.599675003</v>
      </c>
      <c r="V83" s="5">
        <f t="shared" si="13"/>
        <v>20035166.680308338</v>
      </c>
      <c r="W83" s="5">
        <f t="shared" si="13"/>
        <v>22397629.798038337</v>
      </c>
      <c r="X83" s="5">
        <f t="shared" si="13"/>
        <v>24489542.768605005</v>
      </c>
      <c r="Y83" s="5">
        <f t="shared" si="13"/>
        <v>26412601.193493336</v>
      </c>
    </row>
    <row r="84" spans="2:25" x14ac:dyDescent="0.55000000000000004">
      <c r="B84" s="11">
        <v>1</v>
      </c>
      <c r="C84" s="11">
        <v>11</v>
      </c>
      <c r="D84" s="12">
        <f t="shared" si="9"/>
        <v>0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14"/>
        <v>1879366.2833150001</v>
      </c>
      <c r="O84" s="5">
        <f t="shared" si="13"/>
        <v>3504751.2371116672</v>
      </c>
      <c r="P84" s="5">
        <f t="shared" si="13"/>
        <v>5242024.5003483333</v>
      </c>
      <c r="Q84" s="5">
        <f t="shared" si="13"/>
        <v>6945923.5674016662</v>
      </c>
      <c r="R84" s="5">
        <f t="shared" si="13"/>
        <v>8774162.5952216666</v>
      </c>
      <c r="S84" s="5">
        <f t="shared" si="13"/>
        <v>10717269.271213334</v>
      </c>
      <c r="T84" s="5">
        <f t="shared" si="13"/>
        <v>12568185.791578334</v>
      </c>
      <c r="U84" s="5">
        <f t="shared" si="13"/>
        <v>14778473.388075002</v>
      </c>
      <c r="V84" s="5">
        <f t="shared" si="13"/>
        <v>16811032.511271667</v>
      </c>
      <c r="W84" s="5">
        <f t="shared" si="13"/>
        <v>18910349.652723335</v>
      </c>
      <c r="X84" s="5">
        <f t="shared" si="13"/>
        <v>20970326.883540001</v>
      </c>
      <c r="Y84" s="5">
        <f t="shared" si="13"/>
        <v>22879763.784414999</v>
      </c>
    </row>
    <row r="85" spans="2:25" x14ac:dyDescent="0.55000000000000004">
      <c r="B85" s="11">
        <v>1</v>
      </c>
      <c r="C85" s="11">
        <v>12</v>
      </c>
      <c r="D85" s="12">
        <f t="shared" si="9"/>
        <v>0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>
        <f>SUM(D74:D85)/1000000</f>
        <v>0</v>
      </c>
      <c r="M85" s="6" t="s">
        <v>24</v>
      </c>
      <c r="N85" s="5">
        <f t="shared" si="14"/>
        <v>1911974.0415766668</v>
      </c>
      <c r="O85" s="5">
        <f t="shared" si="13"/>
        <v>3978483.8714033333</v>
      </c>
      <c r="P85" s="5">
        <f t="shared" si="13"/>
        <v>6088466.1641483326</v>
      </c>
      <c r="Q85" s="5">
        <f t="shared" si="13"/>
        <v>7994518.0033966657</v>
      </c>
      <c r="R85" s="5">
        <f t="shared" si="13"/>
        <v>10219432.773134999</v>
      </c>
      <c r="S85" s="5">
        <f t="shared" si="13"/>
        <v>12496079.257106666</v>
      </c>
      <c r="T85" s="5">
        <f t="shared" si="13"/>
        <v>14516714.717828333</v>
      </c>
      <c r="U85" s="5">
        <f t="shared" si="13"/>
        <v>17085803.323375002</v>
      </c>
      <c r="V85" s="5">
        <f t="shared" si="13"/>
        <v>19678215.394663334</v>
      </c>
      <c r="W85" s="5">
        <f t="shared" si="13"/>
        <v>22437483.16674</v>
      </c>
      <c r="X85" s="5">
        <f t="shared" si="13"/>
        <v>24940805.156898335</v>
      </c>
      <c r="Y85" s="5">
        <f t="shared" si="13"/>
        <v>27435910.096638333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0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15">G86</f>
        <v>Oct'15/16</v>
      </c>
      <c r="I86" s="11">
        <f t="shared" ref="I86:I149" si="16">SUM(D75:D86)/1000000</f>
        <v>0</v>
      </c>
      <c r="M86" s="6" t="s">
        <v>25</v>
      </c>
      <c r="N86" s="5">
        <f t="shared" si="14"/>
        <v>2213446.2113883337</v>
      </c>
      <c r="O86" s="5">
        <f t="shared" si="13"/>
        <v>4274291.2623216668</v>
      </c>
      <c r="P86" s="5">
        <f t="shared" si="13"/>
        <v>6393493.9031133335</v>
      </c>
      <c r="Q86" s="5">
        <f t="shared" si="13"/>
        <v>8362881.3870916665</v>
      </c>
      <c r="R86" s="5">
        <f t="shared" si="13"/>
        <v>10688759.424455</v>
      </c>
      <c r="S86" s="5">
        <f t="shared" si="13"/>
        <v>13540645.094395</v>
      </c>
      <c r="T86" s="5">
        <f t="shared" si="13"/>
        <v>15775389.425825</v>
      </c>
      <c r="U86" s="5">
        <f t="shared" si="13"/>
        <v>18579147.463681668</v>
      </c>
      <c r="V86" s="5">
        <f t="shared" si="13"/>
        <v>21479473.428415</v>
      </c>
      <c r="W86" s="5">
        <f t="shared" si="13"/>
        <v>24384960.093598336</v>
      </c>
      <c r="X86" s="5">
        <f t="shared" si="13"/>
        <v>26976193.289485559</v>
      </c>
      <c r="Y86" s="5">
        <f t="shared" si="13"/>
        <v>29462740.718639284</v>
      </c>
    </row>
    <row r="87" spans="2:25" x14ac:dyDescent="0.55000000000000004">
      <c r="B87" s="11">
        <f t="shared" ref="B87:B150" si="17">B75+1</f>
        <v>2</v>
      </c>
      <c r="C87" s="11">
        <f t="shared" ref="C87:C150" si="18">C75</f>
        <v>2</v>
      </c>
      <c r="D87" s="12">
        <f t="shared" si="9"/>
        <v>0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15"/>
        <v>Nov'15/16</v>
      </c>
      <c r="I87" s="11">
        <f t="shared" si="16"/>
        <v>0</v>
      </c>
      <c r="M87" s="6" t="s">
        <v>26</v>
      </c>
      <c r="N87" s="5">
        <f t="shared" si="14"/>
        <v>2353468.5700000003</v>
      </c>
      <c r="O87" s="5">
        <f t="shared" si="13"/>
        <v>4675292.2606666666</v>
      </c>
      <c r="P87" s="5">
        <f t="shared" si="13"/>
        <v>6854120.6923333332</v>
      </c>
      <c r="Q87" s="5">
        <f t="shared" si="13"/>
        <v>8880920.6923333332</v>
      </c>
      <c r="R87" s="5">
        <f t="shared" si="13"/>
        <v>11028720.692333333</v>
      </c>
      <c r="S87" s="5">
        <f t="shared" si="13"/>
        <v>13335954.025666667</v>
      </c>
      <c r="T87" s="5">
        <f t="shared" si="13"/>
        <v>15467137.359000001</v>
      </c>
      <c r="U87" s="5">
        <f t="shared" si="13"/>
        <v>17982920.692333333</v>
      </c>
      <c r="V87" s="5" t="e">
        <f t="shared" si="13"/>
        <v>#N/A</v>
      </c>
      <c r="W87" s="5" t="e">
        <f t="shared" si="13"/>
        <v>#N/A</v>
      </c>
      <c r="X87" s="5" t="e">
        <f t="shared" si="13"/>
        <v>#N/A</v>
      </c>
      <c r="Y87" s="5" t="e">
        <f t="shared" si="13"/>
        <v>#N/A</v>
      </c>
    </row>
    <row r="88" spans="2:25" x14ac:dyDescent="0.55000000000000004">
      <c r="B88" s="11">
        <f t="shared" si="17"/>
        <v>2</v>
      </c>
      <c r="C88" s="11">
        <f t="shared" si="18"/>
        <v>3</v>
      </c>
      <c r="D88" s="12">
        <f t="shared" si="9"/>
        <v>0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15"/>
        <v>Dec'15/16</v>
      </c>
      <c r="I88" s="11">
        <f t="shared" si="16"/>
        <v>0</v>
      </c>
      <c r="M88" s="6" t="s">
        <v>27</v>
      </c>
      <c r="N88" s="5" t="e">
        <f t="shared" si="14"/>
        <v>#N/A</v>
      </c>
      <c r="O88" s="5" t="e">
        <f t="shared" si="13"/>
        <v>#N/A</v>
      </c>
      <c r="P88" s="5" t="e">
        <f t="shared" si="13"/>
        <v>#N/A</v>
      </c>
      <c r="Q88" s="5" t="e">
        <f t="shared" si="13"/>
        <v>#N/A</v>
      </c>
      <c r="R88" s="5" t="e">
        <f t="shared" si="13"/>
        <v>#N/A</v>
      </c>
      <c r="S88" s="5" t="e">
        <f t="shared" si="13"/>
        <v>#N/A</v>
      </c>
      <c r="T88" s="5" t="e">
        <f t="shared" si="13"/>
        <v>#N/A</v>
      </c>
      <c r="U88" s="5" t="e">
        <f t="shared" si="13"/>
        <v>#N/A</v>
      </c>
      <c r="V88" s="5" t="e">
        <f t="shared" si="13"/>
        <v>#N/A</v>
      </c>
      <c r="W88" s="5" t="e">
        <f t="shared" si="13"/>
        <v>#N/A</v>
      </c>
      <c r="X88" s="5" t="e">
        <f t="shared" si="13"/>
        <v>#N/A</v>
      </c>
      <c r="Y88" s="5" t="e">
        <f t="shared" si="13"/>
        <v>#N/A</v>
      </c>
    </row>
    <row r="89" spans="2:25" x14ac:dyDescent="0.55000000000000004">
      <c r="B89" s="11">
        <f t="shared" si="17"/>
        <v>2</v>
      </c>
      <c r="C89" s="11">
        <f t="shared" si="18"/>
        <v>4</v>
      </c>
      <c r="D89" s="12">
        <f t="shared" si="9"/>
        <v>0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15"/>
        <v>Jan'15/16</v>
      </c>
      <c r="I89" s="11">
        <f t="shared" si="16"/>
        <v>0</v>
      </c>
    </row>
    <row r="90" spans="2:25" x14ac:dyDescent="0.55000000000000004">
      <c r="B90" s="11">
        <f t="shared" si="17"/>
        <v>2</v>
      </c>
      <c r="C90" s="11">
        <f t="shared" si="18"/>
        <v>5</v>
      </c>
      <c r="D90" s="12">
        <f t="shared" si="9"/>
        <v>0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15"/>
        <v>Feb'15/16</v>
      </c>
      <c r="I90" s="11">
        <f t="shared" si="16"/>
        <v>0</v>
      </c>
    </row>
    <row r="91" spans="2:25" x14ac:dyDescent="0.55000000000000004">
      <c r="B91" s="11">
        <f t="shared" si="17"/>
        <v>2</v>
      </c>
      <c r="C91" s="11">
        <f t="shared" si="18"/>
        <v>6</v>
      </c>
      <c r="D91" s="12">
        <f t="shared" si="9"/>
        <v>0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15"/>
        <v>Mar'15/16</v>
      </c>
      <c r="I91" s="11">
        <f t="shared" si="16"/>
        <v>0</v>
      </c>
    </row>
    <row r="92" spans="2:25" x14ac:dyDescent="0.55000000000000004">
      <c r="B92" s="11">
        <f t="shared" si="17"/>
        <v>2</v>
      </c>
      <c r="C92" s="11">
        <f t="shared" si="18"/>
        <v>7</v>
      </c>
      <c r="D92" s="12">
        <f t="shared" si="9"/>
        <v>0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15"/>
        <v>Apr'15/16</v>
      </c>
      <c r="I92" s="11">
        <f t="shared" si="16"/>
        <v>0</v>
      </c>
    </row>
    <row r="93" spans="2:25" x14ac:dyDescent="0.55000000000000004">
      <c r="B93" s="11">
        <f t="shared" si="17"/>
        <v>2</v>
      </c>
      <c r="C93" s="11">
        <f t="shared" si="18"/>
        <v>8</v>
      </c>
      <c r="D93" s="12">
        <f t="shared" si="9"/>
        <v>0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15"/>
        <v>May'15/16</v>
      </c>
      <c r="I93" s="11">
        <f t="shared" si="16"/>
        <v>0</v>
      </c>
    </row>
    <row r="94" spans="2:25" x14ac:dyDescent="0.55000000000000004">
      <c r="B94" s="11">
        <f t="shared" si="17"/>
        <v>2</v>
      </c>
      <c r="C94" s="11">
        <f t="shared" si="18"/>
        <v>9</v>
      </c>
      <c r="D94" s="12">
        <f t="shared" si="9"/>
        <v>0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15"/>
        <v>Jun'15/16</v>
      </c>
      <c r="I94" s="11">
        <f t="shared" si="16"/>
        <v>0</v>
      </c>
    </row>
    <row r="95" spans="2:25" x14ac:dyDescent="0.55000000000000004">
      <c r="B95" s="11">
        <f t="shared" si="17"/>
        <v>2</v>
      </c>
      <c r="C95" s="11">
        <f t="shared" si="18"/>
        <v>10</v>
      </c>
      <c r="D95" s="12">
        <f t="shared" si="9"/>
        <v>0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15"/>
        <v>Jul'15/16</v>
      </c>
      <c r="I95" s="11">
        <f t="shared" si="16"/>
        <v>0</v>
      </c>
    </row>
    <row r="96" spans="2:25" x14ac:dyDescent="0.55000000000000004">
      <c r="B96" s="11">
        <f t="shared" si="17"/>
        <v>2</v>
      </c>
      <c r="C96" s="11">
        <f t="shared" si="18"/>
        <v>11</v>
      </c>
      <c r="D96" s="12">
        <f t="shared" si="9"/>
        <v>0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15"/>
        <v>Aug'15/16</v>
      </c>
      <c r="I96" s="11">
        <f t="shared" si="16"/>
        <v>0</v>
      </c>
    </row>
    <row r="97" spans="2:9" x14ac:dyDescent="0.55000000000000004">
      <c r="B97" s="11">
        <f t="shared" si="17"/>
        <v>2</v>
      </c>
      <c r="C97" s="11">
        <f t="shared" si="18"/>
        <v>12</v>
      </c>
      <c r="D97" s="12">
        <f t="shared" si="9"/>
        <v>0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15"/>
        <v>Sep'15/16</v>
      </c>
      <c r="I97" s="11">
        <f t="shared" si="16"/>
        <v>0</v>
      </c>
    </row>
    <row r="98" spans="2:9" x14ac:dyDescent="0.55000000000000004">
      <c r="B98" s="11">
        <f t="shared" si="17"/>
        <v>3</v>
      </c>
      <c r="C98" s="11">
        <f t="shared" si="18"/>
        <v>1</v>
      </c>
      <c r="D98" s="12">
        <f t="shared" si="9"/>
        <v>0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15"/>
        <v>Oct'16/17</v>
      </c>
      <c r="I98" s="11">
        <f t="shared" si="16"/>
        <v>0</v>
      </c>
    </row>
    <row r="99" spans="2:9" x14ac:dyDescent="0.55000000000000004">
      <c r="B99" s="11">
        <f t="shared" si="17"/>
        <v>3</v>
      </c>
      <c r="C99" s="11">
        <f t="shared" si="18"/>
        <v>2</v>
      </c>
      <c r="D99" s="12">
        <f t="shared" si="9"/>
        <v>0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15"/>
        <v>Nov'16/17</v>
      </c>
      <c r="I99" s="11">
        <f t="shared" si="16"/>
        <v>0</v>
      </c>
    </row>
    <row r="100" spans="2:9" x14ac:dyDescent="0.55000000000000004">
      <c r="B100" s="11">
        <f t="shared" si="17"/>
        <v>3</v>
      </c>
      <c r="C100" s="11">
        <f t="shared" si="18"/>
        <v>3</v>
      </c>
      <c r="D100" s="12">
        <f t="shared" si="9"/>
        <v>0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15"/>
        <v>Dec'16/17</v>
      </c>
      <c r="I100" s="11">
        <f t="shared" si="16"/>
        <v>0</v>
      </c>
    </row>
    <row r="101" spans="2:9" x14ac:dyDescent="0.55000000000000004">
      <c r="B101" s="11">
        <f t="shared" si="17"/>
        <v>3</v>
      </c>
      <c r="C101" s="11">
        <f t="shared" si="18"/>
        <v>4</v>
      </c>
      <c r="D101" s="12">
        <f t="shared" si="9"/>
        <v>0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15"/>
        <v>Jan'16/17</v>
      </c>
      <c r="I101" s="11">
        <f t="shared" si="16"/>
        <v>0</v>
      </c>
    </row>
    <row r="102" spans="2:9" x14ac:dyDescent="0.55000000000000004">
      <c r="B102" s="11">
        <f t="shared" si="17"/>
        <v>3</v>
      </c>
      <c r="C102" s="11">
        <f t="shared" si="18"/>
        <v>5</v>
      </c>
      <c r="D102" s="12">
        <f t="shared" si="9"/>
        <v>0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15"/>
        <v>Feb'16/17</v>
      </c>
      <c r="I102" s="11">
        <f t="shared" si="16"/>
        <v>0</v>
      </c>
    </row>
    <row r="103" spans="2:9" x14ac:dyDescent="0.55000000000000004">
      <c r="B103" s="11">
        <f t="shared" si="17"/>
        <v>3</v>
      </c>
      <c r="C103" s="11">
        <f t="shared" si="18"/>
        <v>6</v>
      </c>
      <c r="D103" s="12">
        <f t="shared" si="9"/>
        <v>0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15"/>
        <v>Mar'16/17</v>
      </c>
      <c r="I103" s="11">
        <f t="shared" si="16"/>
        <v>0</v>
      </c>
    </row>
    <row r="104" spans="2:9" x14ac:dyDescent="0.55000000000000004">
      <c r="B104" s="11">
        <f t="shared" si="17"/>
        <v>3</v>
      </c>
      <c r="C104" s="11">
        <f t="shared" si="18"/>
        <v>7</v>
      </c>
      <c r="D104" s="12">
        <f t="shared" si="9"/>
        <v>0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15"/>
        <v>Apr'16/17</v>
      </c>
      <c r="I104" s="11">
        <f t="shared" si="16"/>
        <v>0</v>
      </c>
    </row>
    <row r="105" spans="2:9" x14ac:dyDescent="0.55000000000000004">
      <c r="B105" s="11">
        <f t="shared" si="17"/>
        <v>3</v>
      </c>
      <c r="C105" s="11">
        <f t="shared" si="18"/>
        <v>8</v>
      </c>
      <c r="D105" s="12">
        <f t="shared" si="9"/>
        <v>0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15"/>
        <v>May'16/17</v>
      </c>
      <c r="I105" s="11">
        <f t="shared" si="16"/>
        <v>0</v>
      </c>
    </row>
    <row r="106" spans="2:9" x14ac:dyDescent="0.55000000000000004">
      <c r="B106" s="11">
        <f t="shared" si="17"/>
        <v>3</v>
      </c>
      <c r="C106" s="11">
        <f t="shared" si="18"/>
        <v>9</v>
      </c>
      <c r="D106" s="12">
        <f t="shared" si="9"/>
        <v>0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15"/>
        <v>Jun'16/17</v>
      </c>
      <c r="I106" s="11">
        <f t="shared" si="16"/>
        <v>0</v>
      </c>
    </row>
    <row r="107" spans="2:9" x14ac:dyDescent="0.55000000000000004">
      <c r="B107" s="11">
        <f t="shared" si="17"/>
        <v>3</v>
      </c>
      <c r="C107" s="11">
        <f t="shared" si="18"/>
        <v>10</v>
      </c>
      <c r="D107" s="12">
        <f t="shared" si="9"/>
        <v>0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15"/>
        <v>Jul'16/17</v>
      </c>
      <c r="I107" s="11">
        <f t="shared" si="16"/>
        <v>0</v>
      </c>
    </row>
    <row r="108" spans="2:9" x14ac:dyDescent="0.55000000000000004">
      <c r="B108" s="11">
        <f t="shared" si="17"/>
        <v>3</v>
      </c>
      <c r="C108" s="11">
        <f t="shared" si="18"/>
        <v>11</v>
      </c>
      <c r="D108" s="12">
        <f t="shared" si="9"/>
        <v>0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15"/>
        <v>Aug'16/17</v>
      </c>
      <c r="I108" s="11">
        <f t="shared" si="16"/>
        <v>0</v>
      </c>
    </row>
    <row r="109" spans="2:9" x14ac:dyDescent="0.55000000000000004">
      <c r="B109" s="11">
        <f t="shared" si="17"/>
        <v>3</v>
      </c>
      <c r="C109" s="11">
        <f t="shared" si="18"/>
        <v>12</v>
      </c>
      <c r="D109" s="12">
        <f t="shared" si="9"/>
        <v>0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15"/>
        <v>Sep'16/17</v>
      </c>
      <c r="I109" s="11">
        <f t="shared" si="16"/>
        <v>0</v>
      </c>
    </row>
    <row r="110" spans="2:9" x14ac:dyDescent="0.55000000000000004">
      <c r="B110" s="11">
        <f t="shared" si="17"/>
        <v>4</v>
      </c>
      <c r="C110" s="11">
        <f t="shared" si="18"/>
        <v>1</v>
      </c>
      <c r="D110" s="12">
        <f t="shared" si="9"/>
        <v>2178602.9918316668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15"/>
        <v>Oct'17/18</v>
      </c>
      <c r="I110" s="11">
        <f t="shared" si="16"/>
        <v>2.1786029918316667</v>
      </c>
    </row>
    <row r="111" spans="2:9" x14ac:dyDescent="0.55000000000000004">
      <c r="B111" s="11">
        <f t="shared" si="17"/>
        <v>4</v>
      </c>
      <c r="C111" s="11">
        <f t="shared" si="18"/>
        <v>2</v>
      </c>
      <c r="D111" s="12">
        <f t="shared" si="9"/>
        <v>2306063.12396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15"/>
        <v>Nov'17/18</v>
      </c>
      <c r="I111" s="11">
        <f t="shared" si="16"/>
        <v>4.4846661157916676</v>
      </c>
    </row>
    <row r="112" spans="2:9" x14ac:dyDescent="0.55000000000000004">
      <c r="B112" s="11">
        <f t="shared" si="17"/>
        <v>4</v>
      </c>
      <c r="C112" s="11">
        <f t="shared" si="18"/>
        <v>3</v>
      </c>
      <c r="D112" s="12">
        <f t="shared" si="9"/>
        <v>2452176.8519066665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15"/>
        <v>Dec'17/18</v>
      </c>
      <c r="I112" s="11">
        <f t="shared" si="16"/>
        <v>6.9368429676983334</v>
      </c>
    </row>
    <row r="113" spans="2:9" x14ac:dyDescent="0.55000000000000004">
      <c r="B113" s="11">
        <f t="shared" si="17"/>
        <v>4</v>
      </c>
      <c r="C113" s="11">
        <f t="shared" si="18"/>
        <v>4</v>
      </c>
      <c r="D113" s="12">
        <f t="shared" si="9"/>
        <v>2415155.3163416665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15"/>
        <v>Jan'17/18</v>
      </c>
      <c r="I113" s="11">
        <f t="shared" si="16"/>
        <v>9.3519982840400004</v>
      </c>
    </row>
    <row r="114" spans="2:9" x14ac:dyDescent="0.55000000000000004">
      <c r="B114" s="11">
        <f t="shared" si="17"/>
        <v>4</v>
      </c>
      <c r="C114" s="11">
        <f t="shared" si="18"/>
        <v>5</v>
      </c>
      <c r="D114" s="12">
        <f t="shared" si="9"/>
        <v>2530337.1865083333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15"/>
        <v>Feb'17/18</v>
      </c>
      <c r="I114" s="11">
        <f t="shared" si="16"/>
        <v>11.882335470548334</v>
      </c>
    </row>
    <row r="115" spans="2:9" x14ac:dyDescent="0.55000000000000004">
      <c r="B115" s="11">
        <f t="shared" si="17"/>
        <v>4</v>
      </c>
      <c r="C115" s="11">
        <f t="shared" si="18"/>
        <v>6</v>
      </c>
      <c r="D115" s="12">
        <f t="shared" si="9"/>
        <v>2041396.8522366667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15"/>
        <v>Mar'17/18</v>
      </c>
      <c r="I115" s="11">
        <f t="shared" si="16"/>
        <v>13.923732322785002</v>
      </c>
    </row>
    <row r="116" spans="2:9" x14ac:dyDescent="0.55000000000000004">
      <c r="B116" s="11">
        <f t="shared" si="17"/>
        <v>4</v>
      </c>
      <c r="C116" s="11">
        <f t="shared" si="18"/>
        <v>7</v>
      </c>
      <c r="D116" s="12">
        <f t="shared" si="9"/>
        <v>2240530.42313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15"/>
        <v>Apr'17/18</v>
      </c>
      <c r="I116" s="11">
        <f t="shared" si="16"/>
        <v>16.164262745915</v>
      </c>
    </row>
    <row r="117" spans="2:9" x14ac:dyDescent="0.55000000000000004">
      <c r="B117" s="11">
        <f t="shared" si="17"/>
        <v>4</v>
      </c>
      <c r="C117" s="11">
        <f t="shared" si="18"/>
        <v>8</v>
      </c>
      <c r="D117" s="12">
        <f t="shared" si="9"/>
        <v>2273493.8139833333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15"/>
        <v>May'17/18</v>
      </c>
      <c r="I117" s="11">
        <f t="shared" si="16"/>
        <v>18.437756559898336</v>
      </c>
    </row>
    <row r="118" spans="2:9" x14ac:dyDescent="0.55000000000000004">
      <c r="B118" s="11">
        <f t="shared" si="17"/>
        <v>4</v>
      </c>
      <c r="C118" s="11">
        <f t="shared" si="18"/>
        <v>9</v>
      </c>
      <c r="D118" s="12">
        <f t="shared" si="9"/>
        <v>2446172.2475866671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15"/>
        <v>Jun'17/18</v>
      </c>
      <c r="I118" s="11">
        <f t="shared" si="16"/>
        <v>20.883928807485002</v>
      </c>
    </row>
    <row r="119" spans="2:9" x14ac:dyDescent="0.55000000000000004">
      <c r="B119" s="11">
        <f t="shared" si="17"/>
        <v>4</v>
      </c>
      <c r="C119" s="11">
        <f t="shared" si="18"/>
        <v>10</v>
      </c>
      <c r="D119" s="12">
        <f t="shared" si="9"/>
        <v>2512577.2451883336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15"/>
        <v>Jul'17/18</v>
      </c>
      <c r="I119" s="11">
        <f t="shared" si="16"/>
        <v>23.396506052673335</v>
      </c>
    </row>
    <row r="120" spans="2:9" x14ac:dyDescent="0.55000000000000004">
      <c r="B120" s="11">
        <f t="shared" si="17"/>
        <v>4</v>
      </c>
      <c r="C120" s="11">
        <f t="shared" si="18"/>
        <v>11</v>
      </c>
      <c r="D120" s="12">
        <f t="shared" si="9"/>
        <v>2503631.6699000001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15"/>
        <v>Aug'17/18</v>
      </c>
      <c r="I120" s="11">
        <f t="shared" si="16"/>
        <v>25.900137722573337</v>
      </c>
    </row>
    <row r="121" spans="2:9" x14ac:dyDescent="0.55000000000000004">
      <c r="B121" s="11">
        <f t="shared" si="17"/>
        <v>4</v>
      </c>
      <c r="C121" s="11">
        <f t="shared" si="18"/>
        <v>12</v>
      </c>
      <c r="D121" s="12">
        <f t="shared" si="9"/>
        <v>2370866.6203016667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15"/>
        <v>Sep'17/18</v>
      </c>
      <c r="I121" s="11">
        <f t="shared" si="16"/>
        <v>28.271004342875003</v>
      </c>
    </row>
    <row r="122" spans="2:9" x14ac:dyDescent="0.55000000000000004">
      <c r="B122" s="11">
        <f t="shared" si="17"/>
        <v>5</v>
      </c>
      <c r="C122" s="11">
        <f t="shared" si="18"/>
        <v>1</v>
      </c>
      <c r="D122" s="12">
        <f t="shared" si="9"/>
        <v>2321729.271675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15"/>
        <v>Oct'18/19</v>
      </c>
      <c r="I122" s="11">
        <f t="shared" si="16"/>
        <v>28.414130622718336</v>
      </c>
    </row>
    <row r="123" spans="2:9" x14ac:dyDescent="0.55000000000000004">
      <c r="B123" s="11">
        <f t="shared" si="17"/>
        <v>5</v>
      </c>
      <c r="C123" s="11">
        <f t="shared" si="18"/>
        <v>2</v>
      </c>
      <c r="D123" s="12">
        <f t="shared" si="9"/>
        <v>2258277.1119249999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15"/>
        <v>Nov'18/19</v>
      </c>
      <c r="I123" s="11">
        <f t="shared" si="16"/>
        <v>28.366344610683338</v>
      </c>
    </row>
    <row r="124" spans="2:9" x14ac:dyDescent="0.55000000000000004">
      <c r="B124" s="11">
        <f t="shared" si="17"/>
        <v>5</v>
      </c>
      <c r="C124" s="11">
        <f t="shared" si="18"/>
        <v>3</v>
      </c>
      <c r="D124" s="12">
        <f t="shared" si="9"/>
        <v>2360575.2915949998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15"/>
        <v>Dec'18/19</v>
      </c>
      <c r="I124" s="11">
        <f t="shared" si="16"/>
        <v>28.274743050371665</v>
      </c>
    </row>
    <row r="125" spans="2:9" x14ac:dyDescent="0.55000000000000004">
      <c r="B125" s="11">
        <f t="shared" si="17"/>
        <v>5</v>
      </c>
      <c r="C125" s="11">
        <f t="shared" si="18"/>
        <v>4</v>
      </c>
      <c r="D125" s="12">
        <f t="shared" si="9"/>
        <v>2254293.7911616666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15"/>
        <v>Jan'18/19</v>
      </c>
      <c r="I125" s="11">
        <f t="shared" si="16"/>
        <v>28.113881525191665</v>
      </c>
    </row>
    <row r="126" spans="2:9" x14ac:dyDescent="0.55000000000000004">
      <c r="B126" s="11">
        <f t="shared" si="17"/>
        <v>5</v>
      </c>
      <c r="C126" s="11">
        <f t="shared" si="18"/>
        <v>5</v>
      </c>
      <c r="D126" s="12">
        <f t="shared" si="9"/>
        <v>2433754.1444033333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15"/>
        <v>Feb'18/19</v>
      </c>
      <c r="I126" s="11">
        <f t="shared" si="16"/>
        <v>28.017298483086673</v>
      </c>
    </row>
    <row r="127" spans="2:9" x14ac:dyDescent="0.55000000000000004">
      <c r="B127" s="11">
        <f t="shared" si="17"/>
        <v>5</v>
      </c>
      <c r="C127" s="11">
        <f t="shared" si="18"/>
        <v>6</v>
      </c>
      <c r="D127" s="12">
        <f t="shared" si="9"/>
        <v>2361833.1491916669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15"/>
        <v>Mar'18/19</v>
      </c>
      <c r="I127" s="11">
        <f t="shared" si="16"/>
        <v>28.337734780041668</v>
      </c>
    </row>
    <row r="128" spans="2:9" x14ac:dyDescent="0.55000000000000004">
      <c r="B128" s="11">
        <f t="shared" si="17"/>
        <v>5</v>
      </c>
      <c r="C128" s="11">
        <f t="shared" si="18"/>
        <v>7</v>
      </c>
      <c r="D128" s="12">
        <f t="shared" si="9"/>
        <v>2245177.5757716666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15"/>
        <v>Apr'18/19</v>
      </c>
      <c r="I128" s="11">
        <f t="shared" si="16"/>
        <v>28.342381932683338</v>
      </c>
    </row>
    <row r="129" spans="2:9" x14ac:dyDescent="0.55000000000000004">
      <c r="B129" s="11">
        <f t="shared" si="17"/>
        <v>5</v>
      </c>
      <c r="C129" s="11">
        <f t="shared" si="18"/>
        <v>8</v>
      </c>
      <c r="D129" s="12">
        <f t="shared" si="9"/>
        <v>2572704.936185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15"/>
        <v>May'18/19</v>
      </c>
      <c r="I129" s="11">
        <f t="shared" si="16"/>
        <v>28.641593054885004</v>
      </c>
    </row>
    <row r="130" spans="2:9" x14ac:dyDescent="0.55000000000000004">
      <c r="B130" s="11">
        <f t="shared" si="17"/>
        <v>5</v>
      </c>
      <c r="C130" s="11">
        <f t="shared" si="18"/>
        <v>9</v>
      </c>
      <c r="D130" s="12">
        <f t="shared" si="9"/>
        <v>2665664.5460583335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15"/>
        <v>Jun'18/19</v>
      </c>
      <c r="I130" s="11">
        <f t="shared" si="16"/>
        <v>28.861085353356668</v>
      </c>
    </row>
    <row r="131" spans="2:9" x14ac:dyDescent="0.55000000000000004">
      <c r="B131" s="11">
        <f t="shared" si="17"/>
        <v>5</v>
      </c>
      <c r="C131" s="11">
        <f t="shared" si="18"/>
        <v>10</v>
      </c>
      <c r="D131" s="12">
        <f t="shared" si="9"/>
        <v>2749678.0061400002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15"/>
        <v>Jul'18/19</v>
      </c>
      <c r="I131" s="11">
        <f t="shared" si="16"/>
        <v>29.098186114308334</v>
      </c>
    </row>
    <row r="132" spans="2:9" x14ac:dyDescent="0.55000000000000004">
      <c r="B132" s="11">
        <f t="shared" si="17"/>
        <v>5</v>
      </c>
      <c r="C132" s="11">
        <f t="shared" si="18"/>
        <v>11</v>
      </c>
      <c r="D132" s="12">
        <f t="shared" si="9"/>
        <v>2508484.0130166668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15"/>
        <v>Aug'18/19</v>
      </c>
      <c r="I132" s="11">
        <f t="shared" si="16"/>
        <v>29.103038457424997</v>
      </c>
    </row>
    <row r="133" spans="2:9" x14ac:dyDescent="0.55000000000000004">
      <c r="B133" s="11">
        <f t="shared" si="17"/>
        <v>5</v>
      </c>
      <c r="C133" s="11">
        <f t="shared" si="18"/>
        <v>12</v>
      </c>
      <c r="D133" s="12">
        <f t="shared" si="9"/>
        <v>2326676.2702750005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15"/>
        <v>Sep'18/19</v>
      </c>
      <c r="I133" s="11">
        <f t="shared" si="16"/>
        <v>29.058848107398333</v>
      </c>
    </row>
    <row r="134" spans="2:9" x14ac:dyDescent="0.55000000000000004">
      <c r="B134" s="11">
        <f t="shared" si="17"/>
        <v>6</v>
      </c>
      <c r="C134" s="11">
        <f t="shared" si="18"/>
        <v>1</v>
      </c>
      <c r="D134" s="12">
        <f t="shared" si="9"/>
        <v>2261644.7517466666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15"/>
        <v>Oct'19/20</v>
      </c>
      <c r="I134" s="11">
        <f t="shared" si="16"/>
        <v>28.998763587470002</v>
      </c>
    </row>
    <row r="135" spans="2:9" x14ac:dyDescent="0.55000000000000004">
      <c r="B135" s="11">
        <f t="shared" si="17"/>
        <v>6</v>
      </c>
      <c r="C135" s="11">
        <f t="shared" si="18"/>
        <v>2</v>
      </c>
      <c r="D135" s="12">
        <f t="shared" si="9"/>
        <v>2161339.7333033332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15"/>
        <v>Nov'19/20</v>
      </c>
      <c r="I135" s="11">
        <f t="shared" si="16"/>
        <v>28.901826208848334</v>
      </c>
    </row>
    <row r="136" spans="2:9" x14ac:dyDescent="0.55000000000000004">
      <c r="B136" s="11">
        <f t="shared" si="17"/>
        <v>6</v>
      </c>
      <c r="C136" s="11">
        <f t="shared" si="18"/>
        <v>3</v>
      </c>
      <c r="D136" s="12">
        <f t="shared" si="9"/>
        <v>2523340.0118733332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15"/>
        <v>Dec'19/20</v>
      </c>
      <c r="I136" s="11">
        <f t="shared" si="16"/>
        <v>29.064590929126673</v>
      </c>
    </row>
    <row r="137" spans="2:9" x14ac:dyDescent="0.55000000000000004">
      <c r="B137" s="11">
        <f t="shared" si="17"/>
        <v>6</v>
      </c>
      <c r="C137" s="11">
        <f t="shared" si="18"/>
        <v>4</v>
      </c>
      <c r="D137" s="12">
        <f t="shared" si="9"/>
        <v>2219283.2302100002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15"/>
        <v>Jan'19/20</v>
      </c>
      <c r="I137" s="11">
        <f t="shared" si="16"/>
        <v>29.029580368175004</v>
      </c>
    </row>
    <row r="138" spans="2:9" x14ac:dyDescent="0.55000000000000004">
      <c r="B138" s="11">
        <f t="shared" si="17"/>
        <v>6</v>
      </c>
      <c r="C138" s="11">
        <f t="shared" si="18"/>
        <v>5</v>
      </c>
      <c r="D138" s="12">
        <f t="shared" si="9"/>
        <v>2234200.5510433335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15"/>
        <v>Feb'19/20</v>
      </c>
      <c r="I138" s="11">
        <f t="shared" si="16"/>
        <v>28.830026774815</v>
      </c>
    </row>
    <row r="139" spans="2:9" x14ac:dyDescent="0.55000000000000004">
      <c r="B139" s="11">
        <f t="shared" si="17"/>
        <v>6</v>
      </c>
      <c r="C139" s="11">
        <f t="shared" si="18"/>
        <v>6</v>
      </c>
      <c r="D139" s="12">
        <f t="shared" ref="D139:D202" si="19">INDEX($C$7:$N$19,MATCH(B139,$A$7:$A$19),MATCH(C139,$C$4:$N$4))</f>
        <v>2202792.5210750001</v>
      </c>
      <c r="E139" s="11" t="str">
        <f t="shared" ref="E139:E202" si="20">_xlfn.XLOOKUP(B139,$A$7:$A$19,$B$7:$B$19)</f>
        <v>19/20</v>
      </c>
      <c r="F139" s="11" t="str">
        <f t="shared" ref="F139:F202" si="21">_xlfn.XLOOKUP(C139,$C$4:$N$4,$C$6:$N$6)</f>
        <v>Mar</v>
      </c>
      <c r="G139" s="11" t="str">
        <f t="shared" ref="G139:G202" si="22">_xlfn.CONCAT(F139,"'",E139)</f>
        <v>Mar'19/20</v>
      </c>
      <c r="H139" s="11" t="str">
        <f t="shared" si="15"/>
        <v>Mar'19/20</v>
      </c>
      <c r="I139" s="11">
        <f t="shared" si="16"/>
        <v>28.670986146698336</v>
      </c>
    </row>
    <row r="140" spans="2:9" x14ac:dyDescent="0.55000000000000004">
      <c r="B140" s="11">
        <f t="shared" si="17"/>
        <v>6</v>
      </c>
      <c r="C140" s="11">
        <f t="shared" si="18"/>
        <v>7</v>
      </c>
      <c r="D140" s="12">
        <f t="shared" si="19"/>
        <v>1802269.8616500001</v>
      </c>
      <c r="E140" s="11" t="str">
        <f t="shared" si="20"/>
        <v>19/20</v>
      </c>
      <c r="F140" s="11" t="str">
        <f t="shared" si="21"/>
        <v>Apr</v>
      </c>
      <c r="G140" s="11" t="str">
        <f t="shared" si="22"/>
        <v>Apr'19/20</v>
      </c>
      <c r="H140" s="11" t="str">
        <f t="shared" si="15"/>
        <v>Apr'19/20</v>
      </c>
      <c r="I140" s="11">
        <f t="shared" si="16"/>
        <v>28.22807843257667</v>
      </c>
    </row>
    <row r="141" spans="2:9" x14ac:dyDescent="0.55000000000000004">
      <c r="B141" s="11">
        <f t="shared" si="17"/>
        <v>6</v>
      </c>
      <c r="C141" s="11">
        <f t="shared" si="18"/>
        <v>8</v>
      </c>
      <c r="D141" s="12">
        <f t="shared" si="19"/>
        <v>2233455.602833333</v>
      </c>
      <c r="E141" s="11" t="str">
        <f t="shared" si="20"/>
        <v>19/20</v>
      </c>
      <c r="F141" s="11" t="str">
        <f t="shared" si="21"/>
        <v>May</v>
      </c>
      <c r="G141" s="11" t="str">
        <f t="shared" si="22"/>
        <v>May'19/20</v>
      </c>
      <c r="H141" s="11" t="str">
        <f t="shared" si="15"/>
        <v>May'19/20</v>
      </c>
      <c r="I141" s="11">
        <f t="shared" si="16"/>
        <v>27.888829099225003</v>
      </c>
    </row>
    <row r="142" spans="2:9" x14ac:dyDescent="0.55000000000000004">
      <c r="B142" s="11">
        <f t="shared" si="17"/>
        <v>6</v>
      </c>
      <c r="C142" s="11">
        <f t="shared" si="18"/>
        <v>9</v>
      </c>
      <c r="D142" s="12">
        <f t="shared" si="19"/>
        <v>2395074.0498416666</v>
      </c>
      <c r="E142" s="11" t="str">
        <f t="shared" si="20"/>
        <v>19/20</v>
      </c>
      <c r="F142" s="11" t="str">
        <f t="shared" si="21"/>
        <v>Jun</v>
      </c>
      <c r="G142" s="11" t="str">
        <f t="shared" si="22"/>
        <v>Jun'19/20</v>
      </c>
      <c r="H142" s="11" t="str">
        <f t="shared" si="15"/>
        <v>Jun'19/20</v>
      </c>
      <c r="I142" s="11">
        <f t="shared" si="16"/>
        <v>27.618238603008336</v>
      </c>
    </row>
    <row r="143" spans="2:9" x14ac:dyDescent="0.55000000000000004">
      <c r="B143" s="11">
        <f t="shared" si="17"/>
        <v>6</v>
      </c>
      <c r="C143" s="11">
        <f t="shared" si="18"/>
        <v>10</v>
      </c>
      <c r="D143" s="12">
        <f t="shared" si="19"/>
        <v>2187914.2796999998</v>
      </c>
      <c r="E143" s="11" t="str">
        <f t="shared" si="20"/>
        <v>19/20</v>
      </c>
      <c r="F143" s="11" t="str">
        <f t="shared" si="21"/>
        <v>Jul</v>
      </c>
      <c r="G143" s="11" t="str">
        <f t="shared" si="22"/>
        <v>Jul'19/20</v>
      </c>
      <c r="H143" s="11" t="str">
        <f t="shared" si="15"/>
        <v>Jul'19/20</v>
      </c>
      <c r="I143" s="11">
        <f t="shared" si="16"/>
        <v>27.056474876568338</v>
      </c>
    </row>
    <row r="144" spans="2:9" x14ac:dyDescent="0.55000000000000004">
      <c r="B144" s="11">
        <f t="shared" si="17"/>
        <v>6</v>
      </c>
      <c r="C144" s="11">
        <f t="shared" si="18"/>
        <v>11</v>
      </c>
      <c r="D144" s="12">
        <f t="shared" si="19"/>
        <v>2137253.4400399998</v>
      </c>
      <c r="E144" s="11" t="str">
        <f t="shared" si="20"/>
        <v>19/20</v>
      </c>
      <c r="F144" s="11" t="str">
        <f t="shared" si="21"/>
        <v>Aug</v>
      </c>
      <c r="G144" s="11" t="str">
        <f t="shared" si="22"/>
        <v>Aug'19/20</v>
      </c>
      <c r="H144" s="11" t="str">
        <f t="shared" si="15"/>
        <v>Aug'19/20</v>
      </c>
      <c r="I144" s="11">
        <f t="shared" si="16"/>
        <v>26.685244303591674</v>
      </c>
    </row>
    <row r="145" spans="2:9" x14ac:dyDescent="0.55000000000000004">
      <c r="B145" s="11">
        <f t="shared" si="17"/>
        <v>6</v>
      </c>
      <c r="C145" s="11">
        <f t="shared" si="18"/>
        <v>12</v>
      </c>
      <c r="D145" s="12">
        <f t="shared" si="19"/>
        <v>1886381.9965149998</v>
      </c>
      <c r="E145" s="11" t="str">
        <f t="shared" si="20"/>
        <v>19/20</v>
      </c>
      <c r="F145" s="11" t="str">
        <f t="shared" si="21"/>
        <v>Sep</v>
      </c>
      <c r="G145" s="11" t="str">
        <f t="shared" si="22"/>
        <v>Sep'19/20</v>
      </c>
      <c r="H145" s="11" t="str">
        <f t="shared" si="15"/>
        <v>Sep'19/20</v>
      </c>
      <c r="I145" s="11">
        <f t="shared" si="16"/>
        <v>26.244950029831667</v>
      </c>
    </row>
    <row r="146" spans="2:9" x14ac:dyDescent="0.55000000000000004">
      <c r="B146" s="11">
        <f t="shared" si="17"/>
        <v>7</v>
      </c>
      <c r="C146" s="11">
        <f t="shared" si="18"/>
        <v>1</v>
      </c>
      <c r="D146" s="12">
        <f t="shared" si="19"/>
        <v>1748592.2938416668</v>
      </c>
      <c r="E146" s="11" t="str">
        <f t="shared" si="20"/>
        <v>20/21</v>
      </c>
      <c r="F146" s="11" t="str">
        <f t="shared" si="21"/>
        <v>Oct</v>
      </c>
      <c r="G146" s="11" t="str">
        <f t="shared" si="22"/>
        <v>Oct'20/21</v>
      </c>
      <c r="H146" s="11" t="str">
        <f t="shared" si="15"/>
        <v>Oct'20/21</v>
      </c>
      <c r="I146" s="11">
        <f t="shared" si="16"/>
        <v>25.731897571926666</v>
      </c>
    </row>
    <row r="147" spans="2:9" x14ac:dyDescent="0.55000000000000004">
      <c r="B147" s="11">
        <f t="shared" si="17"/>
        <v>7</v>
      </c>
      <c r="C147" s="11">
        <f t="shared" si="18"/>
        <v>2</v>
      </c>
      <c r="D147" s="12">
        <f t="shared" si="19"/>
        <v>2097890.1375366668</v>
      </c>
      <c r="E147" s="11" t="str">
        <f t="shared" si="20"/>
        <v>20/21</v>
      </c>
      <c r="F147" s="11" t="str">
        <f t="shared" si="21"/>
        <v>Nov</v>
      </c>
      <c r="G147" s="11" t="str">
        <f t="shared" si="22"/>
        <v>Nov'20/21</v>
      </c>
      <c r="H147" s="11" t="str">
        <f t="shared" si="15"/>
        <v>Nov'20/21</v>
      </c>
      <c r="I147" s="11">
        <f t="shared" si="16"/>
        <v>25.668447976159996</v>
      </c>
    </row>
    <row r="148" spans="2:9" x14ac:dyDescent="0.55000000000000004">
      <c r="B148" s="11">
        <f t="shared" si="17"/>
        <v>7</v>
      </c>
      <c r="C148" s="11">
        <f t="shared" si="18"/>
        <v>3</v>
      </c>
      <c r="D148" s="12">
        <f t="shared" si="19"/>
        <v>2158408.0132750003</v>
      </c>
      <c r="E148" s="11" t="str">
        <f t="shared" si="20"/>
        <v>20/21</v>
      </c>
      <c r="F148" s="11" t="str">
        <f t="shared" si="21"/>
        <v>Dec</v>
      </c>
      <c r="G148" s="11" t="str">
        <f t="shared" si="22"/>
        <v>Dec'20/21</v>
      </c>
      <c r="H148" s="11" t="str">
        <f t="shared" si="15"/>
        <v>Dec'20/21</v>
      </c>
      <c r="I148" s="11">
        <f t="shared" si="16"/>
        <v>25.303515977561666</v>
      </c>
    </row>
    <row r="149" spans="2:9" x14ac:dyDescent="0.55000000000000004">
      <c r="B149" s="11">
        <f t="shared" si="17"/>
        <v>7</v>
      </c>
      <c r="C149" s="11">
        <f t="shared" si="18"/>
        <v>4</v>
      </c>
      <c r="D149" s="12">
        <f t="shared" si="19"/>
        <v>1906638.5599866668</v>
      </c>
      <c r="E149" s="11" t="str">
        <f t="shared" si="20"/>
        <v>20/21</v>
      </c>
      <c r="F149" s="11" t="str">
        <f t="shared" si="21"/>
        <v>Jan</v>
      </c>
      <c r="G149" s="11" t="str">
        <f t="shared" si="22"/>
        <v>Jan'20/21</v>
      </c>
      <c r="H149" s="11" t="str">
        <f t="shared" si="15"/>
        <v>Jan'20/21</v>
      </c>
      <c r="I149" s="11">
        <f t="shared" si="16"/>
        <v>24.990871307338335</v>
      </c>
    </row>
    <row r="150" spans="2:9" x14ac:dyDescent="0.55000000000000004">
      <c r="B150" s="11">
        <f t="shared" si="17"/>
        <v>7</v>
      </c>
      <c r="C150" s="11">
        <f t="shared" si="18"/>
        <v>5</v>
      </c>
      <c r="D150" s="12">
        <f t="shared" si="19"/>
        <v>2254061.2135883332</v>
      </c>
      <c r="E150" s="11" t="str">
        <f t="shared" si="20"/>
        <v>20/21</v>
      </c>
      <c r="F150" s="11" t="str">
        <f t="shared" si="21"/>
        <v>Feb</v>
      </c>
      <c r="G150" s="11" t="str">
        <f t="shared" si="22"/>
        <v>Feb'20/21</v>
      </c>
      <c r="H150" s="11" t="str">
        <f t="shared" ref="H150:H213" si="23">G150</f>
        <v>Feb'20/21</v>
      </c>
      <c r="I150" s="11">
        <f t="shared" ref="I150:I213" si="24">SUM(D139:D150)/1000000</f>
        <v>25.010731969883334</v>
      </c>
    </row>
    <row r="151" spans="2:9" x14ac:dyDescent="0.55000000000000004">
      <c r="B151" s="11">
        <f t="shared" ref="B151:B214" si="25">B139+1</f>
        <v>7</v>
      </c>
      <c r="C151" s="11">
        <f t="shared" ref="C151:C214" si="26">C139</f>
        <v>6</v>
      </c>
      <c r="D151" s="12">
        <f t="shared" si="19"/>
        <v>2419011.2646949999</v>
      </c>
      <c r="E151" s="11" t="str">
        <f t="shared" si="20"/>
        <v>20/21</v>
      </c>
      <c r="F151" s="11" t="str">
        <f t="shared" si="21"/>
        <v>Mar</v>
      </c>
      <c r="G151" s="11" t="str">
        <f t="shared" si="22"/>
        <v>Mar'20/21</v>
      </c>
      <c r="H151" s="11" t="str">
        <f t="shared" si="23"/>
        <v>Mar'20/21</v>
      </c>
      <c r="I151" s="11">
        <f t="shared" si="24"/>
        <v>25.226950713503335</v>
      </c>
    </row>
    <row r="152" spans="2:9" x14ac:dyDescent="0.55000000000000004">
      <c r="B152" s="11">
        <f t="shared" si="25"/>
        <v>7</v>
      </c>
      <c r="C152" s="11">
        <f t="shared" si="26"/>
        <v>7</v>
      </c>
      <c r="D152" s="12">
        <f t="shared" si="19"/>
        <v>2367595.3871300002</v>
      </c>
      <c r="E152" s="11" t="str">
        <f t="shared" si="20"/>
        <v>20/21</v>
      </c>
      <c r="F152" s="11" t="str">
        <f t="shared" si="21"/>
        <v>Apr</v>
      </c>
      <c r="G152" s="11" t="str">
        <f t="shared" si="22"/>
        <v>Apr'20/21</v>
      </c>
      <c r="H152" s="11" t="str">
        <f t="shared" si="23"/>
        <v>Apr'20/21</v>
      </c>
      <c r="I152" s="11">
        <f t="shared" si="24"/>
        <v>25.792276238983334</v>
      </c>
    </row>
    <row r="153" spans="2:9" x14ac:dyDescent="0.55000000000000004">
      <c r="B153" s="11">
        <f t="shared" si="25"/>
        <v>7</v>
      </c>
      <c r="C153" s="11">
        <f t="shared" si="26"/>
        <v>8</v>
      </c>
      <c r="D153" s="12">
        <f t="shared" si="19"/>
        <v>2371636.469875</v>
      </c>
      <c r="E153" s="11" t="str">
        <f t="shared" si="20"/>
        <v>20/21</v>
      </c>
      <c r="F153" s="11" t="str">
        <f t="shared" si="21"/>
        <v>May</v>
      </c>
      <c r="G153" s="11" t="str">
        <f t="shared" si="22"/>
        <v>May'20/21</v>
      </c>
      <c r="H153" s="11" t="str">
        <f t="shared" si="23"/>
        <v>May'20/21</v>
      </c>
      <c r="I153" s="11">
        <f t="shared" si="24"/>
        <v>25.930457106025003</v>
      </c>
    </row>
    <row r="154" spans="2:9" x14ac:dyDescent="0.55000000000000004">
      <c r="B154" s="11">
        <f t="shared" si="25"/>
        <v>7</v>
      </c>
      <c r="C154" s="11">
        <f t="shared" si="26"/>
        <v>9</v>
      </c>
      <c r="D154" s="12">
        <f t="shared" si="19"/>
        <v>2524815.4729350004</v>
      </c>
      <c r="E154" s="11" t="str">
        <f t="shared" si="20"/>
        <v>20/21</v>
      </c>
      <c r="F154" s="11" t="str">
        <f t="shared" si="21"/>
        <v>Jun</v>
      </c>
      <c r="G154" s="11" t="str">
        <f t="shared" si="22"/>
        <v>Jun'20/21</v>
      </c>
      <c r="H154" s="11" t="str">
        <f t="shared" si="23"/>
        <v>Jun'20/21</v>
      </c>
      <c r="I154" s="11">
        <f t="shared" si="24"/>
        <v>26.060198529118328</v>
      </c>
    </row>
    <row r="155" spans="2:9" x14ac:dyDescent="0.55000000000000004">
      <c r="B155" s="11">
        <f t="shared" si="25"/>
        <v>7</v>
      </c>
      <c r="C155" s="11">
        <f t="shared" si="26"/>
        <v>10</v>
      </c>
      <c r="D155" s="12">
        <f t="shared" si="19"/>
        <v>2698654.7364683333</v>
      </c>
      <c r="E155" s="11" t="str">
        <f t="shared" si="20"/>
        <v>20/21</v>
      </c>
      <c r="F155" s="11" t="str">
        <f t="shared" si="21"/>
        <v>Jul</v>
      </c>
      <c r="G155" s="11" t="str">
        <f t="shared" si="22"/>
        <v>Jul'20/21</v>
      </c>
      <c r="H155" s="11" t="str">
        <f t="shared" si="23"/>
        <v>Jul'20/21</v>
      </c>
      <c r="I155" s="11">
        <f t="shared" si="24"/>
        <v>26.570938985886666</v>
      </c>
    </row>
    <row r="156" spans="2:9" x14ac:dyDescent="0.55000000000000004">
      <c r="B156" s="11">
        <f t="shared" si="25"/>
        <v>7</v>
      </c>
      <c r="C156" s="11">
        <f t="shared" si="26"/>
        <v>11</v>
      </c>
      <c r="D156" s="12">
        <f t="shared" si="19"/>
        <v>2374928.242496667</v>
      </c>
      <c r="E156" s="11" t="str">
        <f t="shared" si="20"/>
        <v>20/21</v>
      </c>
      <c r="F156" s="11" t="str">
        <f t="shared" si="21"/>
        <v>Aug</v>
      </c>
      <c r="G156" s="11" t="str">
        <f t="shared" si="22"/>
        <v>Aug'20/21</v>
      </c>
      <c r="H156" s="11" t="str">
        <f t="shared" si="23"/>
        <v>Aug'20/21</v>
      </c>
      <c r="I156" s="11">
        <f t="shared" si="24"/>
        <v>26.808613788343333</v>
      </c>
    </row>
    <row r="157" spans="2:9" x14ac:dyDescent="0.55000000000000004">
      <c r="B157" s="11">
        <f t="shared" si="25"/>
        <v>7</v>
      </c>
      <c r="C157" s="11">
        <f t="shared" si="26"/>
        <v>12</v>
      </c>
      <c r="D157" s="12">
        <f t="shared" si="19"/>
        <v>2337093.8482816666</v>
      </c>
      <c r="E157" s="11" t="str">
        <f t="shared" si="20"/>
        <v>20/21</v>
      </c>
      <c r="F157" s="11" t="str">
        <f t="shared" si="21"/>
        <v>Sep</v>
      </c>
      <c r="G157" s="11" t="str">
        <f t="shared" si="22"/>
        <v>Sep'20/21</v>
      </c>
      <c r="H157" s="11" t="str">
        <f t="shared" si="23"/>
        <v>Sep'20/21</v>
      </c>
      <c r="I157" s="11">
        <f t="shared" si="24"/>
        <v>27.259325640109999</v>
      </c>
    </row>
    <row r="158" spans="2:9" x14ac:dyDescent="0.55000000000000004">
      <c r="B158" s="11">
        <f t="shared" si="25"/>
        <v>8</v>
      </c>
      <c r="C158" s="11">
        <f t="shared" si="26"/>
        <v>1</v>
      </c>
      <c r="D158" s="12">
        <f t="shared" si="19"/>
        <v>2006375.9702233337</v>
      </c>
      <c r="E158" s="11" t="str">
        <f t="shared" si="20"/>
        <v>21/22</v>
      </c>
      <c r="F158" s="11" t="str">
        <f t="shared" si="21"/>
        <v>Oct</v>
      </c>
      <c r="G158" s="11" t="str">
        <f t="shared" si="22"/>
        <v>Oct'21/22</v>
      </c>
      <c r="H158" s="11" t="str">
        <f t="shared" si="23"/>
        <v>Oct'21/22</v>
      </c>
      <c r="I158" s="11">
        <f t="shared" si="24"/>
        <v>27.517109316491666</v>
      </c>
    </row>
    <row r="159" spans="2:9" x14ac:dyDescent="0.55000000000000004">
      <c r="B159" s="11">
        <f t="shared" si="25"/>
        <v>8</v>
      </c>
      <c r="C159" s="11">
        <f t="shared" si="26"/>
        <v>2</v>
      </c>
      <c r="D159" s="12">
        <f t="shared" si="19"/>
        <v>2203091.8349449998</v>
      </c>
      <c r="E159" s="11" t="str">
        <f t="shared" si="20"/>
        <v>21/22</v>
      </c>
      <c r="F159" s="11" t="str">
        <f t="shared" si="21"/>
        <v>Nov</v>
      </c>
      <c r="G159" s="11" t="str">
        <f t="shared" si="22"/>
        <v>Nov'21/22</v>
      </c>
      <c r="H159" s="11" t="str">
        <f t="shared" si="23"/>
        <v>Nov'21/22</v>
      </c>
      <c r="I159" s="11">
        <f t="shared" si="24"/>
        <v>27.622311013899999</v>
      </c>
    </row>
    <row r="160" spans="2:9" x14ac:dyDescent="0.55000000000000004">
      <c r="B160" s="11">
        <f t="shared" si="25"/>
        <v>8</v>
      </c>
      <c r="C160" s="11">
        <f t="shared" si="26"/>
        <v>3</v>
      </c>
      <c r="D160" s="12">
        <f t="shared" si="19"/>
        <v>2377227.47425</v>
      </c>
      <c r="E160" s="11" t="str">
        <f t="shared" si="20"/>
        <v>21/22</v>
      </c>
      <c r="F160" s="11" t="str">
        <f t="shared" si="21"/>
        <v>Dec</v>
      </c>
      <c r="G160" s="11" t="str">
        <f t="shared" si="22"/>
        <v>Dec'21/22</v>
      </c>
      <c r="H160" s="11" t="str">
        <f t="shared" si="23"/>
        <v>Dec'21/22</v>
      </c>
      <c r="I160" s="11">
        <f t="shared" si="24"/>
        <v>27.841130474875005</v>
      </c>
    </row>
    <row r="161" spans="2:9" x14ac:dyDescent="0.55000000000000004">
      <c r="B161" s="11">
        <f t="shared" si="25"/>
        <v>8</v>
      </c>
      <c r="C161" s="11">
        <f t="shared" si="26"/>
        <v>4</v>
      </c>
      <c r="D161" s="12">
        <f t="shared" si="19"/>
        <v>2282667.80761</v>
      </c>
      <c r="E161" s="11" t="str">
        <f t="shared" si="20"/>
        <v>21/22</v>
      </c>
      <c r="F161" s="11" t="str">
        <f t="shared" si="21"/>
        <v>Jan</v>
      </c>
      <c r="G161" s="11" t="str">
        <f t="shared" si="22"/>
        <v>Jan'21/22</v>
      </c>
      <c r="H161" s="11" t="str">
        <f t="shared" si="23"/>
        <v>Jan'21/22</v>
      </c>
      <c r="I161" s="11">
        <f t="shared" si="24"/>
        <v>28.217159722498334</v>
      </c>
    </row>
    <row r="162" spans="2:9" x14ac:dyDescent="0.55000000000000004">
      <c r="B162" s="11">
        <f t="shared" si="25"/>
        <v>8</v>
      </c>
      <c r="C162" s="11">
        <f t="shared" si="26"/>
        <v>5</v>
      </c>
      <c r="D162" s="12">
        <f t="shared" si="19"/>
        <v>2215057.5139183337</v>
      </c>
      <c r="E162" s="11" t="str">
        <f t="shared" si="20"/>
        <v>21/22</v>
      </c>
      <c r="F162" s="11" t="str">
        <f t="shared" si="21"/>
        <v>Feb</v>
      </c>
      <c r="G162" s="11" t="str">
        <f t="shared" si="22"/>
        <v>Feb'21/22</v>
      </c>
      <c r="H162" s="11" t="str">
        <f t="shared" si="23"/>
        <v>Feb'21/22</v>
      </c>
      <c r="I162" s="11">
        <f t="shared" si="24"/>
        <v>28.178156022828336</v>
      </c>
    </row>
    <row r="163" spans="2:9" x14ac:dyDescent="0.55000000000000004">
      <c r="B163" s="11">
        <f t="shared" si="25"/>
        <v>8</v>
      </c>
      <c r="C163" s="11">
        <f t="shared" si="26"/>
        <v>6</v>
      </c>
      <c r="D163" s="12">
        <f t="shared" si="19"/>
        <v>2578395.6913516666</v>
      </c>
      <c r="E163" s="11" t="str">
        <f t="shared" si="20"/>
        <v>21/22</v>
      </c>
      <c r="F163" s="11" t="str">
        <f t="shared" si="21"/>
        <v>Mar</v>
      </c>
      <c r="G163" s="11" t="str">
        <f t="shared" si="22"/>
        <v>Mar'21/22</v>
      </c>
      <c r="H163" s="11" t="str">
        <f t="shared" si="23"/>
        <v>Mar'21/22</v>
      </c>
      <c r="I163" s="11">
        <f t="shared" si="24"/>
        <v>28.337540449485005</v>
      </c>
    </row>
    <row r="164" spans="2:9" x14ac:dyDescent="0.55000000000000004">
      <c r="B164" s="11">
        <f t="shared" si="25"/>
        <v>8</v>
      </c>
      <c r="C164" s="11">
        <f t="shared" si="26"/>
        <v>7</v>
      </c>
      <c r="D164" s="12">
        <f t="shared" si="19"/>
        <v>1988182.8075166666</v>
      </c>
      <c r="E164" s="11" t="str">
        <f t="shared" si="20"/>
        <v>21/22</v>
      </c>
      <c r="F164" s="11" t="str">
        <f t="shared" si="21"/>
        <v>Apr</v>
      </c>
      <c r="G164" s="11" t="str">
        <f t="shared" si="22"/>
        <v>Apr'21/22</v>
      </c>
      <c r="H164" s="11" t="str">
        <f t="shared" si="23"/>
        <v>Apr'21/22</v>
      </c>
      <c r="I164" s="11">
        <f t="shared" si="24"/>
        <v>27.958127869871671</v>
      </c>
    </row>
    <row r="165" spans="2:9" x14ac:dyDescent="0.55000000000000004">
      <c r="B165" s="11">
        <f t="shared" si="25"/>
        <v>8</v>
      </c>
      <c r="C165" s="11">
        <f t="shared" si="26"/>
        <v>8</v>
      </c>
      <c r="D165" s="12">
        <f t="shared" si="19"/>
        <v>2085350.4998600001</v>
      </c>
      <c r="E165" s="11" t="str">
        <f t="shared" si="20"/>
        <v>21/22</v>
      </c>
      <c r="F165" s="11" t="str">
        <f t="shared" si="21"/>
        <v>May</v>
      </c>
      <c r="G165" s="11" t="str">
        <f t="shared" si="22"/>
        <v>May'21/22</v>
      </c>
      <c r="H165" s="11" t="str">
        <f t="shared" si="23"/>
        <v>May'21/22</v>
      </c>
      <c r="I165" s="11">
        <f t="shared" si="24"/>
        <v>27.671841899856673</v>
      </c>
    </row>
    <row r="166" spans="2:9" x14ac:dyDescent="0.55000000000000004">
      <c r="B166" s="11">
        <f t="shared" si="25"/>
        <v>8</v>
      </c>
      <c r="C166" s="11">
        <f t="shared" si="26"/>
        <v>9</v>
      </c>
      <c r="D166" s="12">
        <f t="shared" si="19"/>
        <v>2298817.0806333334</v>
      </c>
      <c r="E166" s="11" t="str">
        <f t="shared" si="20"/>
        <v>21/22</v>
      </c>
      <c r="F166" s="11" t="str">
        <f t="shared" si="21"/>
        <v>Jun</v>
      </c>
      <c r="G166" s="11" t="str">
        <f t="shared" si="22"/>
        <v>Jun'21/22</v>
      </c>
      <c r="H166" s="11" t="str">
        <f t="shared" si="23"/>
        <v>Jun'21/22</v>
      </c>
      <c r="I166" s="11">
        <f t="shared" si="24"/>
        <v>27.445843507555004</v>
      </c>
    </row>
    <row r="167" spans="2:9" x14ac:dyDescent="0.55000000000000004">
      <c r="B167" s="11">
        <f t="shared" si="25"/>
        <v>8</v>
      </c>
      <c r="C167" s="11">
        <f t="shared" si="26"/>
        <v>10</v>
      </c>
      <c r="D167" s="12">
        <f t="shared" si="19"/>
        <v>2362463.1177300001</v>
      </c>
      <c r="E167" s="11" t="str">
        <f t="shared" si="20"/>
        <v>21/22</v>
      </c>
      <c r="F167" s="11" t="str">
        <f t="shared" si="21"/>
        <v>Jul</v>
      </c>
      <c r="G167" s="11" t="str">
        <f t="shared" si="22"/>
        <v>Jul'21/22</v>
      </c>
      <c r="H167" s="11" t="str">
        <f t="shared" si="23"/>
        <v>Jul'21/22</v>
      </c>
      <c r="I167" s="11">
        <f t="shared" si="24"/>
        <v>27.109651888816671</v>
      </c>
    </row>
    <row r="168" spans="2:9" x14ac:dyDescent="0.55000000000000004">
      <c r="B168" s="11">
        <f t="shared" si="25"/>
        <v>8</v>
      </c>
      <c r="C168" s="11">
        <f t="shared" si="26"/>
        <v>11</v>
      </c>
      <c r="D168" s="12">
        <f t="shared" si="19"/>
        <v>2091912.9705666667</v>
      </c>
      <c r="E168" s="11" t="str">
        <f t="shared" si="20"/>
        <v>21/22</v>
      </c>
      <c r="F168" s="11" t="str">
        <f t="shared" si="21"/>
        <v>Aug</v>
      </c>
      <c r="G168" s="11" t="str">
        <f t="shared" si="22"/>
        <v>Aug'21/22</v>
      </c>
      <c r="H168" s="11" t="str">
        <f t="shared" si="23"/>
        <v>Aug'21/22</v>
      </c>
      <c r="I168" s="11">
        <f t="shared" si="24"/>
        <v>26.82663661688667</v>
      </c>
    </row>
    <row r="169" spans="2:9" x14ac:dyDescent="0.55000000000000004">
      <c r="B169" s="11">
        <f t="shared" si="25"/>
        <v>8</v>
      </c>
      <c r="C169" s="11">
        <f t="shared" si="26"/>
        <v>12</v>
      </c>
      <c r="D169" s="12">
        <f t="shared" si="19"/>
        <v>1923058.4248883333</v>
      </c>
      <c r="E169" s="11" t="str">
        <f t="shared" si="20"/>
        <v>21/22</v>
      </c>
      <c r="F169" s="11" t="str">
        <f t="shared" si="21"/>
        <v>Sep</v>
      </c>
      <c r="G169" s="11" t="str">
        <f t="shared" si="22"/>
        <v>Sep'21/22</v>
      </c>
      <c r="H169" s="11" t="str">
        <f t="shared" si="23"/>
        <v>Sep'21/22</v>
      </c>
      <c r="I169" s="11">
        <f t="shared" si="24"/>
        <v>26.412601193493337</v>
      </c>
    </row>
    <row r="170" spans="2:9" x14ac:dyDescent="0.55000000000000004">
      <c r="B170" s="11">
        <f t="shared" si="25"/>
        <v>9</v>
      </c>
      <c r="C170" s="11">
        <f t="shared" si="26"/>
        <v>1</v>
      </c>
      <c r="D170" s="12">
        <f t="shared" si="19"/>
        <v>1879366.2833150001</v>
      </c>
      <c r="E170" s="11" t="str">
        <f t="shared" si="20"/>
        <v>22/23</v>
      </c>
      <c r="F170" s="11" t="str">
        <f t="shared" si="21"/>
        <v>Oct</v>
      </c>
      <c r="G170" s="11" t="str">
        <f t="shared" si="22"/>
        <v>Oct'22/23</v>
      </c>
      <c r="H170" s="11" t="str">
        <f t="shared" si="23"/>
        <v>Oct'22/23</v>
      </c>
      <c r="I170" s="11">
        <f t="shared" si="24"/>
        <v>26.285591506585</v>
      </c>
    </row>
    <row r="171" spans="2:9" x14ac:dyDescent="0.55000000000000004">
      <c r="B171" s="11">
        <f t="shared" si="25"/>
        <v>9</v>
      </c>
      <c r="C171" s="11">
        <f t="shared" si="26"/>
        <v>2</v>
      </c>
      <c r="D171" s="12">
        <f t="shared" si="19"/>
        <v>1625384.9537966668</v>
      </c>
      <c r="E171" s="11" t="str">
        <f t="shared" si="20"/>
        <v>22/23</v>
      </c>
      <c r="F171" s="11" t="str">
        <f t="shared" si="21"/>
        <v>Nov</v>
      </c>
      <c r="G171" s="11" t="str">
        <f t="shared" si="22"/>
        <v>Nov'22/23</v>
      </c>
      <c r="H171" s="11" t="str">
        <f t="shared" si="23"/>
        <v>Nov'22/23</v>
      </c>
      <c r="I171" s="11">
        <f t="shared" si="24"/>
        <v>25.707884625436662</v>
      </c>
    </row>
    <row r="172" spans="2:9" x14ac:dyDescent="0.55000000000000004">
      <c r="B172" s="11">
        <f t="shared" si="25"/>
        <v>9</v>
      </c>
      <c r="C172" s="11">
        <f t="shared" si="26"/>
        <v>3</v>
      </c>
      <c r="D172" s="12">
        <f t="shared" si="19"/>
        <v>1737273.2632366666</v>
      </c>
      <c r="E172" s="11" t="str">
        <f t="shared" si="20"/>
        <v>22/23</v>
      </c>
      <c r="F172" s="11" t="str">
        <f t="shared" si="21"/>
        <v>Dec</v>
      </c>
      <c r="G172" s="11" t="str">
        <f t="shared" si="22"/>
        <v>Dec'22/23</v>
      </c>
      <c r="H172" s="11" t="str">
        <f t="shared" si="23"/>
        <v>Dec'22/23</v>
      </c>
      <c r="I172" s="11">
        <f t="shared" si="24"/>
        <v>25.067930414423337</v>
      </c>
    </row>
    <row r="173" spans="2:9" x14ac:dyDescent="0.55000000000000004">
      <c r="B173" s="11">
        <f t="shared" si="25"/>
        <v>9</v>
      </c>
      <c r="C173" s="11">
        <f t="shared" si="26"/>
        <v>4</v>
      </c>
      <c r="D173" s="12">
        <f t="shared" si="19"/>
        <v>1703899.0670533334</v>
      </c>
      <c r="E173" s="11" t="str">
        <f t="shared" si="20"/>
        <v>22/23</v>
      </c>
      <c r="F173" s="11" t="str">
        <f t="shared" si="21"/>
        <v>Jan</v>
      </c>
      <c r="G173" s="11" t="str">
        <f t="shared" si="22"/>
        <v>Jan'22/23</v>
      </c>
      <c r="H173" s="11" t="str">
        <f t="shared" si="23"/>
        <v>Jan'22/23</v>
      </c>
      <c r="I173" s="11">
        <f t="shared" si="24"/>
        <v>24.489161673866665</v>
      </c>
    </row>
    <row r="174" spans="2:9" x14ac:dyDescent="0.55000000000000004">
      <c r="B174" s="11">
        <f t="shared" si="25"/>
        <v>9</v>
      </c>
      <c r="C174" s="11">
        <f t="shared" si="26"/>
        <v>5</v>
      </c>
      <c r="D174" s="12">
        <f t="shared" si="19"/>
        <v>1828239.0278200002</v>
      </c>
      <c r="E174" s="11" t="str">
        <f t="shared" si="20"/>
        <v>22/23</v>
      </c>
      <c r="F174" s="11" t="str">
        <f t="shared" si="21"/>
        <v>Feb</v>
      </c>
      <c r="G174" s="11" t="str">
        <f t="shared" si="22"/>
        <v>Feb'22/23</v>
      </c>
      <c r="H174" s="11" t="str">
        <f t="shared" si="23"/>
        <v>Feb'22/23</v>
      </c>
      <c r="I174" s="11">
        <f t="shared" si="24"/>
        <v>24.102343187768334</v>
      </c>
    </row>
    <row r="175" spans="2:9" x14ac:dyDescent="0.55000000000000004">
      <c r="B175" s="11">
        <f t="shared" si="25"/>
        <v>9</v>
      </c>
      <c r="C175" s="11">
        <f t="shared" si="26"/>
        <v>6</v>
      </c>
      <c r="D175" s="12">
        <f t="shared" si="19"/>
        <v>1943106.6759916667</v>
      </c>
      <c r="E175" s="11" t="str">
        <f t="shared" si="20"/>
        <v>22/23</v>
      </c>
      <c r="F175" s="11" t="str">
        <f t="shared" si="21"/>
        <v>Mar</v>
      </c>
      <c r="G175" s="11" t="str">
        <f t="shared" si="22"/>
        <v>Mar'22/23</v>
      </c>
      <c r="H175" s="11" t="str">
        <f t="shared" si="23"/>
        <v>Mar'22/23</v>
      </c>
      <c r="I175" s="11">
        <f t="shared" si="24"/>
        <v>23.467054172408336</v>
      </c>
    </row>
    <row r="176" spans="2:9" x14ac:dyDescent="0.55000000000000004">
      <c r="B176" s="11">
        <f t="shared" si="25"/>
        <v>9</v>
      </c>
      <c r="C176" s="11">
        <f t="shared" si="26"/>
        <v>7</v>
      </c>
      <c r="D176" s="12">
        <f t="shared" si="19"/>
        <v>1850916.520365</v>
      </c>
      <c r="E176" s="11" t="str">
        <f t="shared" si="20"/>
        <v>22/23</v>
      </c>
      <c r="F176" s="11" t="str">
        <f t="shared" si="21"/>
        <v>Apr</v>
      </c>
      <c r="G176" s="11" t="str">
        <f t="shared" si="22"/>
        <v>Apr'22/23</v>
      </c>
      <c r="H176" s="11" t="str">
        <f t="shared" si="23"/>
        <v>Apr'22/23</v>
      </c>
      <c r="I176" s="11">
        <f t="shared" si="24"/>
        <v>23.329787885256668</v>
      </c>
    </row>
    <row r="177" spans="2:9" x14ac:dyDescent="0.55000000000000004">
      <c r="B177" s="11">
        <f t="shared" si="25"/>
        <v>9</v>
      </c>
      <c r="C177" s="11">
        <f t="shared" si="26"/>
        <v>8</v>
      </c>
      <c r="D177" s="12">
        <f t="shared" si="19"/>
        <v>2210287.5964966668</v>
      </c>
      <c r="E177" s="11" t="str">
        <f t="shared" si="20"/>
        <v>22/23</v>
      </c>
      <c r="F177" s="11" t="str">
        <f t="shared" si="21"/>
        <v>May</v>
      </c>
      <c r="G177" s="11" t="str">
        <f t="shared" si="22"/>
        <v>May'22/23</v>
      </c>
      <c r="H177" s="11" t="str">
        <f t="shared" si="23"/>
        <v>May'22/23</v>
      </c>
      <c r="I177" s="11">
        <f t="shared" si="24"/>
        <v>23.454724981893332</v>
      </c>
    </row>
    <row r="178" spans="2:9" x14ac:dyDescent="0.55000000000000004">
      <c r="B178" s="11">
        <f t="shared" si="25"/>
        <v>9</v>
      </c>
      <c r="C178" s="11">
        <f t="shared" si="26"/>
        <v>9</v>
      </c>
      <c r="D178" s="12">
        <f t="shared" si="19"/>
        <v>2032559.1231966666</v>
      </c>
      <c r="E178" s="11" t="str">
        <f t="shared" si="20"/>
        <v>22/23</v>
      </c>
      <c r="F178" s="11" t="str">
        <f t="shared" si="21"/>
        <v>Jun</v>
      </c>
      <c r="G178" s="11" t="str">
        <f t="shared" si="22"/>
        <v>Jun'22/23</v>
      </c>
      <c r="H178" s="11" t="str">
        <f t="shared" si="23"/>
        <v>Jun'22/23</v>
      </c>
      <c r="I178" s="11">
        <f t="shared" si="24"/>
        <v>23.188467024456664</v>
      </c>
    </row>
    <row r="179" spans="2:9" x14ac:dyDescent="0.55000000000000004">
      <c r="B179" s="11">
        <f t="shared" si="25"/>
        <v>9</v>
      </c>
      <c r="C179" s="11">
        <f t="shared" si="26"/>
        <v>10</v>
      </c>
      <c r="D179" s="12">
        <f t="shared" si="19"/>
        <v>2099317.1414516666</v>
      </c>
      <c r="E179" s="11" t="str">
        <f t="shared" si="20"/>
        <v>22/23</v>
      </c>
      <c r="F179" s="11" t="str">
        <f t="shared" si="21"/>
        <v>Jul</v>
      </c>
      <c r="G179" s="11" t="str">
        <f t="shared" si="22"/>
        <v>Jul'22/23</v>
      </c>
      <c r="H179" s="11" t="str">
        <f t="shared" si="23"/>
        <v>Jul'22/23</v>
      </c>
      <c r="I179" s="11">
        <f t="shared" si="24"/>
        <v>22.925321048178333</v>
      </c>
    </row>
    <row r="180" spans="2:9" x14ac:dyDescent="0.55000000000000004">
      <c r="B180" s="11">
        <f t="shared" si="25"/>
        <v>9</v>
      </c>
      <c r="C180" s="11">
        <f t="shared" si="26"/>
        <v>11</v>
      </c>
      <c r="D180" s="12">
        <f t="shared" si="19"/>
        <v>2059977.230816667</v>
      </c>
      <c r="E180" s="11" t="str">
        <f t="shared" si="20"/>
        <v>22/23</v>
      </c>
      <c r="F180" s="11" t="str">
        <f t="shared" si="21"/>
        <v>Aug</v>
      </c>
      <c r="G180" s="11" t="str">
        <f t="shared" si="22"/>
        <v>Aug'22/23</v>
      </c>
      <c r="H180" s="11" t="str">
        <f t="shared" si="23"/>
        <v>Aug'22/23</v>
      </c>
      <c r="I180" s="11">
        <f t="shared" si="24"/>
        <v>22.893385308428332</v>
      </c>
    </row>
    <row r="181" spans="2:9" x14ac:dyDescent="0.55000000000000004">
      <c r="B181" s="11">
        <f t="shared" si="25"/>
        <v>9</v>
      </c>
      <c r="C181" s="11">
        <f t="shared" si="26"/>
        <v>12</v>
      </c>
      <c r="D181" s="12">
        <f t="shared" si="19"/>
        <v>1909436.9008750003</v>
      </c>
      <c r="E181" s="11" t="str">
        <f t="shared" si="20"/>
        <v>22/23</v>
      </c>
      <c r="F181" s="11" t="str">
        <f t="shared" si="21"/>
        <v>Sep</v>
      </c>
      <c r="G181" s="11" t="str">
        <f t="shared" si="22"/>
        <v>Sep'22/23</v>
      </c>
      <c r="H181" s="11" t="str">
        <f t="shared" si="23"/>
        <v>Sep'22/23</v>
      </c>
      <c r="I181" s="11">
        <f t="shared" si="24"/>
        <v>22.879763784414997</v>
      </c>
    </row>
    <row r="182" spans="2:9" x14ac:dyDescent="0.55000000000000004">
      <c r="B182" s="11">
        <f t="shared" si="25"/>
        <v>10</v>
      </c>
      <c r="C182" s="11">
        <f t="shared" si="26"/>
        <v>1</v>
      </c>
      <c r="D182" s="12">
        <f t="shared" si="19"/>
        <v>1911974.0415766668</v>
      </c>
      <c r="E182" s="11" t="str">
        <f t="shared" si="20"/>
        <v>23/24</v>
      </c>
      <c r="F182" s="11" t="str">
        <f t="shared" si="21"/>
        <v>Oct</v>
      </c>
      <c r="G182" s="11" t="str">
        <f t="shared" si="22"/>
        <v>Oct'23/24</v>
      </c>
      <c r="H182" s="11" t="str">
        <f t="shared" si="23"/>
        <v>Oct'23/24</v>
      </c>
      <c r="I182" s="11">
        <f t="shared" si="24"/>
        <v>22.912371542676674</v>
      </c>
    </row>
    <row r="183" spans="2:9" x14ac:dyDescent="0.55000000000000004">
      <c r="B183" s="11">
        <f t="shared" si="25"/>
        <v>10</v>
      </c>
      <c r="C183" s="11">
        <f t="shared" si="26"/>
        <v>2</v>
      </c>
      <c r="D183" s="12">
        <f t="shared" si="19"/>
        <v>2066509.8298266665</v>
      </c>
      <c r="E183" s="11" t="str">
        <f t="shared" si="20"/>
        <v>23/24</v>
      </c>
      <c r="F183" s="11" t="str">
        <f t="shared" si="21"/>
        <v>Nov</v>
      </c>
      <c r="G183" s="11" t="str">
        <f t="shared" si="22"/>
        <v>Nov'23/24</v>
      </c>
      <c r="H183" s="11" t="str">
        <f t="shared" si="23"/>
        <v>Nov'23/24</v>
      </c>
      <c r="I183" s="11">
        <f t="shared" si="24"/>
        <v>23.353496418706669</v>
      </c>
    </row>
    <row r="184" spans="2:9" x14ac:dyDescent="0.55000000000000004">
      <c r="B184" s="11">
        <f t="shared" si="25"/>
        <v>10</v>
      </c>
      <c r="C184" s="11">
        <f t="shared" si="26"/>
        <v>3</v>
      </c>
      <c r="D184" s="12">
        <f t="shared" si="19"/>
        <v>2109982.2927449998</v>
      </c>
      <c r="E184" s="11" t="str">
        <f t="shared" si="20"/>
        <v>23/24</v>
      </c>
      <c r="F184" s="11" t="str">
        <f t="shared" si="21"/>
        <v>Dec</v>
      </c>
      <c r="G184" s="11" t="str">
        <f t="shared" si="22"/>
        <v>Dec'23/24</v>
      </c>
      <c r="H184" s="11" t="str">
        <f t="shared" si="23"/>
        <v>Dec'23/24</v>
      </c>
      <c r="I184" s="11">
        <f t="shared" si="24"/>
        <v>23.726205448215008</v>
      </c>
    </row>
    <row r="185" spans="2:9" x14ac:dyDescent="0.55000000000000004">
      <c r="B185" s="11">
        <f t="shared" si="25"/>
        <v>10</v>
      </c>
      <c r="C185" s="11">
        <f t="shared" si="26"/>
        <v>4</v>
      </c>
      <c r="D185" s="12">
        <f t="shared" si="19"/>
        <v>1906051.8392483336</v>
      </c>
      <c r="E185" s="11" t="str">
        <f t="shared" si="20"/>
        <v>23/24</v>
      </c>
      <c r="F185" s="11" t="str">
        <f t="shared" si="21"/>
        <v>Jan</v>
      </c>
      <c r="G185" s="11" t="str">
        <f t="shared" si="22"/>
        <v>Jan'23/24</v>
      </c>
      <c r="H185" s="11" t="str">
        <f t="shared" si="23"/>
        <v>Jan'23/24</v>
      </c>
      <c r="I185" s="11">
        <f t="shared" si="24"/>
        <v>23.928358220410001</v>
      </c>
    </row>
    <row r="186" spans="2:9" x14ac:dyDescent="0.55000000000000004">
      <c r="B186" s="11">
        <f t="shared" si="25"/>
        <v>10</v>
      </c>
      <c r="C186" s="11">
        <f t="shared" si="26"/>
        <v>5</v>
      </c>
      <c r="D186" s="12">
        <f t="shared" si="19"/>
        <v>2224914.7697383333</v>
      </c>
      <c r="E186" s="11" t="str">
        <f t="shared" si="20"/>
        <v>23/24</v>
      </c>
      <c r="F186" s="11" t="str">
        <f t="shared" si="21"/>
        <v>Feb</v>
      </c>
      <c r="G186" s="11" t="str">
        <f t="shared" si="22"/>
        <v>Feb'23/24</v>
      </c>
      <c r="H186" s="11" t="str">
        <f t="shared" si="23"/>
        <v>Feb'23/24</v>
      </c>
      <c r="I186" s="11">
        <f t="shared" si="24"/>
        <v>24.325033962328337</v>
      </c>
    </row>
    <row r="187" spans="2:9" x14ac:dyDescent="0.55000000000000004">
      <c r="B187" s="11">
        <f t="shared" si="25"/>
        <v>10</v>
      </c>
      <c r="C187" s="11">
        <f t="shared" si="26"/>
        <v>6</v>
      </c>
      <c r="D187" s="12">
        <f t="shared" si="19"/>
        <v>2276646.4839716665</v>
      </c>
      <c r="E187" s="11" t="str">
        <f t="shared" si="20"/>
        <v>23/24</v>
      </c>
      <c r="F187" s="11" t="str">
        <f t="shared" si="21"/>
        <v>Mar</v>
      </c>
      <c r="G187" s="11" t="str">
        <f t="shared" si="22"/>
        <v>Mar'23/24</v>
      </c>
      <c r="H187" s="11" t="str">
        <f t="shared" si="23"/>
        <v>Mar'23/24</v>
      </c>
      <c r="I187" s="11">
        <f t="shared" si="24"/>
        <v>24.658573770308333</v>
      </c>
    </row>
    <row r="188" spans="2:9" x14ac:dyDescent="0.55000000000000004">
      <c r="B188" s="11">
        <f t="shared" si="25"/>
        <v>10</v>
      </c>
      <c r="C188" s="11">
        <f t="shared" si="26"/>
        <v>7</v>
      </c>
      <c r="D188" s="12">
        <f t="shared" si="19"/>
        <v>2020635.4607216669</v>
      </c>
      <c r="E188" s="11" t="str">
        <f t="shared" si="20"/>
        <v>23/24</v>
      </c>
      <c r="F188" s="11" t="str">
        <f t="shared" si="21"/>
        <v>Apr</v>
      </c>
      <c r="G188" s="11" t="str">
        <f t="shared" si="22"/>
        <v>Apr'23/24</v>
      </c>
      <c r="H188" s="11" t="str">
        <f t="shared" si="23"/>
        <v>Apr'23/24</v>
      </c>
      <c r="I188" s="11">
        <f t="shared" si="24"/>
        <v>24.828292710665004</v>
      </c>
    </row>
    <row r="189" spans="2:9" x14ac:dyDescent="0.55000000000000004">
      <c r="B189" s="11">
        <f t="shared" si="25"/>
        <v>10</v>
      </c>
      <c r="C189" s="11">
        <f t="shared" si="26"/>
        <v>8</v>
      </c>
      <c r="D189" s="12">
        <f t="shared" si="19"/>
        <v>2569088.6055466668</v>
      </c>
      <c r="E189" s="11" t="str">
        <f t="shared" si="20"/>
        <v>23/24</v>
      </c>
      <c r="F189" s="11" t="str">
        <f t="shared" si="21"/>
        <v>May</v>
      </c>
      <c r="G189" s="11" t="str">
        <f t="shared" si="22"/>
        <v>May'23/24</v>
      </c>
      <c r="H189" s="11" t="str">
        <f t="shared" si="23"/>
        <v>May'23/24</v>
      </c>
      <c r="I189" s="11">
        <f t="shared" si="24"/>
        <v>25.187093719714998</v>
      </c>
    </row>
    <row r="190" spans="2:9" x14ac:dyDescent="0.55000000000000004">
      <c r="B190" s="11">
        <f t="shared" si="25"/>
        <v>10</v>
      </c>
      <c r="C190" s="11">
        <f t="shared" si="26"/>
        <v>9</v>
      </c>
      <c r="D190" s="12">
        <f t="shared" si="19"/>
        <v>2592412.0712883342</v>
      </c>
      <c r="E190" s="11" t="str">
        <f t="shared" si="20"/>
        <v>23/24</v>
      </c>
      <c r="F190" s="11" t="str">
        <f t="shared" si="21"/>
        <v>Jun</v>
      </c>
      <c r="G190" s="11" t="str">
        <f t="shared" si="22"/>
        <v>Jun'23/24</v>
      </c>
      <c r="H190" s="11" t="str">
        <f t="shared" si="23"/>
        <v>Jun'23/24</v>
      </c>
      <c r="I190" s="11">
        <f t="shared" si="24"/>
        <v>25.746946667806672</v>
      </c>
    </row>
    <row r="191" spans="2:9" x14ac:dyDescent="0.55000000000000004">
      <c r="B191" s="11">
        <f t="shared" si="25"/>
        <v>10</v>
      </c>
      <c r="C191" s="11">
        <f t="shared" si="26"/>
        <v>10</v>
      </c>
      <c r="D191" s="12">
        <f t="shared" si="19"/>
        <v>2759267.7720766668</v>
      </c>
      <c r="E191" s="11" t="str">
        <f t="shared" si="20"/>
        <v>23/24</v>
      </c>
      <c r="F191" s="11" t="str">
        <f t="shared" si="21"/>
        <v>Jul</v>
      </c>
      <c r="G191" s="11" t="str">
        <f t="shared" si="22"/>
        <v>Jul'23/24</v>
      </c>
      <c r="H191" s="11" t="str">
        <f t="shared" si="23"/>
        <v>Jul'23/24</v>
      </c>
      <c r="I191" s="11">
        <f t="shared" si="24"/>
        <v>26.406897298431673</v>
      </c>
    </row>
    <row r="192" spans="2:9" x14ac:dyDescent="0.55000000000000004">
      <c r="B192" s="11">
        <f t="shared" si="25"/>
        <v>10</v>
      </c>
      <c r="C192" s="11">
        <f t="shared" si="26"/>
        <v>11</v>
      </c>
      <c r="D192" s="12">
        <f t="shared" si="19"/>
        <v>2503321.9901583334</v>
      </c>
      <c r="E192" s="11" t="str">
        <f t="shared" si="20"/>
        <v>23/24</v>
      </c>
      <c r="F192" s="11" t="str">
        <f t="shared" si="21"/>
        <v>Aug</v>
      </c>
      <c r="G192" s="11" t="str">
        <f t="shared" si="22"/>
        <v>Aug'23/24</v>
      </c>
      <c r="H192" s="11" t="str">
        <f t="shared" si="23"/>
        <v>Aug'23/24</v>
      </c>
      <c r="I192" s="11">
        <f t="shared" si="24"/>
        <v>26.850242057773336</v>
      </c>
    </row>
    <row r="193" spans="2:9" x14ac:dyDescent="0.55000000000000004">
      <c r="B193" s="11">
        <f t="shared" si="25"/>
        <v>10</v>
      </c>
      <c r="C193" s="11">
        <f t="shared" si="26"/>
        <v>12</v>
      </c>
      <c r="D193" s="12">
        <f t="shared" si="19"/>
        <v>2495104.9397399998</v>
      </c>
      <c r="E193" s="11" t="str">
        <f t="shared" si="20"/>
        <v>23/24</v>
      </c>
      <c r="F193" s="11" t="str">
        <f t="shared" si="21"/>
        <v>Sep</v>
      </c>
      <c r="G193" s="11" t="str">
        <f t="shared" si="22"/>
        <v>Sep'23/24</v>
      </c>
      <c r="H193" s="11" t="str">
        <f t="shared" si="23"/>
        <v>Sep'23/24</v>
      </c>
      <c r="I193" s="11">
        <f t="shared" si="24"/>
        <v>27.435910096638334</v>
      </c>
    </row>
    <row r="194" spans="2:9" x14ac:dyDescent="0.55000000000000004">
      <c r="B194" s="11">
        <f t="shared" si="25"/>
        <v>11</v>
      </c>
      <c r="C194" s="11">
        <f t="shared" si="26"/>
        <v>1</v>
      </c>
      <c r="D194" s="12">
        <f t="shared" si="19"/>
        <v>2213446.2113883337</v>
      </c>
      <c r="E194" s="11" t="str">
        <f t="shared" si="20"/>
        <v>24/25</v>
      </c>
      <c r="F194" s="11" t="str">
        <f t="shared" si="21"/>
        <v>Oct</v>
      </c>
      <c r="G194" s="11" t="str">
        <f t="shared" si="22"/>
        <v>Oct'24/25</v>
      </c>
      <c r="H194" s="11" t="str">
        <f t="shared" si="23"/>
        <v>Oct'24/25</v>
      </c>
      <c r="I194" s="11">
        <f t="shared" si="24"/>
        <v>27.737382266450002</v>
      </c>
    </row>
    <row r="195" spans="2:9" x14ac:dyDescent="0.55000000000000004">
      <c r="B195" s="11">
        <f t="shared" si="25"/>
        <v>11</v>
      </c>
      <c r="C195" s="11">
        <f t="shared" si="26"/>
        <v>2</v>
      </c>
      <c r="D195" s="12">
        <f t="shared" si="19"/>
        <v>2060845.0509333333</v>
      </c>
      <c r="E195" s="11" t="str">
        <f t="shared" si="20"/>
        <v>24/25</v>
      </c>
      <c r="F195" s="11" t="str">
        <f t="shared" si="21"/>
        <v>Nov</v>
      </c>
      <c r="G195" s="11" t="str">
        <f t="shared" si="22"/>
        <v>Nov'24/25</v>
      </c>
      <c r="H195" s="11" t="str">
        <f t="shared" si="23"/>
        <v>Nov'24/25</v>
      </c>
      <c r="I195" s="11">
        <f t="shared" si="24"/>
        <v>27.731717487556669</v>
      </c>
    </row>
    <row r="196" spans="2:9" x14ac:dyDescent="0.55000000000000004">
      <c r="B196" s="11">
        <f t="shared" si="25"/>
        <v>11</v>
      </c>
      <c r="C196" s="11">
        <f t="shared" si="26"/>
        <v>3</v>
      </c>
      <c r="D196" s="12">
        <f t="shared" si="19"/>
        <v>2119202.6407916667</v>
      </c>
      <c r="E196" s="11" t="str">
        <f t="shared" si="20"/>
        <v>24/25</v>
      </c>
      <c r="F196" s="11" t="str">
        <f t="shared" si="21"/>
        <v>Dec</v>
      </c>
      <c r="G196" s="11" t="str">
        <f t="shared" si="22"/>
        <v>Dec'24/25</v>
      </c>
      <c r="H196" s="11" t="str">
        <f t="shared" si="23"/>
        <v>Dec'24/25</v>
      </c>
      <c r="I196" s="11">
        <f t="shared" si="24"/>
        <v>27.740937835603333</v>
      </c>
    </row>
    <row r="197" spans="2:9" x14ac:dyDescent="0.55000000000000004">
      <c r="B197" s="11">
        <f t="shared" si="25"/>
        <v>11</v>
      </c>
      <c r="C197" s="11">
        <f t="shared" si="26"/>
        <v>4</v>
      </c>
      <c r="D197" s="12">
        <f t="shared" si="19"/>
        <v>1969387.4839783332</v>
      </c>
      <c r="E197" s="11" t="str">
        <f t="shared" si="20"/>
        <v>24/25</v>
      </c>
      <c r="F197" s="11" t="str">
        <f t="shared" si="21"/>
        <v>Jan</v>
      </c>
      <c r="G197" s="11" t="str">
        <f t="shared" si="22"/>
        <v>Jan'24/25</v>
      </c>
      <c r="H197" s="11" t="str">
        <f t="shared" si="23"/>
        <v>Jan'24/25</v>
      </c>
      <c r="I197" s="11">
        <f t="shared" si="24"/>
        <v>27.804273480333336</v>
      </c>
    </row>
    <row r="198" spans="2:9" x14ac:dyDescent="0.55000000000000004">
      <c r="B198" s="11">
        <f t="shared" si="25"/>
        <v>11</v>
      </c>
      <c r="C198" s="11">
        <f t="shared" si="26"/>
        <v>5</v>
      </c>
      <c r="D198" s="12">
        <f t="shared" si="19"/>
        <v>2325878.0373633336</v>
      </c>
      <c r="E198" s="11" t="str">
        <f t="shared" si="20"/>
        <v>24/25</v>
      </c>
      <c r="F198" s="11" t="str">
        <f t="shared" si="21"/>
        <v>Feb</v>
      </c>
      <c r="G198" s="11" t="str">
        <f t="shared" si="22"/>
        <v>Feb'24/25</v>
      </c>
      <c r="H198" s="11" t="str">
        <f t="shared" si="23"/>
        <v>Feb'24/25</v>
      </c>
      <c r="I198" s="11">
        <f t="shared" si="24"/>
        <v>27.905236747958341</v>
      </c>
    </row>
    <row r="199" spans="2:9" x14ac:dyDescent="0.55000000000000004">
      <c r="B199" s="11">
        <f t="shared" si="25"/>
        <v>11</v>
      </c>
      <c r="C199" s="11">
        <f t="shared" si="26"/>
        <v>6</v>
      </c>
      <c r="D199" s="12">
        <f t="shared" si="19"/>
        <v>2851885.6699399995</v>
      </c>
      <c r="E199" s="11" t="str">
        <f t="shared" si="20"/>
        <v>24/25</v>
      </c>
      <c r="F199" s="11" t="str">
        <f t="shared" si="21"/>
        <v>Mar</v>
      </c>
      <c r="G199" s="11" t="str">
        <f t="shared" si="22"/>
        <v>Mar'24/25</v>
      </c>
      <c r="H199" s="11" t="str">
        <f t="shared" si="23"/>
        <v>Mar'24/25</v>
      </c>
      <c r="I199" s="11">
        <f t="shared" si="24"/>
        <v>28.48047593392667</v>
      </c>
    </row>
    <row r="200" spans="2:9" x14ac:dyDescent="0.55000000000000004">
      <c r="B200" s="11">
        <f t="shared" si="25"/>
        <v>11</v>
      </c>
      <c r="C200" s="11">
        <f t="shared" si="26"/>
        <v>7</v>
      </c>
      <c r="D200" s="12">
        <f t="shared" si="19"/>
        <v>2234744.3314299998</v>
      </c>
      <c r="E200" s="11" t="str">
        <f t="shared" si="20"/>
        <v>24/25</v>
      </c>
      <c r="F200" s="11" t="str">
        <f t="shared" si="21"/>
        <v>Apr</v>
      </c>
      <c r="G200" s="11" t="str">
        <f t="shared" si="22"/>
        <v>Apr'24/25</v>
      </c>
      <c r="H200" s="11" t="str">
        <f t="shared" si="23"/>
        <v>Apr'24/25</v>
      </c>
      <c r="I200" s="11">
        <f t="shared" si="24"/>
        <v>28.694584804635003</v>
      </c>
    </row>
    <row r="201" spans="2:9" x14ac:dyDescent="0.55000000000000004">
      <c r="B201" s="11">
        <f t="shared" si="25"/>
        <v>11</v>
      </c>
      <c r="C201" s="11">
        <f t="shared" si="26"/>
        <v>8</v>
      </c>
      <c r="D201" s="12">
        <f t="shared" si="19"/>
        <v>2803758.0378566668</v>
      </c>
      <c r="E201" s="11" t="str">
        <f t="shared" si="20"/>
        <v>24/25</v>
      </c>
      <c r="F201" s="11" t="str">
        <f t="shared" si="21"/>
        <v>May</v>
      </c>
      <c r="G201" s="11" t="str">
        <f t="shared" si="22"/>
        <v>May'24/25</v>
      </c>
      <c r="H201" s="11" t="str">
        <f t="shared" si="23"/>
        <v>May'24/25</v>
      </c>
      <c r="I201" s="11">
        <f t="shared" si="24"/>
        <v>28.929254236945003</v>
      </c>
    </row>
    <row r="202" spans="2:9" x14ac:dyDescent="0.55000000000000004">
      <c r="B202" s="11">
        <f t="shared" si="25"/>
        <v>11</v>
      </c>
      <c r="C202" s="11">
        <f t="shared" si="26"/>
        <v>9</v>
      </c>
      <c r="D202" s="12">
        <f t="shared" si="19"/>
        <v>2900325.9647333333</v>
      </c>
      <c r="E202" s="11" t="str">
        <f t="shared" si="20"/>
        <v>24/25</v>
      </c>
      <c r="F202" s="11" t="str">
        <f t="shared" si="21"/>
        <v>Jun</v>
      </c>
      <c r="G202" s="11" t="str">
        <f t="shared" si="22"/>
        <v>Jun'24/25</v>
      </c>
      <c r="H202" s="11" t="str">
        <f t="shared" si="23"/>
        <v>Jun'24/25</v>
      </c>
      <c r="I202" s="11">
        <f t="shared" si="24"/>
        <v>29.23716813039</v>
      </c>
    </row>
    <row r="203" spans="2:9" x14ac:dyDescent="0.55000000000000004">
      <c r="B203" s="11">
        <f t="shared" si="25"/>
        <v>11</v>
      </c>
      <c r="C203" s="11">
        <f t="shared" si="26"/>
        <v>10</v>
      </c>
      <c r="D203" s="12">
        <f t="shared" ref="D203:D229" si="27">INDEX($C$7:$N$19,MATCH(B203,$A$7:$A$19),MATCH(C203,$C$4:$N$4))</f>
        <v>2905486.6651833337</v>
      </c>
      <c r="E203" s="11" t="str">
        <f t="shared" ref="E203:E229" si="28">_xlfn.XLOOKUP(B203,$A$7:$A$19,$B$7:$B$19)</f>
        <v>24/25</v>
      </c>
      <c r="F203" s="11" t="str">
        <f t="shared" ref="F203:F229" si="29">_xlfn.XLOOKUP(C203,$C$4:$N$4,$C$6:$N$6)</f>
        <v>Jul</v>
      </c>
      <c r="G203" s="11" t="str">
        <f t="shared" ref="G203:G229" si="30">_xlfn.CONCAT(F203,"'",E203)</f>
        <v>Jul'24/25</v>
      </c>
      <c r="H203" s="11" t="str">
        <f t="shared" si="23"/>
        <v>Jul'24/25</v>
      </c>
      <c r="I203" s="11">
        <f t="shared" si="24"/>
        <v>29.383387023496667</v>
      </c>
    </row>
    <row r="204" spans="2:9" x14ac:dyDescent="0.55000000000000004">
      <c r="B204" s="11">
        <f t="shared" si="25"/>
        <v>11</v>
      </c>
      <c r="C204" s="11">
        <f t="shared" si="26"/>
        <v>11</v>
      </c>
      <c r="D204" s="12">
        <f t="shared" si="27"/>
        <v>2591233.195887222</v>
      </c>
      <c r="E204" s="11" t="str">
        <f t="shared" si="28"/>
        <v>24/25</v>
      </c>
      <c r="F204" s="11" t="str">
        <f t="shared" si="29"/>
        <v>Aug</v>
      </c>
      <c r="G204" s="11" t="str">
        <f t="shared" si="30"/>
        <v>Aug'24/25</v>
      </c>
      <c r="H204" s="11" t="str">
        <f t="shared" si="23"/>
        <v>Aug'24/25</v>
      </c>
      <c r="I204" s="11">
        <f t="shared" si="24"/>
        <v>29.471298229225553</v>
      </c>
    </row>
    <row r="205" spans="2:9" x14ac:dyDescent="0.55000000000000004">
      <c r="B205" s="11">
        <f t="shared" si="25"/>
        <v>11</v>
      </c>
      <c r="C205" s="11">
        <f t="shared" si="26"/>
        <v>12</v>
      </c>
      <c r="D205" s="12">
        <f t="shared" si="27"/>
        <v>2486547.429153726</v>
      </c>
      <c r="E205" s="11" t="str">
        <f t="shared" si="28"/>
        <v>24/25</v>
      </c>
      <c r="F205" s="11" t="str">
        <f t="shared" si="29"/>
        <v>Sep</v>
      </c>
      <c r="G205" s="11" t="str">
        <f t="shared" si="30"/>
        <v>Sep'24/25</v>
      </c>
      <c r="H205" s="11" t="str">
        <f t="shared" si="23"/>
        <v>Sep'24/25</v>
      </c>
      <c r="I205" s="11">
        <f t="shared" si="24"/>
        <v>29.462740718639285</v>
      </c>
    </row>
    <row r="206" spans="2:9" x14ac:dyDescent="0.55000000000000004">
      <c r="B206" s="11">
        <f t="shared" si="25"/>
        <v>12</v>
      </c>
      <c r="C206" s="11">
        <f t="shared" si="26"/>
        <v>1</v>
      </c>
      <c r="D206" s="12">
        <f t="shared" si="27"/>
        <v>2353468.5700000003</v>
      </c>
      <c r="E206" s="11" t="str">
        <f t="shared" si="28"/>
        <v>25/26</v>
      </c>
      <c r="F206" s="11" t="str">
        <f t="shared" si="29"/>
        <v>Oct</v>
      </c>
      <c r="G206" s="11" t="str">
        <f t="shared" si="30"/>
        <v>Oct'25/26</v>
      </c>
      <c r="H206" s="11" t="str">
        <f t="shared" si="23"/>
        <v>Oct'25/26</v>
      </c>
      <c r="I206" s="11">
        <f t="shared" si="24"/>
        <v>29.602763077250952</v>
      </c>
    </row>
    <row r="207" spans="2:9" x14ac:dyDescent="0.55000000000000004">
      <c r="B207" s="11">
        <f t="shared" si="25"/>
        <v>12</v>
      </c>
      <c r="C207" s="11">
        <f t="shared" si="26"/>
        <v>2</v>
      </c>
      <c r="D207" s="12">
        <f t="shared" si="27"/>
        <v>2321823.6906666667</v>
      </c>
      <c r="E207" s="11" t="str">
        <f t="shared" si="28"/>
        <v>25/26</v>
      </c>
      <c r="F207" s="11" t="str">
        <f t="shared" si="29"/>
        <v>Nov</v>
      </c>
      <c r="G207" s="11" t="str">
        <f t="shared" si="30"/>
        <v>Nov'25/26</v>
      </c>
      <c r="H207" s="11" t="str">
        <f t="shared" si="23"/>
        <v>Nov'25/26</v>
      </c>
      <c r="I207" s="11">
        <f t="shared" si="24"/>
        <v>29.863741716984279</v>
      </c>
    </row>
    <row r="208" spans="2:9" x14ac:dyDescent="0.55000000000000004">
      <c r="B208" s="11">
        <f t="shared" si="25"/>
        <v>12</v>
      </c>
      <c r="C208" s="11">
        <f t="shared" si="26"/>
        <v>3</v>
      </c>
      <c r="D208" s="12">
        <f t="shared" si="27"/>
        <v>2178828.4316666666</v>
      </c>
      <c r="E208" s="11" t="str">
        <f t="shared" si="28"/>
        <v>25/26</v>
      </c>
      <c r="F208" s="11" t="str">
        <f t="shared" si="29"/>
        <v>Dec</v>
      </c>
      <c r="G208" s="11" t="str">
        <f t="shared" si="30"/>
        <v>Dec'25/26</v>
      </c>
      <c r="H208" s="11" t="str">
        <f t="shared" si="23"/>
        <v>Dec'25/26</v>
      </c>
      <c r="I208" s="11">
        <f t="shared" si="24"/>
        <v>29.923367507859282</v>
      </c>
    </row>
    <row r="209" spans="2:9" x14ac:dyDescent="0.55000000000000004">
      <c r="B209" s="11">
        <f t="shared" si="25"/>
        <v>12</v>
      </c>
      <c r="C209" s="11">
        <f t="shared" si="26"/>
        <v>4</v>
      </c>
      <c r="D209" s="12">
        <f t="shared" si="27"/>
        <v>2026800</v>
      </c>
      <c r="E209" s="11" t="str">
        <f t="shared" si="28"/>
        <v>25/26</v>
      </c>
      <c r="F209" s="11" t="str">
        <f t="shared" si="29"/>
        <v>Jan</v>
      </c>
      <c r="G209" s="11" t="str">
        <f t="shared" si="30"/>
        <v>Jan'25/26</v>
      </c>
      <c r="H209" s="11" t="str">
        <f t="shared" si="23"/>
        <v>Jan'25/26</v>
      </c>
      <c r="I209" s="11">
        <f t="shared" si="24"/>
        <v>29.98078002388095</v>
      </c>
    </row>
    <row r="210" spans="2:9" x14ac:dyDescent="0.55000000000000004">
      <c r="B210" s="11">
        <f t="shared" si="25"/>
        <v>12</v>
      </c>
      <c r="C210" s="11">
        <f t="shared" si="26"/>
        <v>5</v>
      </c>
      <c r="D210" s="12">
        <f t="shared" si="27"/>
        <v>2147800</v>
      </c>
      <c r="E210" s="11" t="str">
        <f t="shared" si="28"/>
        <v>25/26</v>
      </c>
      <c r="F210" s="11" t="str">
        <f t="shared" si="29"/>
        <v>Feb</v>
      </c>
      <c r="G210" s="11" t="str">
        <f t="shared" si="30"/>
        <v>Feb'25/26</v>
      </c>
      <c r="H210" s="11" t="str">
        <f t="shared" si="23"/>
        <v>Feb'25/26</v>
      </c>
      <c r="I210" s="11">
        <f t="shared" si="24"/>
        <v>29.802701986517615</v>
      </c>
    </row>
    <row r="211" spans="2:9" x14ac:dyDescent="0.55000000000000004">
      <c r="B211" s="11">
        <f t="shared" si="25"/>
        <v>12</v>
      </c>
      <c r="C211" s="11">
        <f t="shared" si="26"/>
        <v>6</v>
      </c>
      <c r="D211" s="12">
        <f t="shared" si="27"/>
        <v>2307233.3333333335</v>
      </c>
      <c r="E211" s="11" t="str">
        <f t="shared" si="28"/>
        <v>25/26</v>
      </c>
      <c r="F211" s="11" t="str">
        <f t="shared" si="29"/>
        <v>Mar</v>
      </c>
      <c r="G211" s="11" t="str">
        <f t="shared" si="30"/>
        <v>Mar'25/26</v>
      </c>
      <c r="H211" s="11" t="str">
        <f t="shared" si="23"/>
        <v>Mar'25/26</v>
      </c>
      <c r="I211" s="11">
        <f t="shared" si="24"/>
        <v>29.258049649910944</v>
      </c>
    </row>
    <row r="212" spans="2:9" x14ac:dyDescent="0.55000000000000004">
      <c r="B212" s="11">
        <f t="shared" si="25"/>
        <v>12</v>
      </c>
      <c r="C212" s="11">
        <f t="shared" si="26"/>
        <v>7</v>
      </c>
      <c r="D212" s="12">
        <f t="shared" si="27"/>
        <v>2131183.3333333335</v>
      </c>
      <c r="E212" s="11" t="str">
        <f t="shared" si="28"/>
        <v>25/26</v>
      </c>
      <c r="F212" s="11" t="str">
        <f t="shared" si="29"/>
        <v>Apr</v>
      </c>
      <c r="G212" s="11" t="str">
        <f t="shared" si="30"/>
        <v>Apr'25/26</v>
      </c>
      <c r="H212" s="11" t="str">
        <f t="shared" si="23"/>
        <v>Apr'25/26</v>
      </c>
      <c r="I212" s="11">
        <f t="shared" si="24"/>
        <v>29.154488651814283</v>
      </c>
    </row>
    <row r="213" spans="2:9" x14ac:dyDescent="0.55000000000000004">
      <c r="B213" s="11">
        <f t="shared" si="25"/>
        <v>12</v>
      </c>
      <c r="C213" s="11">
        <f t="shared" si="26"/>
        <v>8</v>
      </c>
      <c r="D213" s="12">
        <f t="shared" si="27"/>
        <v>2515783.3333333335</v>
      </c>
      <c r="E213" s="11" t="str">
        <f t="shared" si="28"/>
        <v>25/26</v>
      </c>
      <c r="F213" s="11" t="str">
        <f t="shared" si="29"/>
        <v>May</v>
      </c>
      <c r="G213" s="11" t="str">
        <f t="shared" si="30"/>
        <v>May'25/26</v>
      </c>
      <c r="H213" s="11" t="str">
        <f t="shared" si="23"/>
        <v>May'25/26</v>
      </c>
      <c r="I213" s="11">
        <f t="shared" si="24"/>
        <v>28.866513947290947</v>
      </c>
    </row>
    <row r="214" spans="2:9" x14ac:dyDescent="0.55000000000000004">
      <c r="B214" s="11">
        <f t="shared" si="25"/>
        <v>12</v>
      </c>
      <c r="C214" s="11">
        <f t="shared" si="26"/>
        <v>9</v>
      </c>
      <c r="D214" s="12" t="e">
        <f t="shared" si="27"/>
        <v>#N/A</v>
      </c>
      <c r="E214" s="11" t="str">
        <f t="shared" si="28"/>
        <v>25/26</v>
      </c>
      <c r="F214" s="11" t="str">
        <f t="shared" si="29"/>
        <v>Jun</v>
      </c>
      <c r="G214" s="11" t="str">
        <f t="shared" si="30"/>
        <v>Jun'25/26</v>
      </c>
      <c r="H214" s="11" t="str">
        <f t="shared" ref="H214:H229" si="31">G214</f>
        <v>Jun'25/26</v>
      </c>
      <c r="I214" s="11" t="e">
        <f t="shared" ref="I214:I229" si="32">SUM(D203:D214)/1000000</f>
        <v>#N/A</v>
      </c>
    </row>
    <row r="215" spans="2:9" x14ac:dyDescent="0.55000000000000004">
      <c r="B215" s="11">
        <f t="shared" ref="B215:B229" si="33">B203+1</f>
        <v>12</v>
      </c>
      <c r="C215" s="11">
        <f t="shared" ref="C215:C229" si="34">C203</f>
        <v>10</v>
      </c>
      <c r="D215" s="12" t="e">
        <f t="shared" si="27"/>
        <v>#N/A</v>
      </c>
      <c r="E215" s="11" t="str">
        <f t="shared" si="28"/>
        <v>25/26</v>
      </c>
      <c r="F215" s="11" t="str">
        <f t="shared" si="29"/>
        <v>Jul</v>
      </c>
      <c r="G215" s="11" t="str">
        <f t="shared" si="30"/>
        <v>Jul'25/26</v>
      </c>
      <c r="H215" s="11" t="str">
        <f t="shared" si="31"/>
        <v>Jul'25/26</v>
      </c>
      <c r="I215" s="11" t="e">
        <f t="shared" si="32"/>
        <v>#N/A</v>
      </c>
    </row>
    <row r="216" spans="2:9" x14ac:dyDescent="0.55000000000000004">
      <c r="B216" s="11">
        <f t="shared" si="33"/>
        <v>12</v>
      </c>
      <c r="C216" s="11">
        <f t="shared" si="34"/>
        <v>11</v>
      </c>
      <c r="D216" s="12" t="e">
        <f t="shared" si="27"/>
        <v>#N/A</v>
      </c>
      <c r="E216" s="11" t="str">
        <f t="shared" si="28"/>
        <v>25/26</v>
      </c>
      <c r="F216" s="11" t="str">
        <f t="shared" si="29"/>
        <v>Aug</v>
      </c>
      <c r="G216" s="11" t="str">
        <f t="shared" si="30"/>
        <v>Aug'25/26</v>
      </c>
      <c r="H216" s="11" t="str">
        <f t="shared" si="31"/>
        <v>Aug'25/26</v>
      </c>
      <c r="I216" s="11" t="e">
        <f t="shared" si="32"/>
        <v>#N/A</v>
      </c>
    </row>
    <row r="217" spans="2:9" x14ac:dyDescent="0.55000000000000004">
      <c r="B217" s="11">
        <f t="shared" si="33"/>
        <v>12</v>
      </c>
      <c r="C217" s="11">
        <f t="shared" si="34"/>
        <v>12</v>
      </c>
      <c r="D217" s="12" t="e">
        <f t="shared" si="27"/>
        <v>#N/A</v>
      </c>
      <c r="E217" s="11" t="str">
        <f t="shared" si="28"/>
        <v>25/26</v>
      </c>
      <c r="F217" s="11" t="str">
        <f t="shared" si="29"/>
        <v>Sep</v>
      </c>
      <c r="G217" s="11" t="str">
        <f t="shared" si="30"/>
        <v>Sep'25/26</v>
      </c>
      <c r="H217" s="11" t="str">
        <f t="shared" si="31"/>
        <v>Sep'25/26</v>
      </c>
      <c r="I217" s="11" t="e">
        <f t="shared" si="32"/>
        <v>#N/A</v>
      </c>
    </row>
    <row r="218" spans="2:9" x14ac:dyDescent="0.55000000000000004">
      <c r="B218" s="11">
        <f t="shared" si="33"/>
        <v>13</v>
      </c>
      <c r="C218" s="11">
        <f t="shared" si="34"/>
        <v>1</v>
      </c>
      <c r="D218" s="12" t="e">
        <f t="shared" si="27"/>
        <v>#N/A</v>
      </c>
      <c r="E218" s="11" t="str">
        <f t="shared" si="28"/>
        <v>26/27</v>
      </c>
      <c r="F218" s="11" t="str">
        <f t="shared" si="29"/>
        <v>Oct</v>
      </c>
      <c r="G218" s="11" t="str">
        <f t="shared" si="30"/>
        <v>Oct'26/27</v>
      </c>
      <c r="H218" s="11" t="str">
        <f t="shared" si="31"/>
        <v>Oct'26/27</v>
      </c>
      <c r="I218" s="11" t="e">
        <f t="shared" si="32"/>
        <v>#N/A</v>
      </c>
    </row>
    <row r="219" spans="2:9" x14ac:dyDescent="0.55000000000000004">
      <c r="B219" s="11">
        <f t="shared" si="33"/>
        <v>13</v>
      </c>
      <c r="C219" s="11">
        <f t="shared" si="34"/>
        <v>2</v>
      </c>
      <c r="D219" s="12" t="e">
        <f t="shared" si="27"/>
        <v>#N/A</v>
      </c>
      <c r="E219" s="11" t="str">
        <f t="shared" si="28"/>
        <v>26/27</v>
      </c>
      <c r="F219" s="11" t="str">
        <f t="shared" si="29"/>
        <v>Nov</v>
      </c>
      <c r="G219" s="11" t="str">
        <f t="shared" si="30"/>
        <v>Nov'26/27</v>
      </c>
      <c r="H219" s="11" t="str">
        <f t="shared" si="31"/>
        <v>Nov'26/27</v>
      </c>
      <c r="I219" s="11" t="e">
        <f t="shared" si="32"/>
        <v>#N/A</v>
      </c>
    </row>
    <row r="220" spans="2:9" x14ac:dyDescent="0.55000000000000004">
      <c r="B220" s="11">
        <f t="shared" si="33"/>
        <v>13</v>
      </c>
      <c r="C220" s="11">
        <f t="shared" si="34"/>
        <v>3</v>
      </c>
      <c r="D220" s="12" t="e">
        <f t="shared" si="27"/>
        <v>#N/A</v>
      </c>
      <c r="E220" s="11" t="str">
        <f t="shared" si="28"/>
        <v>26/27</v>
      </c>
      <c r="F220" s="11" t="str">
        <f t="shared" si="29"/>
        <v>Dec</v>
      </c>
      <c r="G220" s="11" t="str">
        <f t="shared" si="30"/>
        <v>Dec'26/27</v>
      </c>
      <c r="H220" s="11" t="str">
        <f t="shared" si="31"/>
        <v>Dec'26/27</v>
      </c>
      <c r="I220" s="11" t="e">
        <f t="shared" si="32"/>
        <v>#N/A</v>
      </c>
    </row>
    <row r="221" spans="2:9" x14ac:dyDescent="0.55000000000000004">
      <c r="B221" s="11">
        <f t="shared" si="33"/>
        <v>13</v>
      </c>
      <c r="C221" s="11">
        <f t="shared" si="34"/>
        <v>4</v>
      </c>
      <c r="D221" s="12" t="e">
        <f t="shared" si="27"/>
        <v>#N/A</v>
      </c>
      <c r="E221" s="11" t="str">
        <f t="shared" si="28"/>
        <v>26/27</v>
      </c>
      <c r="F221" s="11" t="str">
        <f t="shared" si="29"/>
        <v>Jan</v>
      </c>
      <c r="G221" s="11" t="str">
        <f t="shared" si="30"/>
        <v>Jan'26/27</v>
      </c>
      <c r="H221" s="11" t="str">
        <f t="shared" si="31"/>
        <v>Jan'26/27</v>
      </c>
      <c r="I221" s="11" t="e">
        <f t="shared" si="32"/>
        <v>#N/A</v>
      </c>
    </row>
    <row r="222" spans="2:9" x14ac:dyDescent="0.55000000000000004">
      <c r="B222" s="11">
        <f t="shared" si="33"/>
        <v>13</v>
      </c>
      <c r="C222" s="11">
        <f t="shared" si="34"/>
        <v>5</v>
      </c>
      <c r="D222" s="12" t="e">
        <f t="shared" si="27"/>
        <v>#N/A</v>
      </c>
      <c r="E222" s="11" t="str">
        <f t="shared" si="28"/>
        <v>26/27</v>
      </c>
      <c r="F222" s="11" t="str">
        <f t="shared" si="29"/>
        <v>Feb</v>
      </c>
      <c r="G222" s="11" t="str">
        <f t="shared" si="30"/>
        <v>Feb'26/27</v>
      </c>
      <c r="H222" s="11" t="str">
        <f t="shared" si="31"/>
        <v>Feb'26/27</v>
      </c>
      <c r="I222" s="11" t="e">
        <f t="shared" si="32"/>
        <v>#N/A</v>
      </c>
    </row>
    <row r="223" spans="2:9" x14ac:dyDescent="0.55000000000000004">
      <c r="B223" s="11">
        <f t="shared" si="33"/>
        <v>13</v>
      </c>
      <c r="C223" s="11">
        <f t="shared" si="34"/>
        <v>6</v>
      </c>
      <c r="D223" s="12" t="e">
        <f t="shared" si="27"/>
        <v>#N/A</v>
      </c>
      <c r="E223" s="11" t="str">
        <f t="shared" si="28"/>
        <v>26/27</v>
      </c>
      <c r="F223" s="11" t="str">
        <f t="shared" si="29"/>
        <v>Mar</v>
      </c>
      <c r="G223" s="11" t="str">
        <f t="shared" si="30"/>
        <v>Mar'26/27</v>
      </c>
      <c r="H223" s="11" t="str">
        <f t="shared" si="31"/>
        <v>Mar'26/27</v>
      </c>
      <c r="I223" s="11" t="e">
        <f t="shared" si="32"/>
        <v>#N/A</v>
      </c>
    </row>
    <row r="224" spans="2:9" x14ac:dyDescent="0.55000000000000004">
      <c r="B224" s="11">
        <f t="shared" si="33"/>
        <v>13</v>
      </c>
      <c r="C224" s="11">
        <f t="shared" si="34"/>
        <v>7</v>
      </c>
      <c r="D224" s="12" t="e">
        <f t="shared" si="27"/>
        <v>#N/A</v>
      </c>
      <c r="E224" s="11" t="str">
        <f t="shared" si="28"/>
        <v>26/27</v>
      </c>
      <c r="F224" s="11" t="str">
        <f t="shared" si="29"/>
        <v>Apr</v>
      </c>
      <c r="G224" s="11" t="str">
        <f t="shared" si="30"/>
        <v>Apr'26/27</v>
      </c>
      <c r="H224" s="11" t="str">
        <f t="shared" si="31"/>
        <v>Apr'26/27</v>
      </c>
      <c r="I224" s="11" t="e">
        <f t="shared" si="32"/>
        <v>#N/A</v>
      </c>
    </row>
    <row r="225" spans="2:9" x14ac:dyDescent="0.55000000000000004">
      <c r="B225" s="11">
        <f t="shared" si="33"/>
        <v>13</v>
      </c>
      <c r="C225" s="11">
        <f t="shared" si="34"/>
        <v>8</v>
      </c>
      <c r="D225" s="12" t="e">
        <f t="shared" si="27"/>
        <v>#N/A</v>
      </c>
      <c r="E225" s="11" t="str">
        <f t="shared" si="28"/>
        <v>26/27</v>
      </c>
      <c r="F225" s="11" t="str">
        <f t="shared" si="29"/>
        <v>May</v>
      </c>
      <c r="G225" s="11" t="str">
        <f t="shared" si="30"/>
        <v>May'26/27</v>
      </c>
      <c r="H225" s="11" t="str">
        <f t="shared" si="31"/>
        <v>May'26/27</v>
      </c>
      <c r="I225" s="11" t="e">
        <f t="shared" si="32"/>
        <v>#N/A</v>
      </c>
    </row>
    <row r="226" spans="2:9" x14ac:dyDescent="0.55000000000000004">
      <c r="B226" s="11">
        <f t="shared" si="33"/>
        <v>13</v>
      </c>
      <c r="C226" s="11">
        <f t="shared" si="34"/>
        <v>9</v>
      </c>
      <c r="D226" s="12" t="e">
        <f t="shared" si="27"/>
        <v>#N/A</v>
      </c>
      <c r="E226" s="11" t="str">
        <f t="shared" si="28"/>
        <v>26/27</v>
      </c>
      <c r="F226" s="11" t="str">
        <f t="shared" si="29"/>
        <v>Jun</v>
      </c>
      <c r="G226" s="11" t="str">
        <f t="shared" si="30"/>
        <v>Jun'26/27</v>
      </c>
      <c r="H226" s="11" t="str">
        <f t="shared" si="31"/>
        <v>Jun'26/27</v>
      </c>
      <c r="I226" s="11" t="e">
        <f t="shared" si="32"/>
        <v>#N/A</v>
      </c>
    </row>
    <row r="227" spans="2:9" x14ac:dyDescent="0.55000000000000004">
      <c r="B227" s="11">
        <f t="shared" si="33"/>
        <v>13</v>
      </c>
      <c r="C227" s="11">
        <f t="shared" si="34"/>
        <v>10</v>
      </c>
      <c r="D227" s="12" t="e">
        <f t="shared" si="27"/>
        <v>#N/A</v>
      </c>
      <c r="E227" s="11" t="str">
        <f t="shared" si="28"/>
        <v>26/27</v>
      </c>
      <c r="F227" s="11" t="str">
        <f t="shared" si="29"/>
        <v>Jul</v>
      </c>
      <c r="G227" s="11" t="str">
        <f t="shared" si="30"/>
        <v>Jul'26/27</v>
      </c>
      <c r="H227" s="11" t="str">
        <f t="shared" si="31"/>
        <v>Jul'26/27</v>
      </c>
      <c r="I227" s="11" t="e">
        <f t="shared" si="32"/>
        <v>#N/A</v>
      </c>
    </row>
    <row r="228" spans="2:9" x14ac:dyDescent="0.55000000000000004">
      <c r="B228" s="11">
        <f t="shared" si="33"/>
        <v>13</v>
      </c>
      <c r="C228" s="11">
        <f t="shared" si="34"/>
        <v>11</v>
      </c>
      <c r="D228" s="12" t="e">
        <f t="shared" si="27"/>
        <v>#N/A</v>
      </c>
      <c r="E228" s="11" t="str">
        <f t="shared" si="28"/>
        <v>26/27</v>
      </c>
      <c r="F228" s="11" t="str">
        <f t="shared" si="29"/>
        <v>Aug</v>
      </c>
      <c r="G228" s="11" t="str">
        <f t="shared" si="30"/>
        <v>Aug'26/27</v>
      </c>
      <c r="H228" s="11" t="str">
        <f t="shared" si="31"/>
        <v>Aug'26/27</v>
      </c>
      <c r="I228" s="11" t="e">
        <f t="shared" si="32"/>
        <v>#N/A</v>
      </c>
    </row>
    <row r="229" spans="2:9" x14ac:dyDescent="0.55000000000000004">
      <c r="B229" s="11">
        <f t="shared" si="33"/>
        <v>13</v>
      </c>
      <c r="C229" s="11">
        <f t="shared" si="34"/>
        <v>12</v>
      </c>
      <c r="D229" s="12" t="e">
        <f t="shared" si="27"/>
        <v>#N/A</v>
      </c>
      <c r="E229" s="11" t="str">
        <f t="shared" si="28"/>
        <v>26/27</v>
      </c>
      <c r="F229" s="11" t="str">
        <f t="shared" si="29"/>
        <v>Sep</v>
      </c>
      <c r="G229" s="11" t="str">
        <f t="shared" si="30"/>
        <v>Sep'26/27</v>
      </c>
      <c r="H229" s="11" t="str">
        <f t="shared" si="31"/>
        <v>Sep'26/27</v>
      </c>
      <c r="I229" s="11" t="e">
        <f t="shared" si="32"/>
        <v>#N/A</v>
      </c>
    </row>
  </sheetData>
  <mergeCells count="5">
    <mergeCell ref="A1:P2"/>
    <mergeCell ref="Q1:V2"/>
    <mergeCell ref="C5:N5"/>
    <mergeCell ref="S6:U6"/>
    <mergeCell ref="N74:Y74"/>
  </mergeCells>
  <conditionalFormatting sqref="C7:N19">
    <cfRule type="cellIs" dxfId="15" priority="1" operator="greaterThanOrEqual">
      <formula>0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{AAD05C84-5A82-4898-A311-EBE4E59656EF}</x14:id>
        </ext>
      </extLst>
    </cfRule>
  </conditionalFormatting>
  <conditionalFormatting sqref="Q18:Q1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{A6A758DB-DA76-42AC-B46E-C024DE6AFEDC}</x14:id>
        </ext>
      </extLst>
    </cfRule>
  </conditionalFormatting>
  <conditionalFormatting sqref="T7:T19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{35EAF1E5-3788-4F7F-B9EF-254BA13B8484}</x14:id>
        </ext>
      </extLst>
    </cfRule>
  </conditionalFormatting>
  <conditionalFormatting sqref="U1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{B18B5ED9-71AB-4137-A6B4-E8B55B8216B9}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05C84-5A82-4898-A311-EBE4E59656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Q8:Q17</xm:sqref>
        </x14:conditionalFormatting>
        <x14:conditionalFormatting xmlns:xm="http://schemas.microsoft.com/office/excel/2006/main">
          <x14:cfRule type="dataBar" id="{A6A758DB-DA76-42AC-B46E-C024DE6AFE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Q18:Q19</xm:sqref>
        </x14:conditionalFormatting>
        <x14:conditionalFormatting xmlns:xm="http://schemas.microsoft.com/office/excel/2006/main">
          <x14:cfRule type="dataBar" id="{35EAF1E5-3788-4F7F-B9EF-254BA13B84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B18B5ED9-71AB-4137-A6B4-E8B55B8216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47F0-9BCC-4278-AD18-34C645A7043A}">
  <sheetPr codeName="Sheet2"/>
  <dimension ref="A1:AI229"/>
  <sheetViews>
    <sheetView showGridLines="0" zoomScale="70" zoomScaleNormal="70" workbookViewId="0">
      <selection activeCell="B6" sqref="B6:N18"/>
    </sheetView>
  </sheetViews>
  <sheetFormatPr defaultColWidth="8.83984375" defaultRowHeight="14.4" x14ac:dyDescent="0.55000000000000004"/>
  <cols>
    <col min="1" max="1" width="8.83984375" style="11" customWidth="1"/>
    <col min="2" max="5" width="8.83984375" style="11"/>
    <col min="6" max="8" width="11.15625" style="11" bestFit="1" customWidth="1"/>
    <col min="9" max="9" width="16.68359375" style="11" bestFit="1" customWidth="1"/>
    <col min="10" max="10" width="11.15625" style="11" bestFit="1" customWidth="1"/>
    <col min="11" max="11" width="11.26171875" style="11" customWidth="1"/>
    <col min="12" max="12" width="10.41796875" style="11" customWidth="1"/>
    <col min="13" max="13" width="10.68359375" style="11" customWidth="1"/>
    <col min="14" max="14" width="11.15625" style="11" customWidth="1"/>
    <col min="15" max="15" width="8.83984375" style="11"/>
    <col min="16" max="16" width="11.83984375" style="11" customWidth="1"/>
    <col min="17" max="19" width="8.83984375" style="11"/>
    <col min="20" max="20" width="12" style="11" customWidth="1"/>
    <col min="21" max="23" width="8.83984375" style="11"/>
    <col min="24" max="24" width="13.15625" style="11" bestFit="1" customWidth="1"/>
    <col min="25" max="16384" width="8.83984375" style="11"/>
  </cols>
  <sheetData>
    <row r="1" spans="1:35" s="17" customFormat="1" ht="25.8" x14ac:dyDescent="0.55000000000000004">
      <c r="A1" s="73" t="s">
        <v>43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Oct-Sep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Brazil : Arabica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Oct-Sep</v>
      </c>
      <c r="T6" s="75"/>
      <c r="U6" s="75"/>
      <c r="X6" s="42" t="s">
        <v>77</v>
      </c>
    </row>
    <row r="7" spans="1:35" x14ac:dyDescent="0.55000000000000004">
      <c r="A7" s="14">
        <v>1</v>
      </c>
      <c r="B7" s="6" t="s">
        <v>15</v>
      </c>
      <c r="C7" s="23">
        <v>2814343</v>
      </c>
      <c r="D7" s="23">
        <v>2492353</v>
      </c>
      <c r="E7" s="23">
        <v>2433890</v>
      </c>
      <c r="F7" s="23">
        <v>2495627</v>
      </c>
      <c r="G7" s="23">
        <v>2229124</v>
      </c>
      <c r="H7" s="23">
        <v>2469248</v>
      </c>
      <c r="I7" s="23">
        <v>2353534</v>
      </c>
      <c r="J7" s="23">
        <v>2218582</v>
      </c>
      <c r="K7" s="23">
        <v>1936822</v>
      </c>
      <c r="L7" s="23">
        <v>2135974</v>
      </c>
      <c r="M7" s="23">
        <v>2197643</v>
      </c>
      <c r="N7" s="23">
        <v>2574174</v>
      </c>
      <c r="O7" s="6" t="s">
        <v>15</v>
      </c>
      <c r="P7" s="20">
        <f t="shared" ref="P7:P19" si="0">IF(COUNT(C7:N7)=12,SUM(C7:N7),"")</f>
        <v>28351314</v>
      </c>
      <c r="Q7" s="2"/>
      <c r="R7" s="2"/>
      <c r="S7" s="6" t="s">
        <v>15</v>
      </c>
      <c r="T7" s="20">
        <f t="shared" ref="T7:T17" ca="1" si="1">IFERROR(IF(SUM(OFFSET(C7,0,0,1,$C$56))=0,"",SUM(OFFSET(C7,0,0,1,$C$56))),"")</f>
        <v>28351314</v>
      </c>
      <c r="U7" s="2"/>
    </row>
    <row r="8" spans="1:35" x14ac:dyDescent="0.55000000000000004">
      <c r="A8" s="14">
        <v>2</v>
      </c>
      <c r="B8" s="6" t="s">
        <v>16</v>
      </c>
      <c r="C8" s="23">
        <v>2845902</v>
      </c>
      <c r="D8" s="23">
        <v>2945838</v>
      </c>
      <c r="E8" s="23">
        <v>2822715</v>
      </c>
      <c r="F8" s="23">
        <v>2459977</v>
      </c>
      <c r="G8" s="23">
        <v>2552313</v>
      </c>
      <c r="H8" s="23">
        <v>2708814</v>
      </c>
      <c r="I8" s="23">
        <v>2124112</v>
      </c>
      <c r="J8" s="23">
        <v>2160920</v>
      </c>
      <c r="K8" s="23">
        <v>2013709</v>
      </c>
      <c r="L8" s="23">
        <v>1610508</v>
      </c>
      <c r="M8" s="23">
        <v>2656540</v>
      </c>
      <c r="N8" s="23">
        <v>2666802</v>
      </c>
      <c r="O8" s="6" t="s">
        <v>16</v>
      </c>
      <c r="P8" s="20">
        <f t="shared" si="0"/>
        <v>29568150</v>
      </c>
      <c r="Q8" s="7">
        <f t="shared" ref="Q8:Q16" si="2">IFERROR(P8/P7-1,"")</f>
        <v>4.2919915457886759E-2</v>
      </c>
      <c r="R8" s="2"/>
      <c r="S8" s="6" t="s">
        <v>16</v>
      </c>
      <c r="T8" s="20">
        <f t="shared" ca="1" si="1"/>
        <v>29568150</v>
      </c>
      <c r="U8" s="7">
        <f t="shared" ref="U8:U18" ca="1" si="3">IFERROR(T8/T7-1,"")</f>
        <v>4.2919915457886759E-2</v>
      </c>
    </row>
    <row r="9" spans="1:35" x14ac:dyDescent="0.55000000000000004">
      <c r="A9" s="14">
        <v>3</v>
      </c>
      <c r="B9" s="6" t="s">
        <v>17</v>
      </c>
      <c r="C9" s="23">
        <v>3006622</v>
      </c>
      <c r="D9" s="23">
        <v>2924414</v>
      </c>
      <c r="E9" s="23">
        <v>2901287</v>
      </c>
      <c r="F9" s="23">
        <v>2429067</v>
      </c>
      <c r="G9" s="23">
        <v>2304537</v>
      </c>
      <c r="H9" s="23">
        <v>2436589</v>
      </c>
      <c r="I9" s="23">
        <v>1937245</v>
      </c>
      <c r="J9" s="23">
        <v>2305022</v>
      </c>
      <c r="K9" s="23">
        <v>1875068</v>
      </c>
      <c r="L9" s="23">
        <v>1578300</v>
      </c>
      <c r="M9" s="23">
        <v>2274935</v>
      </c>
      <c r="N9" s="23">
        <v>2130292</v>
      </c>
      <c r="O9" s="6" t="s">
        <v>17</v>
      </c>
      <c r="P9" s="20">
        <f t="shared" si="0"/>
        <v>28103378</v>
      </c>
      <c r="Q9" s="7">
        <f t="shared" si="2"/>
        <v>-4.9538845007212173E-2</v>
      </c>
      <c r="R9" s="2"/>
      <c r="S9" s="6" t="s">
        <v>17</v>
      </c>
      <c r="T9" s="20">
        <f t="shared" ca="1" si="1"/>
        <v>28103378</v>
      </c>
      <c r="U9" s="7">
        <f t="shared" ca="1" si="3"/>
        <v>-4.9538845007212173E-2</v>
      </c>
    </row>
    <row r="10" spans="1:35" x14ac:dyDescent="0.55000000000000004">
      <c r="A10" s="14">
        <v>4</v>
      </c>
      <c r="B10" s="6" t="s">
        <v>18</v>
      </c>
      <c r="C10" s="23">
        <v>2570753</v>
      </c>
      <c r="D10" s="23">
        <v>2683908</v>
      </c>
      <c r="E10" s="23">
        <v>2597940</v>
      </c>
      <c r="F10" s="23">
        <v>2519381</v>
      </c>
      <c r="G10" s="23">
        <v>2208007</v>
      </c>
      <c r="H10" s="23">
        <v>2237524</v>
      </c>
      <c r="I10" s="23">
        <v>2026986</v>
      </c>
      <c r="J10" s="23">
        <v>1440854</v>
      </c>
      <c r="K10" s="23">
        <v>1986253</v>
      </c>
      <c r="L10" s="23">
        <v>1755475</v>
      </c>
      <c r="M10" s="23">
        <v>2622290</v>
      </c>
      <c r="N10" s="23">
        <v>2549930</v>
      </c>
      <c r="O10" s="6" t="s">
        <v>18</v>
      </c>
      <c r="P10" s="20">
        <f t="shared" si="0"/>
        <v>27199301</v>
      </c>
      <c r="Q10" s="7">
        <f t="shared" si="2"/>
        <v>-3.2169691486909513E-2</v>
      </c>
      <c r="R10" s="2"/>
      <c r="S10" s="6" t="s">
        <v>18</v>
      </c>
      <c r="T10" s="20">
        <f t="shared" ca="1" si="1"/>
        <v>27199301</v>
      </c>
      <c r="U10" s="7">
        <f t="shared" ca="1" si="3"/>
        <v>-3.2169691486909513E-2</v>
      </c>
    </row>
    <row r="11" spans="1:35" x14ac:dyDescent="0.55000000000000004">
      <c r="A11" s="14">
        <v>5</v>
      </c>
      <c r="B11" s="6" t="s">
        <v>19</v>
      </c>
      <c r="C11" s="23">
        <v>3240734</v>
      </c>
      <c r="D11" s="23">
        <v>3362444</v>
      </c>
      <c r="E11" s="23">
        <v>3462143</v>
      </c>
      <c r="F11" s="23">
        <v>3073902</v>
      </c>
      <c r="G11" s="23">
        <v>3051113</v>
      </c>
      <c r="H11" s="23">
        <v>2557882</v>
      </c>
      <c r="I11" s="23">
        <v>2706379</v>
      </c>
      <c r="J11" s="23">
        <v>3025754</v>
      </c>
      <c r="K11" s="23">
        <v>2355971</v>
      </c>
      <c r="L11" s="23">
        <v>2438600</v>
      </c>
      <c r="M11" s="23">
        <v>2570815</v>
      </c>
      <c r="N11" s="23">
        <v>2800150</v>
      </c>
      <c r="O11" s="6" t="s">
        <v>19</v>
      </c>
      <c r="P11" s="20">
        <f t="shared" si="0"/>
        <v>34645887</v>
      </c>
      <c r="Q11" s="7">
        <f t="shared" si="2"/>
        <v>0.27377857982453291</v>
      </c>
      <c r="R11" s="2"/>
      <c r="S11" s="6" t="s">
        <v>19</v>
      </c>
      <c r="T11" s="20">
        <f t="shared" ca="1" si="1"/>
        <v>34645887</v>
      </c>
      <c r="U11" s="7">
        <f t="shared" ca="1" si="3"/>
        <v>0.27377857982453291</v>
      </c>
    </row>
    <row r="12" spans="1:35" x14ac:dyDescent="0.55000000000000004">
      <c r="A12" s="14">
        <v>6</v>
      </c>
      <c r="B12" s="6" t="s">
        <v>20</v>
      </c>
      <c r="C12" s="23">
        <v>2964909</v>
      </c>
      <c r="D12" s="23">
        <v>2757885</v>
      </c>
      <c r="E12" s="23">
        <v>2409528</v>
      </c>
      <c r="F12" s="23">
        <v>2922387</v>
      </c>
      <c r="G12" s="23">
        <v>2477429</v>
      </c>
      <c r="H12" s="23">
        <v>2898784</v>
      </c>
      <c r="I12" s="23">
        <v>2951535</v>
      </c>
      <c r="J12" s="23">
        <v>2457707</v>
      </c>
      <c r="K12" s="23">
        <v>2082022</v>
      </c>
      <c r="L12" s="23">
        <v>2421146</v>
      </c>
      <c r="M12" s="23">
        <v>2766801</v>
      </c>
      <c r="N12" s="23">
        <v>3225249</v>
      </c>
      <c r="O12" s="6" t="s">
        <v>20</v>
      </c>
      <c r="P12" s="20">
        <f t="shared" si="0"/>
        <v>32335382</v>
      </c>
      <c r="Q12" s="7">
        <f t="shared" si="2"/>
        <v>-6.6689157070794591E-2</v>
      </c>
      <c r="R12" s="2"/>
      <c r="S12" s="6" t="s">
        <v>20</v>
      </c>
      <c r="T12" s="20">
        <f t="shared" ca="1" si="1"/>
        <v>32335382</v>
      </c>
      <c r="U12" s="7">
        <f t="shared" ca="1" si="3"/>
        <v>-6.6689157070794591E-2</v>
      </c>
    </row>
    <row r="13" spans="1:35" x14ac:dyDescent="0.55000000000000004">
      <c r="A13" s="14">
        <v>7</v>
      </c>
      <c r="B13" s="6" t="s">
        <v>21</v>
      </c>
      <c r="C13" s="23">
        <v>3698601</v>
      </c>
      <c r="D13" s="23">
        <v>4080675</v>
      </c>
      <c r="E13" s="23">
        <v>3642367</v>
      </c>
      <c r="F13" s="23">
        <v>3138628</v>
      </c>
      <c r="G13" s="23">
        <v>3357482</v>
      </c>
      <c r="H13" s="23">
        <v>3119681</v>
      </c>
      <c r="I13" s="23">
        <v>3045766</v>
      </c>
      <c r="J13" s="23">
        <v>2083261</v>
      </c>
      <c r="K13" s="23">
        <v>2378747</v>
      </c>
      <c r="L13" s="23">
        <v>2164289</v>
      </c>
      <c r="M13" s="23">
        <v>2126832</v>
      </c>
      <c r="N13" s="23">
        <v>2480975</v>
      </c>
      <c r="O13" s="6" t="s">
        <v>21</v>
      </c>
      <c r="P13" s="20">
        <f t="shared" si="0"/>
        <v>35317304</v>
      </c>
      <c r="Q13" s="7">
        <f t="shared" si="2"/>
        <v>9.2218548709274595E-2</v>
      </c>
      <c r="R13" s="2"/>
      <c r="S13" s="6" t="s">
        <v>21</v>
      </c>
      <c r="T13" s="20">
        <f t="shared" ca="1" si="1"/>
        <v>35317304</v>
      </c>
      <c r="U13" s="7">
        <f t="shared" ca="1" si="3"/>
        <v>9.2218548709274595E-2</v>
      </c>
    </row>
    <row r="14" spans="1:35" x14ac:dyDescent="0.55000000000000004">
      <c r="A14" s="14">
        <v>8</v>
      </c>
      <c r="B14" s="6" t="s">
        <v>22</v>
      </c>
      <c r="C14" s="23">
        <v>2968402</v>
      </c>
      <c r="D14" s="23">
        <v>2627646</v>
      </c>
      <c r="E14" s="23">
        <v>3290070</v>
      </c>
      <c r="F14" s="23">
        <v>2993663</v>
      </c>
      <c r="G14" s="23">
        <v>3145752</v>
      </c>
      <c r="H14" s="23">
        <v>3314870</v>
      </c>
      <c r="I14" s="23">
        <v>2635893</v>
      </c>
      <c r="J14" s="23">
        <v>2529574</v>
      </c>
      <c r="K14" s="23">
        <v>2688245</v>
      </c>
      <c r="L14" s="23">
        <v>2057164</v>
      </c>
      <c r="M14" s="23">
        <v>2384413</v>
      </c>
      <c r="N14" s="23">
        <v>3001106</v>
      </c>
      <c r="O14" s="6" t="s">
        <v>22</v>
      </c>
      <c r="P14" s="20">
        <f t="shared" si="0"/>
        <v>33636798</v>
      </c>
      <c r="Q14" s="7">
        <f t="shared" si="2"/>
        <v>-4.7583077122761108E-2</v>
      </c>
      <c r="R14" s="2"/>
      <c r="S14" s="6" t="s">
        <v>22</v>
      </c>
      <c r="T14" s="20">
        <f t="shared" ca="1" si="1"/>
        <v>33636798</v>
      </c>
      <c r="U14" s="7">
        <f t="shared" ca="1" si="3"/>
        <v>-4.7583077122761108E-2</v>
      </c>
    </row>
    <row r="15" spans="1:35" x14ac:dyDescent="0.55000000000000004">
      <c r="A15" s="14">
        <v>9</v>
      </c>
      <c r="B15" s="6" t="s">
        <v>23</v>
      </c>
      <c r="C15" s="23">
        <v>3167035</v>
      </c>
      <c r="D15" s="23">
        <v>3351127</v>
      </c>
      <c r="E15" s="23">
        <v>2834772</v>
      </c>
      <c r="F15" s="23">
        <v>2435424</v>
      </c>
      <c r="G15" s="23">
        <v>2058344</v>
      </c>
      <c r="H15" s="23">
        <v>2690288</v>
      </c>
      <c r="I15" s="23">
        <v>2300611</v>
      </c>
      <c r="J15" s="23">
        <v>1985129</v>
      </c>
      <c r="K15" s="23">
        <v>2065344</v>
      </c>
      <c r="L15" s="23">
        <v>2202881</v>
      </c>
      <c r="M15" s="23">
        <v>2661527</v>
      </c>
      <c r="N15" s="23">
        <v>2418736</v>
      </c>
      <c r="O15" s="6" t="s">
        <v>23</v>
      </c>
      <c r="P15" s="20">
        <f t="shared" si="0"/>
        <v>30171218</v>
      </c>
      <c r="Q15" s="7">
        <f t="shared" si="2"/>
        <v>-0.10302942628486811</v>
      </c>
      <c r="R15" s="2"/>
      <c r="S15" s="6" t="s">
        <v>23</v>
      </c>
      <c r="T15" s="20">
        <f t="shared" ca="1" si="1"/>
        <v>30171218</v>
      </c>
      <c r="U15" s="7">
        <f t="shared" ca="1" si="3"/>
        <v>-0.10302942628486811</v>
      </c>
    </row>
    <row r="16" spans="1:35" x14ac:dyDescent="0.55000000000000004">
      <c r="A16" s="14">
        <v>10</v>
      </c>
      <c r="B16" s="6" t="s">
        <v>24</v>
      </c>
      <c r="C16" s="23">
        <v>3446494</v>
      </c>
      <c r="D16" s="23">
        <v>3278414</v>
      </c>
      <c r="E16" s="23">
        <v>3273181</v>
      </c>
      <c r="F16" s="23">
        <v>3275592</v>
      </c>
      <c r="G16" s="23">
        <v>2822230</v>
      </c>
      <c r="H16" s="23">
        <v>3148834</v>
      </c>
      <c r="I16" s="23">
        <v>3244334</v>
      </c>
      <c r="J16" s="23">
        <v>3178112</v>
      </c>
      <c r="K16" s="23">
        <v>2496148</v>
      </c>
      <c r="L16" s="23">
        <v>2497750</v>
      </c>
      <c r="M16" s="23">
        <v>2542992</v>
      </c>
      <c r="N16" s="23">
        <v>3298970</v>
      </c>
      <c r="O16" s="6" t="s">
        <v>24</v>
      </c>
      <c r="P16" s="20">
        <f t="shared" si="0"/>
        <v>36503051</v>
      </c>
      <c r="Q16" s="7">
        <f t="shared" si="2"/>
        <v>0.20986335387586941</v>
      </c>
      <c r="R16" s="2"/>
      <c r="S16" s="6" t="s">
        <v>24</v>
      </c>
      <c r="T16" s="20">
        <f t="shared" ca="1" si="1"/>
        <v>36503051</v>
      </c>
      <c r="U16" s="7">
        <f t="shared" ca="1" si="3"/>
        <v>0.20986335387586941</v>
      </c>
    </row>
    <row r="17" spans="1:21" x14ac:dyDescent="0.55000000000000004">
      <c r="A17" s="14">
        <v>11</v>
      </c>
      <c r="B17" s="6" t="s">
        <v>25</v>
      </c>
      <c r="C17" s="23">
        <v>3884747</v>
      </c>
      <c r="D17" s="23">
        <v>3578374</v>
      </c>
      <c r="E17" s="23">
        <v>3900000</v>
      </c>
      <c r="F17" s="23">
        <f>'[1]Arabica Exports'!I61</f>
        <v>3301696</v>
      </c>
      <c r="G17" s="23">
        <f>'[1]Arabica Exports'!J61</f>
        <v>2907707</v>
      </c>
      <c r="H17" s="23">
        <f>'[1]Arabica Exports'!K61</f>
        <v>2824160</v>
      </c>
      <c r="I17" s="23">
        <f>'[1]Arabica Exports'!L61</f>
        <v>2688108</v>
      </c>
      <c r="J17" s="23">
        <f>'[1]Arabica Exports'!M61</f>
        <v>2413181</v>
      </c>
      <c r="K17" s="23">
        <f>'[1]Arabica Exports'!N61</f>
        <v>1828485</v>
      </c>
      <c r="L17" s="23">
        <f>'[1]Arabica Exports'!$C$62</f>
        <v>1992423</v>
      </c>
      <c r="M17" s="23">
        <f>'[1]Arabica Exports'!D62</f>
        <v>2279622</v>
      </c>
      <c r="N17" s="23">
        <f>'[1]Arabica Exports'!E62</f>
        <v>2977456</v>
      </c>
      <c r="O17" s="6" t="s">
        <v>25</v>
      </c>
      <c r="P17" s="5">
        <f t="shared" si="0"/>
        <v>34575959</v>
      </c>
      <c r="Q17" s="7"/>
      <c r="R17" s="2"/>
      <c r="S17" s="6" t="s">
        <v>25</v>
      </c>
      <c r="T17" s="20">
        <f t="shared" ca="1" si="1"/>
        <v>34575959</v>
      </c>
      <c r="U17" s="7">
        <f t="shared" ca="1" si="3"/>
        <v>-5.2792628210721393E-2</v>
      </c>
    </row>
    <row r="18" spans="1:21" x14ac:dyDescent="0.55000000000000004">
      <c r="A18" s="14">
        <v>12</v>
      </c>
      <c r="B18" s="6" t="s">
        <v>26</v>
      </c>
      <c r="C18" s="23">
        <f>'[1]Arabica Exports'!F62</f>
        <v>3388002</v>
      </c>
      <c r="D18" s="23">
        <f>'[1]Arabica Exports'!G62</f>
        <v>3064278</v>
      </c>
      <c r="E18" s="23">
        <f>'[1]Arabica Exports'!H62</f>
        <v>2646077</v>
      </c>
      <c r="F18" s="23">
        <f>'[1]Arabica Exports'!I62</f>
        <v>2354885</v>
      </c>
      <c r="G18" s="23">
        <f>'[1]Arabica Exports'!J62</f>
        <v>2069721</v>
      </c>
      <c r="H18" s="23">
        <f>'[1]Arabica Exports'!K62</f>
        <v>2295458</v>
      </c>
      <c r="I18" s="23">
        <f>'[1]Arabica Exports'!L62</f>
        <v>2284296</v>
      </c>
      <c r="J18" s="23">
        <f>'[1]Arabica Exports'!M62</f>
        <v>2144329</v>
      </c>
      <c r="K18" s="23">
        <f>'[1]Arabica Exports'!N62</f>
        <v>2019742</v>
      </c>
      <c r="L18" s="23">
        <f>'[1]Arabica Exports'!$C$62</f>
        <v>1992423</v>
      </c>
      <c r="M18" s="23">
        <f>'[1]Arabica Exports'!D63</f>
        <v>2959308</v>
      </c>
      <c r="N18" s="23">
        <f>'[1]Arabica Exports'!E63</f>
        <v>2766290</v>
      </c>
      <c r="O18" s="6" t="s">
        <v>26</v>
      </c>
      <c r="P18" s="5">
        <f t="shared" si="0"/>
        <v>29984809</v>
      </c>
      <c r="Q18" s="7"/>
      <c r="R18" s="2"/>
      <c r="S18" s="6" t="s">
        <v>26</v>
      </c>
      <c r="T18" s="20">
        <f ca="1">IFERROR(IF(SUM(OFFSET(C18,0,0,1,$C$56))=0,"",SUM(OFFSET(C18,0,0,1,$C$56))),"")</f>
        <v>29984809</v>
      </c>
      <c r="U18" s="7">
        <f t="shared" ca="1" si="3"/>
        <v>-0.13278445870438471</v>
      </c>
    </row>
    <row r="19" spans="1:21" x14ac:dyDescent="0.55000000000000004">
      <c r="A19" s="14">
        <v>13</v>
      </c>
      <c r="B19" s="6" t="s">
        <v>27</v>
      </c>
      <c r="C19" s="23" t="e">
        <f>NA()</f>
        <v>#N/A</v>
      </c>
      <c r="D19" s="23" t="e">
        <f>NA()</f>
        <v>#N/A</v>
      </c>
      <c r="E19" s="23" t="e">
        <f>NA()</f>
        <v>#N/A</v>
      </c>
      <c r="F19" s="23" t="e">
        <f>NA()</f>
        <v>#N/A</v>
      </c>
      <c r="G19" s="23" t="e">
        <f>NA()</f>
        <v>#N/A</v>
      </c>
      <c r="H19" s="23" t="e">
        <f>NA()</f>
        <v>#N/A</v>
      </c>
      <c r="I19" s="23" t="e">
        <f>NA()</f>
        <v>#N/A</v>
      </c>
      <c r="J19" s="23" t="e">
        <f>NA()</f>
        <v>#N/A</v>
      </c>
      <c r="K19" s="23" t="e">
        <f>NA()</f>
        <v>#N/A</v>
      </c>
      <c r="L19" s="23" t="e">
        <f>NA()</f>
        <v>#N/A</v>
      </c>
      <c r="M19" s="23" t="e">
        <f>NA()</f>
        <v>#N/A</v>
      </c>
      <c r="N19" s="23" t="e">
        <f>NA()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ca="1">IFERROR(IF(SUM(OFFSET(C19,0,0,1,$C$56))=0,"",SUM(OFFSET(C19,0,0,1,$C$56))),"")</f>
        <v/>
      </c>
      <c r="U19" s="7"/>
    </row>
    <row r="20" spans="1:21" x14ac:dyDescent="0.55000000000000004">
      <c r="B20" s="8" t="s">
        <v>28</v>
      </c>
      <c r="C20" s="22">
        <f>IFERROR(C18/C17-1,"")</f>
        <v>-0.12787061808658329</v>
      </c>
      <c r="D20" s="22">
        <f>IFERROR(D18/D17-1,"")</f>
        <v>-0.14366748696474996</v>
      </c>
      <c r="E20" s="22">
        <f t="shared" ref="E20:N20" si="4">IFERROR(E18/E17-1,"")</f>
        <v>-0.321518717948718</v>
      </c>
      <c r="F20" s="22">
        <f t="shared" si="4"/>
        <v>-0.28676504438930783</v>
      </c>
      <c r="G20" s="22">
        <f t="shared" si="4"/>
        <v>-0.28819478716390612</v>
      </c>
      <c r="H20" s="22">
        <f t="shared" si="4"/>
        <v>-0.18720681547787665</v>
      </c>
      <c r="I20" s="22">
        <f t="shared" si="4"/>
        <v>-0.15022164288041995</v>
      </c>
      <c r="J20" s="22">
        <f t="shared" si="4"/>
        <v>-0.11140979478953295</v>
      </c>
      <c r="K20" s="22">
        <f t="shared" si="4"/>
        <v>0.10459861579394958</v>
      </c>
      <c r="L20" s="22">
        <f t="shared" si="4"/>
        <v>0</v>
      </c>
      <c r="M20" s="22">
        <f t="shared" si="4"/>
        <v>0.2981573260830086</v>
      </c>
      <c r="N20" s="22">
        <f t="shared" si="4"/>
        <v>-7.0921618992858315E-2</v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Brazil : Arabica Exports | YTD : Oct-Sep</v>
      </c>
      <c r="Q27" s="13" t="str">
        <f>_xlfn.CONCAT(A1," | ","Cumulative")</f>
        <v>Brazil : Arabica Exports | Cumulative</v>
      </c>
    </row>
    <row r="56" spans="2:6" x14ac:dyDescent="0.55000000000000004">
      <c r="B56" s="26" t="s">
        <v>29</v>
      </c>
      <c r="C56" s="26">
        <f>COUNT(C18:N18)</f>
        <v>12</v>
      </c>
      <c r="D56" s="25" t="str">
        <f ca="1">OFFSET(B6,0,$C$56,1,1)</f>
        <v>Sep</v>
      </c>
      <c r="E56" s="11" t="str">
        <f>B18</f>
        <v>25/26</v>
      </c>
      <c r="F56" s="11" t="str">
        <f ca="1">_xlfn.CONCAT(D56,"'",E56)</f>
        <v>Sep'25/26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3388002</v>
      </c>
      <c r="C66" s="12">
        <f t="shared" ref="C66:M66" si="5">D18</f>
        <v>3064278</v>
      </c>
      <c r="D66" s="12">
        <f t="shared" si="5"/>
        <v>2646077</v>
      </c>
      <c r="E66" s="12">
        <f t="shared" si="5"/>
        <v>2354885</v>
      </c>
      <c r="F66" s="12">
        <f t="shared" si="5"/>
        <v>2069721</v>
      </c>
      <c r="G66" s="12">
        <f t="shared" si="5"/>
        <v>2295458</v>
      </c>
      <c r="H66" s="12">
        <f t="shared" si="5"/>
        <v>2284296</v>
      </c>
      <c r="I66" s="12">
        <f t="shared" si="5"/>
        <v>2144329</v>
      </c>
      <c r="J66" s="12">
        <f t="shared" si="5"/>
        <v>2019742</v>
      </c>
      <c r="K66" s="12">
        <f t="shared" si="5"/>
        <v>1992423</v>
      </c>
      <c r="L66" s="12">
        <f t="shared" si="5"/>
        <v>2959308</v>
      </c>
      <c r="M66" s="12">
        <f t="shared" si="5"/>
        <v>2766290</v>
      </c>
    </row>
    <row r="67" spans="1:25" x14ac:dyDescent="0.55000000000000004">
      <c r="A67" s="11" t="s">
        <v>30</v>
      </c>
      <c r="B67" s="12">
        <f>MIN(C7:C17)</f>
        <v>2570753</v>
      </c>
      <c r="C67" s="12">
        <f t="shared" ref="C67:M67" si="6">MIN(D7:D17)</f>
        <v>2492353</v>
      </c>
      <c r="D67" s="12">
        <f t="shared" si="6"/>
        <v>2409528</v>
      </c>
      <c r="E67" s="12">
        <f t="shared" si="6"/>
        <v>2429067</v>
      </c>
      <c r="F67" s="12">
        <f t="shared" si="6"/>
        <v>2058344</v>
      </c>
      <c r="G67" s="12">
        <f t="shared" si="6"/>
        <v>2237524</v>
      </c>
      <c r="H67" s="12">
        <f t="shared" si="6"/>
        <v>1937245</v>
      </c>
      <c r="I67" s="12">
        <f t="shared" si="6"/>
        <v>1440854</v>
      </c>
      <c r="J67" s="12">
        <f t="shared" si="6"/>
        <v>1828485</v>
      </c>
      <c r="K67" s="12">
        <f t="shared" si="6"/>
        <v>1578300</v>
      </c>
      <c r="L67" s="12">
        <f t="shared" si="6"/>
        <v>2126832</v>
      </c>
      <c r="M67" s="12">
        <f t="shared" si="6"/>
        <v>2130292</v>
      </c>
      <c r="N67" s="12"/>
    </row>
    <row r="68" spans="1:25" x14ac:dyDescent="0.55000000000000004">
      <c r="A68" s="11" t="s">
        <v>31</v>
      </c>
      <c r="B68" s="12">
        <f>MAX(C7:C17)</f>
        <v>3884747</v>
      </c>
      <c r="C68" s="12">
        <f t="shared" ref="C68:M68" si="7">MAX(D7:D17)</f>
        <v>4080675</v>
      </c>
      <c r="D68" s="12">
        <f t="shared" si="7"/>
        <v>3900000</v>
      </c>
      <c r="E68" s="12">
        <f t="shared" si="7"/>
        <v>3301696</v>
      </c>
      <c r="F68" s="12">
        <f t="shared" si="7"/>
        <v>3357482</v>
      </c>
      <c r="G68" s="12">
        <f t="shared" si="7"/>
        <v>3314870</v>
      </c>
      <c r="H68" s="12">
        <f t="shared" si="7"/>
        <v>3244334</v>
      </c>
      <c r="I68" s="12">
        <f t="shared" si="7"/>
        <v>3178112</v>
      </c>
      <c r="J68" s="12">
        <f t="shared" si="7"/>
        <v>2688245</v>
      </c>
      <c r="K68" s="12">
        <f t="shared" si="7"/>
        <v>2497750</v>
      </c>
      <c r="L68" s="12">
        <f t="shared" si="7"/>
        <v>2766801</v>
      </c>
      <c r="M68" s="12">
        <f t="shared" si="7"/>
        <v>3298970</v>
      </c>
      <c r="N68" s="12"/>
    </row>
    <row r="69" spans="1:25" x14ac:dyDescent="0.55000000000000004">
      <c r="A69" s="11" t="s">
        <v>32</v>
      </c>
      <c r="B69" s="12">
        <f>AVERAGE(C12:C17)</f>
        <v>3355031.3333333335</v>
      </c>
      <c r="C69" s="12">
        <f t="shared" ref="C69:M69" si="8">AVERAGE(D12:D17)</f>
        <v>3279020.1666666665</v>
      </c>
      <c r="D69" s="12">
        <f t="shared" si="8"/>
        <v>3224986.3333333335</v>
      </c>
      <c r="E69" s="12">
        <f t="shared" si="8"/>
        <v>3011231.6666666665</v>
      </c>
      <c r="F69" s="12">
        <f t="shared" si="8"/>
        <v>2794824</v>
      </c>
      <c r="G69" s="12">
        <f t="shared" si="8"/>
        <v>2999436.1666666665</v>
      </c>
      <c r="H69" s="12">
        <f t="shared" si="8"/>
        <v>2811041.1666666665</v>
      </c>
      <c r="I69" s="12">
        <f t="shared" si="8"/>
        <v>2441160.6666666665</v>
      </c>
      <c r="J69" s="12">
        <f t="shared" si="8"/>
        <v>2256498.5</v>
      </c>
      <c r="K69" s="12">
        <f t="shared" si="8"/>
        <v>2222608.8333333335</v>
      </c>
      <c r="L69" s="12">
        <f t="shared" si="8"/>
        <v>2460364.5</v>
      </c>
      <c r="M69" s="12">
        <f t="shared" si="8"/>
        <v>2900415.3333333335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2814343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9">INDEX($C$7:$N$19,MATCH(B75,$A$7:$A$19),MATCH(C75,$C$4:$N$4))</f>
        <v>2492353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9"/>
        <v>2433890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>
        <f>C7</f>
        <v>2814343</v>
      </c>
      <c r="O76" s="5">
        <f t="shared" ref="O76:O88" si="13">N76+D7</f>
        <v>5306696</v>
      </c>
      <c r="P76" s="5">
        <f t="shared" ref="P76:P88" si="14">O76+E7</f>
        <v>7740586</v>
      </c>
      <c r="Q76" s="5">
        <f t="shared" ref="Q76:Q88" si="15">P76+F7</f>
        <v>10236213</v>
      </c>
      <c r="R76" s="5">
        <f t="shared" ref="R76:R88" si="16">Q76+G7</f>
        <v>12465337</v>
      </c>
      <c r="S76" s="5">
        <f t="shared" ref="S76:S88" si="17">R76+H7</f>
        <v>14934585</v>
      </c>
      <c r="T76" s="5">
        <f t="shared" ref="T76:T88" si="18">S76+I7</f>
        <v>17288119</v>
      </c>
      <c r="U76" s="5">
        <f t="shared" ref="U76:U88" si="19">T76+J7</f>
        <v>19506701</v>
      </c>
      <c r="V76" s="5">
        <f t="shared" ref="V76:V88" si="20">U76+K7</f>
        <v>21443523</v>
      </c>
      <c r="W76" s="5">
        <f t="shared" ref="W76:W88" si="21">V76+L7</f>
        <v>23579497</v>
      </c>
      <c r="X76" s="5">
        <f t="shared" ref="X76:X88" si="22">W76+M7</f>
        <v>25777140</v>
      </c>
      <c r="Y76" s="5">
        <f t="shared" ref="Y76:Y88" si="23">X76+N7</f>
        <v>28351314</v>
      </c>
    </row>
    <row r="77" spans="1:25" x14ac:dyDescent="0.55000000000000004">
      <c r="B77" s="11">
        <v>1</v>
      </c>
      <c r="C77" s="11">
        <v>4</v>
      </c>
      <c r="D77" s="12">
        <f t="shared" si="9"/>
        <v>2495627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24">C8</f>
        <v>2845902</v>
      </c>
      <c r="O77" s="5">
        <f t="shared" si="13"/>
        <v>5791740</v>
      </c>
      <c r="P77" s="5">
        <f t="shared" si="14"/>
        <v>8614455</v>
      </c>
      <c r="Q77" s="5">
        <f t="shared" si="15"/>
        <v>11074432</v>
      </c>
      <c r="R77" s="5">
        <f t="shared" si="16"/>
        <v>13626745</v>
      </c>
      <c r="S77" s="5">
        <f t="shared" si="17"/>
        <v>16335559</v>
      </c>
      <c r="T77" s="5">
        <f t="shared" si="18"/>
        <v>18459671</v>
      </c>
      <c r="U77" s="5">
        <f t="shared" si="19"/>
        <v>20620591</v>
      </c>
      <c r="V77" s="5">
        <f t="shared" si="20"/>
        <v>22634300</v>
      </c>
      <c r="W77" s="5">
        <f t="shared" si="21"/>
        <v>24244808</v>
      </c>
      <c r="X77" s="5">
        <f t="shared" si="22"/>
        <v>26901348</v>
      </c>
      <c r="Y77" s="5">
        <f t="shared" si="23"/>
        <v>29568150</v>
      </c>
    </row>
    <row r="78" spans="1:25" x14ac:dyDescent="0.55000000000000004">
      <c r="B78" s="11">
        <v>1</v>
      </c>
      <c r="C78" s="11">
        <v>5</v>
      </c>
      <c r="D78" s="12">
        <f t="shared" si="9"/>
        <v>2229124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24"/>
        <v>3006622</v>
      </c>
      <c r="O78" s="5">
        <f t="shared" si="13"/>
        <v>5931036</v>
      </c>
      <c r="P78" s="5">
        <f t="shared" si="14"/>
        <v>8832323</v>
      </c>
      <c r="Q78" s="5">
        <f t="shared" si="15"/>
        <v>11261390</v>
      </c>
      <c r="R78" s="5">
        <f t="shared" si="16"/>
        <v>13565927</v>
      </c>
      <c r="S78" s="5">
        <f t="shared" si="17"/>
        <v>16002516</v>
      </c>
      <c r="T78" s="5">
        <f t="shared" si="18"/>
        <v>17939761</v>
      </c>
      <c r="U78" s="5">
        <f t="shared" si="19"/>
        <v>20244783</v>
      </c>
      <c r="V78" s="5">
        <f t="shared" si="20"/>
        <v>22119851</v>
      </c>
      <c r="W78" s="5">
        <f t="shared" si="21"/>
        <v>23698151</v>
      </c>
      <c r="X78" s="5">
        <f t="shared" si="22"/>
        <v>25973086</v>
      </c>
      <c r="Y78" s="5">
        <f t="shared" si="23"/>
        <v>28103378</v>
      </c>
    </row>
    <row r="79" spans="1:25" x14ac:dyDescent="0.55000000000000004">
      <c r="B79" s="11">
        <v>1</v>
      </c>
      <c r="C79" s="11">
        <v>6</v>
      </c>
      <c r="D79" s="12">
        <f t="shared" si="9"/>
        <v>2469248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24"/>
        <v>2570753</v>
      </c>
      <c r="O79" s="5">
        <f t="shared" si="13"/>
        <v>5254661</v>
      </c>
      <c r="P79" s="5">
        <f t="shared" si="14"/>
        <v>7852601</v>
      </c>
      <c r="Q79" s="5">
        <f t="shared" si="15"/>
        <v>10371982</v>
      </c>
      <c r="R79" s="5">
        <f t="shared" si="16"/>
        <v>12579989</v>
      </c>
      <c r="S79" s="5">
        <f t="shared" si="17"/>
        <v>14817513</v>
      </c>
      <c r="T79" s="5">
        <f t="shared" si="18"/>
        <v>16844499</v>
      </c>
      <c r="U79" s="5">
        <f t="shared" si="19"/>
        <v>18285353</v>
      </c>
      <c r="V79" s="5">
        <f t="shared" si="20"/>
        <v>20271606</v>
      </c>
      <c r="W79" s="5">
        <f t="shared" si="21"/>
        <v>22027081</v>
      </c>
      <c r="X79" s="5">
        <f t="shared" si="22"/>
        <v>24649371</v>
      </c>
      <c r="Y79" s="5">
        <f t="shared" si="23"/>
        <v>27199301</v>
      </c>
    </row>
    <row r="80" spans="1:25" x14ac:dyDescent="0.55000000000000004">
      <c r="B80" s="11">
        <v>1</v>
      </c>
      <c r="C80" s="11">
        <v>7</v>
      </c>
      <c r="D80" s="12">
        <f t="shared" si="9"/>
        <v>2353534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24"/>
        <v>3240734</v>
      </c>
      <c r="O80" s="5">
        <f t="shared" si="13"/>
        <v>6603178</v>
      </c>
      <c r="P80" s="5">
        <f t="shared" si="14"/>
        <v>10065321</v>
      </c>
      <c r="Q80" s="5">
        <f t="shared" si="15"/>
        <v>13139223</v>
      </c>
      <c r="R80" s="5">
        <f t="shared" si="16"/>
        <v>16190336</v>
      </c>
      <c r="S80" s="5">
        <f t="shared" si="17"/>
        <v>18748218</v>
      </c>
      <c r="T80" s="5">
        <f t="shared" si="18"/>
        <v>21454597</v>
      </c>
      <c r="U80" s="5">
        <f t="shared" si="19"/>
        <v>24480351</v>
      </c>
      <c r="V80" s="5">
        <f t="shared" si="20"/>
        <v>26836322</v>
      </c>
      <c r="W80" s="5">
        <f t="shared" si="21"/>
        <v>29274922</v>
      </c>
      <c r="X80" s="5">
        <f t="shared" si="22"/>
        <v>31845737</v>
      </c>
      <c r="Y80" s="5">
        <f t="shared" si="23"/>
        <v>34645887</v>
      </c>
    </row>
    <row r="81" spans="2:25" x14ac:dyDescent="0.55000000000000004">
      <c r="B81" s="11">
        <v>1</v>
      </c>
      <c r="C81" s="11">
        <v>8</v>
      </c>
      <c r="D81" s="12">
        <f t="shared" si="9"/>
        <v>2218582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24"/>
        <v>2964909</v>
      </c>
      <c r="O81" s="5">
        <f t="shared" si="13"/>
        <v>5722794</v>
      </c>
      <c r="P81" s="5">
        <f t="shared" si="14"/>
        <v>8132322</v>
      </c>
      <c r="Q81" s="5">
        <f t="shared" si="15"/>
        <v>11054709</v>
      </c>
      <c r="R81" s="5">
        <f t="shared" si="16"/>
        <v>13532138</v>
      </c>
      <c r="S81" s="5">
        <f t="shared" si="17"/>
        <v>16430922</v>
      </c>
      <c r="T81" s="5">
        <f t="shared" si="18"/>
        <v>19382457</v>
      </c>
      <c r="U81" s="5">
        <f t="shared" si="19"/>
        <v>21840164</v>
      </c>
      <c r="V81" s="5">
        <f t="shared" si="20"/>
        <v>23922186</v>
      </c>
      <c r="W81" s="5">
        <f t="shared" si="21"/>
        <v>26343332</v>
      </c>
      <c r="X81" s="5">
        <f t="shared" si="22"/>
        <v>29110133</v>
      </c>
      <c r="Y81" s="5">
        <f t="shared" si="23"/>
        <v>32335382</v>
      </c>
    </row>
    <row r="82" spans="2:25" x14ac:dyDescent="0.55000000000000004">
      <c r="B82" s="11">
        <v>1</v>
      </c>
      <c r="C82" s="11">
        <v>9</v>
      </c>
      <c r="D82" s="12">
        <f t="shared" si="9"/>
        <v>1936822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24"/>
        <v>3698601</v>
      </c>
      <c r="O82" s="5">
        <f t="shared" si="13"/>
        <v>7779276</v>
      </c>
      <c r="P82" s="5">
        <f t="shared" si="14"/>
        <v>11421643</v>
      </c>
      <c r="Q82" s="5">
        <f t="shared" si="15"/>
        <v>14560271</v>
      </c>
      <c r="R82" s="5">
        <f t="shared" si="16"/>
        <v>17917753</v>
      </c>
      <c r="S82" s="5">
        <f t="shared" si="17"/>
        <v>21037434</v>
      </c>
      <c r="T82" s="5">
        <f t="shared" si="18"/>
        <v>24083200</v>
      </c>
      <c r="U82" s="5">
        <f t="shared" si="19"/>
        <v>26166461</v>
      </c>
      <c r="V82" s="5">
        <f t="shared" si="20"/>
        <v>28545208</v>
      </c>
      <c r="W82" s="5">
        <f t="shared" si="21"/>
        <v>30709497</v>
      </c>
      <c r="X82" s="5">
        <f t="shared" si="22"/>
        <v>32836329</v>
      </c>
      <c r="Y82" s="5">
        <f t="shared" si="23"/>
        <v>35317304</v>
      </c>
    </row>
    <row r="83" spans="2:25" x14ac:dyDescent="0.55000000000000004">
      <c r="B83" s="11">
        <v>1</v>
      </c>
      <c r="C83" s="11">
        <v>10</v>
      </c>
      <c r="D83" s="12">
        <f t="shared" si="9"/>
        <v>2135974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24"/>
        <v>2968402</v>
      </c>
      <c r="O83" s="5">
        <f t="shared" si="13"/>
        <v>5596048</v>
      </c>
      <c r="P83" s="5">
        <f t="shared" si="14"/>
        <v>8886118</v>
      </c>
      <c r="Q83" s="5">
        <f t="shared" si="15"/>
        <v>11879781</v>
      </c>
      <c r="R83" s="5">
        <f t="shared" si="16"/>
        <v>15025533</v>
      </c>
      <c r="S83" s="5">
        <f t="shared" si="17"/>
        <v>18340403</v>
      </c>
      <c r="T83" s="5">
        <f t="shared" si="18"/>
        <v>20976296</v>
      </c>
      <c r="U83" s="5">
        <f t="shared" si="19"/>
        <v>23505870</v>
      </c>
      <c r="V83" s="5">
        <f t="shared" si="20"/>
        <v>26194115</v>
      </c>
      <c r="W83" s="5">
        <f t="shared" si="21"/>
        <v>28251279</v>
      </c>
      <c r="X83" s="5">
        <f t="shared" si="22"/>
        <v>30635692</v>
      </c>
      <c r="Y83" s="5">
        <f t="shared" si="23"/>
        <v>33636798</v>
      </c>
    </row>
    <row r="84" spans="2:25" x14ac:dyDescent="0.55000000000000004">
      <c r="B84" s="11">
        <v>1</v>
      </c>
      <c r="C84" s="11">
        <v>11</v>
      </c>
      <c r="D84" s="12">
        <f t="shared" si="9"/>
        <v>2197643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24"/>
        <v>3167035</v>
      </c>
      <c r="O84" s="5">
        <f t="shared" si="13"/>
        <v>6518162</v>
      </c>
      <c r="P84" s="5">
        <f t="shared" si="14"/>
        <v>9352934</v>
      </c>
      <c r="Q84" s="5">
        <f t="shared" si="15"/>
        <v>11788358</v>
      </c>
      <c r="R84" s="5">
        <f t="shared" si="16"/>
        <v>13846702</v>
      </c>
      <c r="S84" s="5">
        <f t="shared" si="17"/>
        <v>16536990</v>
      </c>
      <c r="T84" s="5">
        <f t="shared" si="18"/>
        <v>18837601</v>
      </c>
      <c r="U84" s="5">
        <f t="shared" si="19"/>
        <v>20822730</v>
      </c>
      <c r="V84" s="5">
        <f t="shared" si="20"/>
        <v>22888074</v>
      </c>
      <c r="W84" s="5">
        <f t="shared" si="21"/>
        <v>25090955</v>
      </c>
      <c r="X84" s="5">
        <f t="shared" si="22"/>
        <v>27752482</v>
      </c>
      <c r="Y84" s="5">
        <f t="shared" si="23"/>
        <v>30171218</v>
      </c>
    </row>
    <row r="85" spans="2:25" x14ac:dyDescent="0.55000000000000004">
      <c r="B85" s="11">
        <v>1</v>
      </c>
      <c r="C85" s="11">
        <v>12</v>
      </c>
      <c r="D85" s="12">
        <f t="shared" si="9"/>
        <v>2574174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>
        <f>SUM(D74:D85)/1000000</f>
        <v>28.351313999999999</v>
      </c>
      <c r="M85" s="6" t="s">
        <v>24</v>
      </c>
      <c r="N85" s="5">
        <f t="shared" si="24"/>
        <v>3446494</v>
      </c>
      <c r="O85" s="5">
        <f t="shared" si="13"/>
        <v>6724908</v>
      </c>
      <c r="P85" s="5">
        <f t="shared" si="14"/>
        <v>9998089</v>
      </c>
      <c r="Q85" s="5">
        <f t="shared" si="15"/>
        <v>13273681</v>
      </c>
      <c r="R85" s="5">
        <f t="shared" si="16"/>
        <v>16095911</v>
      </c>
      <c r="S85" s="5">
        <f t="shared" si="17"/>
        <v>19244745</v>
      </c>
      <c r="T85" s="5">
        <f t="shared" si="18"/>
        <v>22489079</v>
      </c>
      <c r="U85" s="5">
        <f t="shared" si="19"/>
        <v>25667191</v>
      </c>
      <c r="V85" s="5">
        <f t="shared" si="20"/>
        <v>28163339</v>
      </c>
      <c r="W85" s="5">
        <f t="shared" si="21"/>
        <v>30661089</v>
      </c>
      <c r="X85" s="5">
        <f t="shared" si="22"/>
        <v>33204081</v>
      </c>
      <c r="Y85" s="5">
        <f t="shared" si="23"/>
        <v>36503051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2845902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25">G86</f>
        <v>Oct'15/16</v>
      </c>
      <c r="I86" s="11">
        <f t="shared" ref="I86:I149" si="26">SUM(D75:D86)/1000000</f>
        <v>28.382873</v>
      </c>
      <c r="M86" s="6" t="s">
        <v>25</v>
      </c>
      <c r="N86" s="5">
        <f t="shared" si="24"/>
        <v>3884747</v>
      </c>
      <c r="O86" s="5">
        <f t="shared" si="13"/>
        <v>7463121</v>
      </c>
      <c r="P86" s="5">
        <f t="shared" si="14"/>
        <v>11363121</v>
      </c>
      <c r="Q86" s="5">
        <f t="shared" si="15"/>
        <v>14664817</v>
      </c>
      <c r="R86" s="5">
        <f t="shared" si="16"/>
        <v>17572524</v>
      </c>
      <c r="S86" s="5">
        <f t="shared" si="17"/>
        <v>20396684</v>
      </c>
      <c r="T86" s="5">
        <f t="shared" si="18"/>
        <v>23084792</v>
      </c>
      <c r="U86" s="5">
        <f t="shared" si="19"/>
        <v>25497973</v>
      </c>
      <c r="V86" s="5">
        <f t="shared" si="20"/>
        <v>27326458</v>
      </c>
      <c r="W86" s="5">
        <f t="shared" si="21"/>
        <v>29318881</v>
      </c>
      <c r="X86" s="5">
        <f t="shared" si="22"/>
        <v>31598503</v>
      </c>
      <c r="Y86" s="5">
        <f t="shared" si="23"/>
        <v>34575959</v>
      </c>
    </row>
    <row r="87" spans="2:25" x14ac:dyDescent="0.55000000000000004">
      <c r="B87" s="11">
        <f t="shared" ref="B87:B150" si="27">B75+1</f>
        <v>2</v>
      </c>
      <c r="C87" s="11">
        <f t="shared" ref="C87:C150" si="28">C75</f>
        <v>2</v>
      </c>
      <c r="D87" s="12">
        <f t="shared" si="9"/>
        <v>2945838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25"/>
        <v>Nov'15/16</v>
      </c>
      <c r="I87" s="11">
        <f t="shared" si="26"/>
        <v>28.836358000000001</v>
      </c>
      <c r="M87" s="6" t="s">
        <v>26</v>
      </c>
      <c r="N87" s="5">
        <f t="shared" si="24"/>
        <v>3388002</v>
      </c>
      <c r="O87" s="5">
        <f t="shared" si="13"/>
        <v>6452280</v>
      </c>
      <c r="P87" s="5">
        <f t="shared" si="14"/>
        <v>9098357</v>
      </c>
      <c r="Q87" s="5">
        <f t="shared" si="15"/>
        <v>11453242</v>
      </c>
      <c r="R87" s="5">
        <f t="shared" si="16"/>
        <v>13522963</v>
      </c>
      <c r="S87" s="5">
        <f t="shared" si="17"/>
        <v>15818421</v>
      </c>
      <c r="T87" s="5">
        <f t="shared" si="18"/>
        <v>18102717</v>
      </c>
      <c r="U87" s="5">
        <f t="shared" si="19"/>
        <v>20247046</v>
      </c>
      <c r="V87" s="5">
        <f t="shared" si="20"/>
        <v>22266788</v>
      </c>
      <c r="W87" s="5">
        <f t="shared" si="21"/>
        <v>24259211</v>
      </c>
      <c r="X87" s="5">
        <f t="shared" si="22"/>
        <v>27218519</v>
      </c>
      <c r="Y87" s="5">
        <f t="shared" si="23"/>
        <v>29984809</v>
      </c>
    </row>
    <row r="88" spans="2:25" x14ac:dyDescent="0.55000000000000004">
      <c r="B88" s="11">
        <f t="shared" si="27"/>
        <v>2</v>
      </c>
      <c r="C88" s="11">
        <f t="shared" si="28"/>
        <v>3</v>
      </c>
      <c r="D88" s="12">
        <f t="shared" si="9"/>
        <v>2822715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25"/>
        <v>Dec'15/16</v>
      </c>
      <c r="I88" s="11">
        <f t="shared" si="26"/>
        <v>29.225183000000001</v>
      </c>
      <c r="M88" s="6" t="s">
        <v>27</v>
      </c>
      <c r="N88" s="5" t="e">
        <f t="shared" si="24"/>
        <v>#N/A</v>
      </c>
      <c r="O88" s="5" t="e">
        <f t="shared" si="13"/>
        <v>#N/A</v>
      </c>
      <c r="P88" s="5" t="e">
        <f t="shared" si="14"/>
        <v>#N/A</v>
      </c>
      <c r="Q88" s="5" t="e">
        <f t="shared" si="15"/>
        <v>#N/A</v>
      </c>
      <c r="R88" s="5" t="e">
        <f t="shared" si="16"/>
        <v>#N/A</v>
      </c>
      <c r="S88" s="5" t="e">
        <f t="shared" si="17"/>
        <v>#N/A</v>
      </c>
      <c r="T88" s="5" t="e">
        <f t="shared" si="18"/>
        <v>#N/A</v>
      </c>
      <c r="U88" s="5" t="e">
        <f t="shared" si="19"/>
        <v>#N/A</v>
      </c>
      <c r="V88" s="5" t="e">
        <f t="shared" si="20"/>
        <v>#N/A</v>
      </c>
      <c r="W88" s="5" t="e">
        <f t="shared" si="21"/>
        <v>#N/A</v>
      </c>
      <c r="X88" s="5" t="e">
        <f t="shared" si="22"/>
        <v>#N/A</v>
      </c>
      <c r="Y88" s="5" t="e">
        <f t="shared" si="23"/>
        <v>#N/A</v>
      </c>
    </row>
    <row r="89" spans="2:25" x14ac:dyDescent="0.55000000000000004">
      <c r="B89" s="11">
        <f t="shared" si="27"/>
        <v>2</v>
      </c>
      <c r="C89" s="11">
        <f t="shared" si="28"/>
        <v>4</v>
      </c>
      <c r="D89" s="12">
        <f t="shared" si="9"/>
        <v>2459977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25"/>
        <v>Jan'15/16</v>
      </c>
      <c r="I89" s="11">
        <f t="shared" si="26"/>
        <v>29.189533000000001</v>
      </c>
    </row>
    <row r="90" spans="2:25" x14ac:dyDescent="0.55000000000000004">
      <c r="B90" s="11">
        <f t="shared" si="27"/>
        <v>2</v>
      </c>
      <c r="C90" s="11">
        <f t="shared" si="28"/>
        <v>5</v>
      </c>
      <c r="D90" s="12">
        <f t="shared" si="9"/>
        <v>2552313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25"/>
        <v>Feb'15/16</v>
      </c>
      <c r="I90" s="11">
        <f t="shared" si="26"/>
        <v>29.512722</v>
      </c>
    </row>
    <row r="91" spans="2:25" x14ac:dyDescent="0.55000000000000004">
      <c r="B91" s="11">
        <f t="shared" si="27"/>
        <v>2</v>
      </c>
      <c r="C91" s="11">
        <f t="shared" si="28"/>
        <v>6</v>
      </c>
      <c r="D91" s="12">
        <f t="shared" si="9"/>
        <v>2708814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25"/>
        <v>Mar'15/16</v>
      </c>
      <c r="I91" s="11">
        <f t="shared" si="26"/>
        <v>29.752288</v>
      </c>
    </row>
    <row r="92" spans="2:25" x14ac:dyDescent="0.55000000000000004">
      <c r="B92" s="11">
        <f t="shared" si="27"/>
        <v>2</v>
      </c>
      <c r="C92" s="11">
        <f t="shared" si="28"/>
        <v>7</v>
      </c>
      <c r="D92" s="12">
        <f t="shared" si="9"/>
        <v>2124112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25"/>
        <v>Apr'15/16</v>
      </c>
      <c r="I92" s="11">
        <f t="shared" si="26"/>
        <v>29.522866</v>
      </c>
    </row>
    <row r="93" spans="2:25" x14ac:dyDescent="0.55000000000000004">
      <c r="B93" s="11">
        <f t="shared" si="27"/>
        <v>2</v>
      </c>
      <c r="C93" s="11">
        <f t="shared" si="28"/>
        <v>8</v>
      </c>
      <c r="D93" s="12">
        <f t="shared" si="9"/>
        <v>2160920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25"/>
        <v>May'15/16</v>
      </c>
      <c r="I93" s="11">
        <f t="shared" si="26"/>
        <v>29.465204</v>
      </c>
    </row>
    <row r="94" spans="2:25" x14ac:dyDescent="0.55000000000000004">
      <c r="B94" s="11">
        <f t="shared" si="27"/>
        <v>2</v>
      </c>
      <c r="C94" s="11">
        <f t="shared" si="28"/>
        <v>9</v>
      </c>
      <c r="D94" s="12">
        <f t="shared" si="9"/>
        <v>2013709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25"/>
        <v>Jun'15/16</v>
      </c>
      <c r="I94" s="11">
        <f t="shared" si="26"/>
        <v>29.542090999999999</v>
      </c>
    </row>
    <row r="95" spans="2:25" x14ac:dyDescent="0.55000000000000004">
      <c r="B95" s="11">
        <f t="shared" si="27"/>
        <v>2</v>
      </c>
      <c r="C95" s="11">
        <f t="shared" si="28"/>
        <v>10</v>
      </c>
      <c r="D95" s="12">
        <f t="shared" si="9"/>
        <v>1610508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25"/>
        <v>Jul'15/16</v>
      </c>
      <c r="I95" s="11">
        <f t="shared" si="26"/>
        <v>29.016625000000001</v>
      </c>
    </row>
    <row r="96" spans="2:25" x14ac:dyDescent="0.55000000000000004">
      <c r="B96" s="11">
        <f t="shared" si="27"/>
        <v>2</v>
      </c>
      <c r="C96" s="11">
        <f t="shared" si="28"/>
        <v>11</v>
      </c>
      <c r="D96" s="12">
        <f t="shared" si="9"/>
        <v>2656540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25"/>
        <v>Aug'15/16</v>
      </c>
      <c r="I96" s="11">
        <f t="shared" si="26"/>
        <v>29.475522000000002</v>
      </c>
    </row>
    <row r="97" spans="2:9" x14ac:dyDescent="0.55000000000000004">
      <c r="B97" s="11">
        <f t="shared" si="27"/>
        <v>2</v>
      </c>
      <c r="C97" s="11">
        <f t="shared" si="28"/>
        <v>12</v>
      </c>
      <c r="D97" s="12">
        <f t="shared" si="9"/>
        <v>2666802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25"/>
        <v>Sep'15/16</v>
      </c>
      <c r="I97" s="11">
        <f t="shared" si="26"/>
        <v>29.568149999999999</v>
      </c>
    </row>
    <row r="98" spans="2:9" x14ac:dyDescent="0.55000000000000004">
      <c r="B98" s="11">
        <f t="shared" si="27"/>
        <v>3</v>
      </c>
      <c r="C98" s="11">
        <f t="shared" si="28"/>
        <v>1</v>
      </c>
      <c r="D98" s="12">
        <f t="shared" si="9"/>
        <v>3006622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25"/>
        <v>Oct'16/17</v>
      </c>
      <c r="I98" s="11">
        <f t="shared" si="26"/>
        <v>29.728870000000001</v>
      </c>
    </row>
    <row r="99" spans="2:9" x14ac:dyDescent="0.55000000000000004">
      <c r="B99" s="11">
        <f t="shared" si="27"/>
        <v>3</v>
      </c>
      <c r="C99" s="11">
        <f t="shared" si="28"/>
        <v>2</v>
      </c>
      <c r="D99" s="12">
        <f t="shared" si="9"/>
        <v>2924414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25"/>
        <v>Nov'16/17</v>
      </c>
      <c r="I99" s="11">
        <f t="shared" si="26"/>
        <v>29.707446000000001</v>
      </c>
    </row>
    <row r="100" spans="2:9" x14ac:dyDescent="0.55000000000000004">
      <c r="B100" s="11">
        <f t="shared" si="27"/>
        <v>3</v>
      </c>
      <c r="C100" s="11">
        <f t="shared" si="28"/>
        <v>3</v>
      </c>
      <c r="D100" s="12">
        <f t="shared" si="9"/>
        <v>2901287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25"/>
        <v>Dec'16/17</v>
      </c>
      <c r="I100" s="11">
        <f t="shared" si="26"/>
        <v>29.786017999999999</v>
      </c>
    </row>
    <row r="101" spans="2:9" x14ac:dyDescent="0.55000000000000004">
      <c r="B101" s="11">
        <f t="shared" si="27"/>
        <v>3</v>
      </c>
      <c r="C101" s="11">
        <f t="shared" si="28"/>
        <v>4</v>
      </c>
      <c r="D101" s="12">
        <f t="shared" si="9"/>
        <v>2429067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25"/>
        <v>Jan'16/17</v>
      </c>
      <c r="I101" s="11">
        <f t="shared" si="26"/>
        <v>29.755108</v>
      </c>
    </row>
    <row r="102" spans="2:9" x14ac:dyDescent="0.55000000000000004">
      <c r="B102" s="11">
        <f t="shared" si="27"/>
        <v>3</v>
      </c>
      <c r="C102" s="11">
        <f t="shared" si="28"/>
        <v>5</v>
      </c>
      <c r="D102" s="12">
        <f t="shared" si="9"/>
        <v>2304537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25"/>
        <v>Feb'16/17</v>
      </c>
      <c r="I102" s="11">
        <f t="shared" si="26"/>
        <v>29.507332000000002</v>
      </c>
    </row>
    <row r="103" spans="2:9" x14ac:dyDescent="0.55000000000000004">
      <c r="B103" s="11">
        <f t="shared" si="27"/>
        <v>3</v>
      </c>
      <c r="C103" s="11">
        <f t="shared" si="28"/>
        <v>6</v>
      </c>
      <c r="D103" s="12">
        <f t="shared" si="9"/>
        <v>2436589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25"/>
        <v>Mar'16/17</v>
      </c>
      <c r="I103" s="11">
        <f t="shared" si="26"/>
        <v>29.235106999999999</v>
      </c>
    </row>
    <row r="104" spans="2:9" x14ac:dyDescent="0.55000000000000004">
      <c r="B104" s="11">
        <f t="shared" si="27"/>
        <v>3</v>
      </c>
      <c r="C104" s="11">
        <f t="shared" si="28"/>
        <v>7</v>
      </c>
      <c r="D104" s="12">
        <f t="shared" si="9"/>
        <v>1937245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25"/>
        <v>Apr'16/17</v>
      </c>
      <c r="I104" s="11">
        <f t="shared" si="26"/>
        <v>29.04824</v>
      </c>
    </row>
    <row r="105" spans="2:9" x14ac:dyDescent="0.55000000000000004">
      <c r="B105" s="11">
        <f t="shared" si="27"/>
        <v>3</v>
      </c>
      <c r="C105" s="11">
        <f t="shared" si="28"/>
        <v>8</v>
      </c>
      <c r="D105" s="12">
        <f t="shared" si="9"/>
        <v>2305022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25"/>
        <v>May'16/17</v>
      </c>
      <c r="I105" s="11">
        <f t="shared" si="26"/>
        <v>29.192342</v>
      </c>
    </row>
    <row r="106" spans="2:9" x14ac:dyDescent="0.55000000000000004">
      <c r="B106" s="11">
        <f t="shared" si="27"/>
        <v>3</v>
      </c>
      <c r="C106" s="11">
        <f t="shared" si="28"/>
        <v>9</v>
      </c>
      <c r="D106" s="12">
        <f t="shared" si="9"/>
        <v>1875068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25"/>
        <v>Jun'16/17</v>
      </c>
      <c r="I106" s="11">
        <f t="shared" si="26"/>
        <v>29.053701</v>
      </c>
    </row>
    <row r="107" spans="2:9" x14ac:dyDescent="0.55000000000000004">
      <c r="B107" s="11">
        <f t="shared" si="27"/>
        <v>3</v>
      </c>
      <c r="C107" s="11">
        <f t="shared" si="28"/>
        <v>10</v>
      </c>
      <c r="D107" s="12">
        <f t="shared" si="9"/>
        <v>1578300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25"/>
        <v>Jul'16/17</v>
      </c>
      <c r="I107" s="11">
        <f t="shared" si="26"/>
        <v>29.021493</v>
      </c>
    </row>
    <row r="108" spans="2:9" x14ac:dyDescent="0.55000000000000004">
      <c r="B108" s="11">
        <f t="shared" si="27"/>
        <v>3</v>
      </c>
      <c r="C108" s="11">
        <f t="shared" si="28"/>
        <v>11</v>
      </c>
      <c r="D108" s="12">
        <f t="shared" si="9"/>
        <v>2274935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25"/>
        <v>Aug'16/17</v>
      </c>
      <c r="I108" s="11">
        <f t="shared" si="26"/>
        <v>28.639887999999999</v>
      </c>
    </row>
    <row r="109" spans="2:9" x14ac:dyDescent="0.55000000000000004">
      <c r="B109" s="11">
        <f t="shared" si="27"/>
        <v>3</v>
      </c>
      <c r="C109" s="11">
        <f t="shared" si="28"/>
        <v>12</v>
      </c>
      <c r="D109" s="12">
        <f t="shared" si="9"/>
        <v>2130292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25"/>
        <v>Sep'16/17</v>
      </c>
      <c r="I109" s="11">
        <f t="shared" si="26"/>
        <v>28.103377999999999</v>
      </c>
    </row>
    <row r="110" spans="2:9" x14ac:dyDescent="0.55000000000000004">
      <c r="B110" s="11">
        <f t="shared" si="27"/>
        <v>4</v>
      </c>
      <c r="C110" s="11">
        <f t="shared" si="28"/>
        <v>1</v>
      </c>
      <c r="D110" s="12">
        <f t="shared" si="9"/>
        <v>2570753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25"/>
        <v>Oct'17/18</v>
      </c>
      <c r="I110" s="11">
        <f t="shared" si="26"/>
        <v>27.667508999999999</v>
      </c>
    </row>
    <row r="111" spans="2:9" x14ac:dyDescent="0.55000000000000004">
      <c r="B111" s="11">
        <f t="shared" si="27"/>
        <v>4</v>
      </c>
      <c r="C111" s="11">
        <f t="shared" si="28"/>
        <v>2</v>
      </c>
      <c r="D111" s="12">
        <f t="shared" si="9"/>
        <v>2683908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25"/>
        <v>Nov'17/18</v>
      </c>
      <c r="I111" s="11">
        <f t="shared" si="26"/>
        <v>27.427002999999999</v>
      </c>
    </row>
    <row r="112" spans="2:9" x14ac:dyDescent="0.55000000000000004">
      <c r="B112" s="11">
        <f t="shared" si="27"/>
        <v>4</v>
      </c>
      <c r="C112" s="11">
        <f t="shared" si="28"/>
        <v>3</v>
      </c>
      <c r="D112" s="12">
        <f t="shared" si="9"/>
        <v>2597940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25"/>
        <v>Dec'17/18</v>
      </c>
      <c r="I112" s="11">
        <f t="shared" si="26"/>
        <v>27.123656</v>
      </c>
    </row>
    <row r="113" spans="2:9" x14ac:dyDescent="0.55000000000000004">
      <c r="B113" s="11">
        <f t="shared" si="27"/>
        <v>4</v>
      </c>
      <c r="C113" s="11">
        <f t="shared" si="28"/>
        <v>4</v>
      </c>
      <c r="D113" s="12">
        <f t="shared" si="9"/>
        <v>2519381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25"/>
        <v>Jan'17/18</v>
      </c>
      <c r="I113" s="11">
        <f t="shared" si="26"/>
        <v>27.21397</v>
      </c>
    </row>
    <row r="114" spans="2:9" x14ac:dyDescent="0.55000000000000004">
      <c r="B114" s="11">
        <f t="shared" si="27"/>
        <v>4</v>
      </c>
      <c r="C114" s="11">
        <f t="shared" si="28"/>
        <v>5</v>
      </c>
      <c r="D114" s="12">
        <f t="shared" si="9"/>
        <v>2208007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25"/>
        <v>Feb'17/18</v>
      </c>
      <c r="I114" s="11">
        <f t="shared" si="26"/>
        <v>27.117439999999998</v>
      </c>
    </row>
    <row r="115" spans="2:9" x14ac:dyDescent="0.55000000000000004">
      <c r="B115" s="11">
        <f t="shared" si="27"/>
        <v>4</v>
      </c>
      <c r="C115" s="11">
        <f t="shared" si="28"/>
        <v>6</v>
      </c>
      <c r="D115" s="12">
        <f t="shared" si="9"/>
        <v>2237524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25"/>
        <v>Mar'17/18</v>
      </c>
      <c r="I115" s="11">
        <f t="shared" si="26"/>
        <v>26.918375000000001</v>
      </c>
    </row>
    <row r="116" spans="2:9" x14ac:dyDescent="0.55000000000000004">
      <c r="B116" s="11">
        <f t="shared" si="27"/>
        <v>4</v>
      </c>
      <c r="C116" s="11">
        <f t="shared" si="28"/>
        <v>7</v>
      </c>
      <c r="D116" s="12">
        <f t="shared" si="9"/>
        <v>2026986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25"/>
        <v>Apr'17/18</v>
      </c>
      <c r="I116" s="11">
        <f t="shared" si="26"/>
        <v>27.008116000000001</v>
      </c>
    </row>
    <row r="117" spans="2:9" x14ac:dyDescent="0.55000000000000004">
      <c r="B117" s="11">
        <f t="shared" si="27"/>
        <v>4</v>
      </c>
      <c r="C117" s="11">
        <f t="shared" si="28"/>
        <v>8</v>
      </c>
      <c r="D117" s="12">
        <f t="shared" si="9"/>
        <v>1440854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25"/>
        <v>May'17/18</v>
      </c>
      <c r="I117" s="11">
        <f t="shared" si="26"/>
        <v>26.143948000000002</v>
      </c>
    </row>
    <row r="118" spans="2:9" x14ac:dyDescent="0.55000000000000004">
      <c r="B118" s="11">
        <f t="shared" si="27"/>
        <v>4</v>
      </c>
      <c r="C118" s="11">
        <f t="shared" si="28"/>
        <v>9</v>
      </c>
      <c r="D118" s="12">
        <f t="shared" si="9"/>
        <v>1986253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25"/>
        <v>Jun'17/18</v>
      </c>
      <c r="I118" s="11">
        <f t="shared" si="26"/>
        <v>26.255133000000001</v>
      </c>
    </row>
    <row r="119" spans="2:9" x14ac:dyDescent="0.55000000000000004">
      <c r="B119" s="11">
        <f t="shared" si="27"/>
        <v>4</v>
      </c>
      <c r="C119" s="11">
        <f t="shared" si="28"/>
        <v>10</v>
      </c>
      <c r="D119" s="12">
        <f t="shared" si="9"/>
        <v>1755475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25"/>
        <v>Jul'17/18</v>
      </c>
      <c r="I119" s="11">
        <f t="shared" si="26"/>
        <v>26.432307999999999</v>
      </c>
    </row>
    <row r="120" spans="2:9" x14ac:dyDescent="0.55000000000000004">
      <c r="B120" s="11">
        <f t="shared" si="27"/>
        <v>4</v>
      </c>
      <c r="C120" s="11">
        <f t="shared" si="28"/>
        <v>11</v>
      </c>
      <c r="D120" s="12">
        <f t="shared" si="9"/>
        <v>2622290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25"/>
        <v>Aug'17/18</v>
      </c>
      <c r="I120" s="11">
        <f t="shared" si="26"/>
        <v>26.779662999999999</v>
      </c>
    </row>
    <row r="121" spans="2:9" x14ac:dyDescent="0.55000000000000004">
      <c r="B121" s="11">
        <f t="shared" si="27"/>
        <v>4</v>
      </c>
      <c r="C121" s="11">
        <f t="shared" si="28"/>
        <v>12</v>
      </c>
      <c r="D121" s="12">
        <f t="shared" si="9"/>
        <v>2549930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25"/>
        <v>Sep'17/18</v>
      </c>
      <c r="I121" s="11">
        <f t="shared" si="26"/>
        <v>27.199300999999998</v>
      </c>
    </row>
    <row r="122" spans="2:9" x14ac:dyDescent="0.55000000000000004">
      <c r="B122" s="11">
        <f t="shared" si="27"/>
        <v>5</v>
      </c>
      <c r="C122" s="11">
        <f t="shared" si="28"/>
        <v>1</v>
      </c>
      <c r="D122" s="12">
        <f t="shared" si="9"/>
        <v>3240734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25"/>
        <v>Oct'18/19</v>
      </c>
      <c r="I122" s="11">
        <f t="shared" si="26"/>
        <v>27.869281999999998</v>
      </c>
    </row>
    <row r="123" spans="2:9" x14ac:dyDescent="0.55000000000000004">
      <c r="B123" s="11">
        <f t="shared" si="27"/>
        <v>5</v>
      </c>
      <c r="C123" s="11">
        <f t="shared" si="28"/>
        <v>2</v>
      </c>
      <c r="D123" s="12">
        <f t="shared" si="9"/>
        <v>3362444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25"/>
        <v>Nov'18/19</v>
      </c>
      <c r="I123" s="11">
        <f t="shared" si="26"/>
        <v>28.547817999999999</v>
      </c>
    </row>
    <row r="124" spans="2:9" x14ac:dyDescent="0.55000000000000004">
      <c r="B124" s="11">
        <f t="shared" si="27"/>
        <v>5</v>
      </c>
      <c r="C124" s="11">
        <f t="shared" si="28"/>
        <v>3</v>
      </c>
      <c r="D124" s="12">
        <f t="shared" si="9"/>
        <v>3462143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25"/>
        <v>Dec'18/19</v>
      </c>
      <c r="I124" s="11">
        <f t="shared" si="26"/>
        <v>29.412020999999999</v>
      </c>
    </row>
    <row r="125" spans="2:9" x14ac:dyDescent="0.55000000000000004">
      <c r="B125" s="11">
        <f t="shared" si="27"/>
        <v>5</v>
      </c>
      <c r="C125" s="11">
        <f t="shared" si="28"/>
        <v>4</v>
      </c>
      <c r="D125" s="12">
        <f t="shared" si="9"/>
        <v>3073902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25"/>
        <v>Jan'18/19</v>
      </c>
      <c r="I125" s="11">
        <f t="shared" si="26"/>
        <v>29.966542</v>
      </c>
    </row>
    <row r="126" spans="2:9" x14ac:dyDescent="0.55000000000000004">
      <c r="B126" s="11">
        <f t="shared" si="27"/>
        <v>5</v>
      </c>
      <c r="C126" s="11">
        <f t="shared" si="28"/>
        <v>5</v>
      </c>
      <c r="D126" s="12">
        <f t="shared" si="9"/>
        <v>3051113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25"/>
        <v>Feb'18/19</v>
      </c>
      <c r="I126" s="11">
        <f t="shared" si="26"/>
        <v>30.809647999999999</v>
      </c>
    </row>
    <row r="127" spans="2:9" x14ac:dyDescent="0.55000000000000004">
      <c r="B127" s="11">
        <f t="shared" si="27"/>
        <v>5</v>
      </c>
      <c r="C127" s="11">
        <f t="shared" si="28"/>
        <v>6</v>
      </c>
      <c r="D127" s="12">
        <f t="shared" si="9"/>
        <v>2557882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25"/>
        <v>Mar'18/19</v>
      </c>
      <c r="I127" s="11">
        <f t="shared" si="26"/>
        <v>31.130006000000002</v>
      </c>
    </row>
    <row r="128" spans="2:9" x14ac:dyDescent="0.55000000000000004">
      <c r="B128" s="11">
        <f t="shared" si="27"/>
        <v>5</v>
      </c>
      <c r="C128" s="11">
        <f t="shared" si="28"/>
        <v>7</v>
      </c>
      <c r="D128" s="12">
        <f t="shared" si="9"/>
        <v>2706379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25"/>
        <v>Apr'18/19</v>
      </c>
      <c r="I128" s="11">
        <f t="shared" si="26"/>
        <v>31.809398999999999</v>
      </c>
    </row>
    <row r="129" spans="2:9" x14ac:dyDescent="0.55000000000000004">
      <c r="B129" s="11">
        <f t="shared" si="27"/>
        <v>5</v>
      </c>
      <c r="C129" s="11">
        <f t="shared" si="28"/>
        <v>8</v>
      </c>
      <c r="D129" s="12">
        <f t="shared" si="9"/>
        <v>3025754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25"/>
        <v>May'18/19</v>
      </c>
      <c r="I129" s="11">
        <f t="shared" si="26"/>
        <v>33.394298999999997</v>
      </c>
    </row>
    <row r="130" spans="2:9" x14ac:dyDescent="0.55000000000000004">
      <c r="B130" s="11">
        <f t="shared" si="27"/>
        <v>5</v>
      </c>
      <c r="C130" s="11">
        <f t="shared" si="28"/>
        <v>9</v>
      </c>
      <c r="D130" s="12">
        <f t="shared" si="9"/>
        <v>2355971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25"/>
        <v>Jun'18/19</v>
      </c>
      <c r="I130" s="11">
        <f t="shared" si="26"/>
        <v>33.764017000000003</v>
      </c>
    </row>
    <row r="131" spans="2:9" x14ac:dyDescent="0.55000000000000004">
      <c r="B131" s="11">
        <f t="shared" si="27"/>
        <v>5</v>
      </c>
      <c r="C131" s="11">
        <f t="shared" si="28"/>
        <v>10</v>
      </c>
      <c r="D131" s="12">
        <f t="shared" si="9"/>
        <v>2438600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25"/>
        <v>Jul'18/19</v>
      </c>
      <c r="I131" s="11">
        <f t="shared" si="26"/>
        <v>34.447141999999999</v>
      </c>
    </row>
    <row r="132" spans="2:9" x14ac:dyDescent="0.55000000000000004">
      <c r="B132" s="11">
        <f t="shared" si="27"/>
        <v>5</v>
      </c>
      <c r="C132" s="11">
        <f t="shared" si="28"/>
        <v>11</v>
      </c>
      <c r="D132" s="12">
        <f t="shared" si="9"/>
        <v>2570815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25"/>
        <v>Aug'18/19</v>
      </c>
      <c r="I132" s="11">
        <f t="shared" si="26"/>
        <v>34.395667000000003</v>
      </c>
    </row>
    <row r="133" spans="2:9" x14ac:dyDescent="0.55000000000000004">
      <c r="B133" s="11">
        <f t="shared" si="27"/>
        <v>5</v>
      </c>
      <c r="C133" s="11">
        <f t="shared" si="28"/>
        <v>12</v>
      </c>
      <c r="D133" s="12">
        <f t="shared" si="9"/>
        <v>2800150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25"/>
        <v>Sep'18/19</v>
      </c>
      <c r="I133" s="11">
        <f t="shared" si="26"/>
        <v>34.645887000000002</v>
      </c>
    </row>
    <row r="134" spans="2:9" x14ac:dyDescent="0.55000000000000004">
      <c r="B134" s="11">
        <f t="shared" si="27"/>
        <v>6</v>
      </c>
      <c r="C134" s="11">
        <f t="shared" si="28"/>
        <v>1</v>
      </c>
      <c r="D134" s="12">
        <f t="shared" si="9"/>
        <v>2964909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25"/>
        <v>Oct'19/20</v>
      </c>
      <c r="I134" s="11">
        <f t="shared" si="26"/>
        <v>34.370061999999997</v>
      </c>
    </row>
    <row r="135" spans="2:9" x14ac:dyDescent="0.55000000000000004">
      <c r="B135" s="11">
        <f t="shared" si="27"/>
        <v>6</v>
      </c>
      <c r="C135" s="11">
        <f t="shared" si="28"/>
        <v>2</v>
      </c>
      <c r="D135" s="12">
        <f t="shared" si="9"/>
        <v>2757885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25"/>
        <v>Nov'19/20</v>
      </c>
      <c r="I135" s="11">
        <f t="shared" si="26"/>
        <v>33.765503000000002</v>
      </c>
    </row>
    <row r="136" spans="2:9" x14ac:dyDescent="0.55000000000000004">
      <c r="B136" s="11">
        <f t="shared" si="27"/>
        <v>6</v>
      </c>
      <c r="C136" s="11">
        <f t="shared" si="28"/>
        <v>3</v>
      </c>
      <c r="D136" s="12">
        <f t="shared" si="9"/>
        <v>2409528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25"/>
        <v>Dec'19/20</v>
      </c>
      <c r="I136" s="11">
        <f t="shared" si="26"/>
        <v>32.712888</v>
      </c>
    </row>
    <row r="137" spans="2:9" x14ac:dyDescent="0.55000000000000004">
      <c r="B137" s="11">
        <f t="shared" si="27"/>
        <v>6</v>
      </c>
      <c r="C137" s="11">
        <f t="shared" si="28"/>
        <v>4</v>
      </c>
      <c r="D137" s="12">
        <f t="shared" si="9"/>
        <v>2922387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25"/>
        <v>Jan'19/20</v>
      </c>
      <c r="I137" s="11">
        <f t="shared" si="26"/>
        <v>32.561373000000003</v>
      </c>
    </row>
    <row r="138" spans="2:9" x14ac:dyDescent="0.55000000000000004">
      <c r="B138" s="11">
        <f t="shared" si="27"/>
        <v>6</v>
      </c>
      <c r="C138" s="11">
        <f t="shared" si="28"/>
        <v>5</v>
      </c>
      <c r="D138" s="12">
        <f t="shared" si="9"/>
        <v>2477429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25"/>
        <v>Feb'19/20</v>
      </c>
      <c r="I138" s="11">
        <f t="shared" si="26"/>
        <v>31.987689</v>
      </c>
    </row>
    <row r="139" spans="2:9" x14ac:dyDescent="0.55000000000000004">
      <c r="B139" s="11">
        <f t="shared" si="27"/>
        <v>6</v>
      </c>
      <c r="C139" s="11">
        <f t="shared" si="28"/>
        <v>6</v>
      </c>
      <c r="D139" s="12">
        <f t="shared" ref="D139:D202" si="29">INDEX($C$7:$N$19,MATCH(B139,$A$7:$A$19),MATCH(C139,$C$4:$N$4))</f>
        <v>2898784</v>
      </c>
      <c r="E139" s="11" t="str">
        <f t="shared" ref="E139:E202" si="30">_xlfn.XLOOKUP(B139,$A$7:$A$19,$B$7:$B$19)</f>
        <v>19/20</v>
      </c>
      <c r="F139" s="11" t="str">
        <f t="shared" ref="F139:F202" si="31">_xlfn.XLOOKUP(C139,$C$4:$N$4,$C$6:$N$6)</f>
        <v>Mar</v>
      </c>
      <c r="G139" s="11" t="str">
        <f t="shared" ref="G139:G202" si="32">_xlfn.CONCAT(F139,"'",E139)</f>
        <v>Mar'19/20</v>
      </c>
      <c r="H139" s="11" t="str">
        <f t="shared" si="25"/>
        <v>Mar'19/20</v>
      </c>
      <c r="I139" s="11">
        <f t="shared" si="26"/>
        <v>32.328591000000003</v>
      </c>
    </row>
    <row r="140" spans="2:9" x14ac:dyDescent="0.55000000000000004">
      <c r="B140" s="11">
        <f t="shared" si="27"/>
        <v>6</v>
      </c>
      <c r="C140" s="11">
        <f t="shared" si="28"/>
        <v>7</v>
      </c>
      <c r="D140" s="12">
        <f t="shared" si="29"/>
        <v>2951535</v>
      </c>
      <c r="E140" s="11" t="str">
        <f t="shared" si="30"/>
        <v>19/20</v>
      </c>
      <c r="F140" s="11" t="str">
        <f t="shared" si="31"/>
        <v>Apr</v>
      </c>
      <c r="G140" s="11" t="str">
        <f t="shared" si="32"/>
        <v>Apr'19/20</v>
      </c>
      <c r="H140" s="11" t="str">
        <f t="shared" si="25"/>
        <v>Apr'19/20</v>
      </c>
      <c r="I140" s="11">
        <f t="shared" si="26"/>
        <v>32.573746999999997</v>
      </c>
    </row>
    <row r="141" spans="2:9" x14ac:dyDescent="0.55000000000000004">
      <c r="B141" s="11">
        <f t="shared" si="27"/>
        <v>6</v>
      </c>
      <c r="C141" s="11">
        <f t="shared" si="28"/>
        <v>8</v>
      </c>
      <c r="D141" s="12">
        <f t="shared" si="29"/>
        <v>2457707</v>
      </c>
      <c r="E141" s="11" t="str">
        <f t="shared" si="30"/>
        <v>19/20</v>
      </c>
      <c r="F141" s="11" t="str">
        <f t="shared" si="31"/>
        <v>May</v>
      </c>
      <c r="G141" s="11" t="str">
        <f t="shared" si="32"/>
        <v>May'19/20</v>
      </c>
      <c r="H141" s="11" t="str">
        <f t="shared" si="25"/>
        <v>May'19/20</v>
      </c>
      <c r="I141" s="11">
        <f t="shared" si="26"/>
        <v>32.005699999999997</v>
      </c>
    </row>
    <row r="142" spans="2:9" x14ac:dyDescent="0.55000000000000004">
      <c r="B142" s="11">
        <f t="shared" si="27"/>
        <v>6</v>
      </c>
      <c r="C142" s="11">
        <f t="shared" si="28"/>
        <v>9</v>
      </c>
      <c r="D142" s="12">
        <f t="shared" si="29"/>
        <v>2082022</v>
      </c>
      <c r="E142" s="11" t="str">
        <f t="shared" si="30"/>
        <v>19/20</v>
      </c>
      <c r="F142" s="11" t="str">
        <f t="shared" si="31"/>
        <v>Jun</v>
      </c>
      <c r="G142" s="11" t="str">
        <f t="shared" si="32"/>
        <v>Jun'19/20</v>
      </c>
      <c r="H142" s="11" t="str">
        <f t="shared" si="25"/>
        <v>Jun'19/20</v>
      </c>
      <c r="I142" s="11">
        <f t="shared" si="26"/>
        <v>31.731750999999999</v>
      </c>
    </row>
    <row r="143" spans="2:9" x14ac:dyDescent="0.55000000000000004">
      <c r="B143" s="11">
        <f t="shared" si="27"/>
        <v>6</v>
      </c>
      <c r="C143" s="11">
        <f t="shared" si="28"/>
        <v>10</v>
      </c>
      <c r="D143" s="12">
        <f t="shared" si="29"/>
        <v>2421146</v>
      </c>
      <c r="E143" s="11" t="str">
        <f t="shared" si="30"/>
        <v>19/20</v>
      </c>
      <c r="F143" s="11" t="str">
        <f t="shared" si="31"/>
        <v>Jul</v>
      </c>
      <c r="G143" s="11" t="str">
        <f t="shared" si="32"/>
        <v>Jul'19/20</v>
      </c>
      <c r="H143" s="11" t="str">
        <f t="shared" si="25"/>
        <v>Jul'19/20</v>
      </c>
      <c r="I143" s="11">
        <f t="shared" si="26"/>
        <v>31.714296999999998</v>
      </c>
    </row>
    <row r="144" spans="2:9" x14ac:dyDescent="0.55000000000000004">
      <c r="B144" s="11">
        <f t="shared" si="27"/>
        <v>6</v>
      </c>
      <c r="C144" s="11">
        <f t="shared" si="28"/>
        <v>11</v>
      </c>
      <c r="D144" s="12">
        <f t="shared" si="29"/>
        <v>2766801</v>
      </c>
      <c r="E144" s="11" t="str">
        <f t="shared" si="30"/>
        <v>19/20</v>
      </c>
      <c r="F144" s="11" t="str">
        <f t="shared" si="31"/>
        <v>Aug</v>
      </c>
      <c r="G144" s="11" t="str">
        <f t="shared" si="32"/>
        <v>Aug'19/20</v>
      </c>
      <c r="H144" s="11" t="str">
        <f t="shared" si="25"/>
        <v>Aug'19/20</v>
      </c>
      <c r="I144" s="11">
        <f t="shared" si="26"/>
        <v>31.910283</v>
      </c>
    </row>
    <row r="145" spans="2:9" x14ac:dyDescent="0.55000000000000004">
      <c r="B145" s="11">
        <f t="shared" si="27"/>
        <v>6</v>
      </c>
      <c r="C145" s="11">
        <f t="shared" si="28"/>
        <v>12</v>
      </c>
      <c r="D145" s="12">
        <f t="shared" si="29"/>
        <v>3225249</v>
      </c>
      <c r="E145" s="11" t="str">
        <f t="shared" si="30"/>
        <v>19/20</v>
      </c>
      <c r="F145" s="11" t="str">
        <f t="shared" si="31"/>
        <v>Sep</v>
      </c>
      <c r="G145" s="11" t="str">
        <f t="shared" si="32"/>
        <v>Sep'19/20</v>
      </c>
      <c r="H145" s="11" t="str">
        <f t="shared" si="25"/>
        <v>Sep'19/20</v>
      </c>
      <c r="I145" s="11">
        <f t="shared" si="26"/>
        <v>32.335382000000003</v>
      </c>
    </row>
    <row r="146" spans="2:9" x14ac:dyDescent="0.55000000000000004">
      <c r="B146" s="11">
        <f t="shared" si="27"/>
        <v>7</v>
      </c>
      <c r="C146" s="11">
        <f t="shared" si="28"/>
        <v>1</v>
      </c>
      <c r="D146" s="12">
        <f t="shared" si="29"/>
        <v>3698601</v>
      </c>
      <c r="E146" s="11" t="str">
        <f t="shared" si="30"/>
        <v>20/21</v>
      </c>
      <c r="F146" s="11" t="str">
        <f t="shared" si="31"/>
        <v>Oct</v>
      </c>
      <c r="G146" s="11" t="str">
        <f t="shared" si="32"/>
        <v>Oct'20/21</v>
      </c>
      <c r="H146" s="11" t="str">
        <f t="shared" si="25"/>
        <v>Oct'20/21</v>
      </c>
      <c r="I146" s="11">
        <f t="shared" si="26"/>
        <v>33.069074000000001</v>
      </c>
    </row>
    <row r="147" spans="2:9" x14ac:dyDescent="0.55000000000000004">
      <c r="B147" s="11">
        <f t="shared" si="27"/>
        <v>7</v>
      </c>
      <c r="C147" s="11">
        <f t="shared" si="28"/>
        <v>2</v>
      </c>
      <c r="D147" s="12">
        <f t="shared" si="29"/>
        <v>4080675</v>
      </c>
      <c r="E147" s="11" t="str">
        <f t="shared" si="30"/>
        <v>20/21</v>
      </c>
      <c r="F147" s="11" t="str">
        <f t="shared" si="31"/>
        <v>Nov</v>
      </c>
      <c r="G147" s="11" t="str">
        <f t="shared" si="32"/>
        <v>Nov'20/21</v>
      </c>
      <c r="H147" s="11" t="str">
        <f t="shared" si="25"/>
        <v>Nov'20/21</v>
      </c>
      <c r="I147" s="11">
        <f t="shared" si="26"/>
        <v>34.391863999999998</v>
      </c>
    </row>
    <row r="148" spans="2:9" x14ac:dyDescent="0.55000000000000004">
      <c r="B148" s="11">
        <f t="shared" si="27"/>
        <v>7</v>
      </c>
      <c r="C148" s="11">
        <f t="shared" si="28"/>
        <v>3</v>
      </c>
      <c r="D148" s="12">
        <f t="shared" si="29"/>
        <v>3642367</v>
      </c>
      <c r="E148" s="11" t="str">
        <f t="shared" si="30"/>
        <v>20/21</v>
      </c>
      <c r="F148" s="11" t="str">
        <f t="shared" si="31"/>
        <v>Dec</v>
      </c>
      <c r="G148" s="11" t="str">
        <f t="shared" si="32"/>
        <v>Dec'20/21</v>
      </c>
      <c r="H148" s="11" t="str">
        <f t="shared" si="25"/>
        <v>Dec'20/21</v>
      </c>
      <c r="I148" s="11">
        <f t="shared" si="26"/>
        <v>35.624702999999997</v>
      </c>
    </row>
    <row r="149" spans="2:9" x14ac:dyDescent="0.55000000000000004">
      <c r="B149" s="11">
        <f t="shared" si="27"/>
        <v>7</v>
      </c>
      <c r="C149" s="11">
        <f t="shared" si="28"/>
        <v>4</v>
      </c>
      <c r="D149" s="12">
        <f t="shared" si="29"/>
        <v>3138628</v>
      </c>
      <c r="E149" s="11" t="str">
        <f t="shared" si="30"/>
        <v>20/21</v>
      </c>
      <c r="F149" s="11" t="str">
        <f t="shared" si="31"/>
        <v>Jan</v>
      </c>
      <c r="G149" s="11" t="str">
        <f t="shared" si="32"/>
        <v>Jan'20/21</v>
      </c>
      <c r="H149" s="11" t="str">
        <f t="shared" si="25"/>
        <v>Jan'20/21</v>
      </c>
      <c r="I149" s="11">
        <f t="shared" si="26"/>
        <v>35.840944</v>
      </c>
    </row>
    <row r="150" spans="2:9" x14ac:dyDescent="0.55000000000000004">
      <c r="B150" s="11">
        <f t="shared" si="27"/>
        <v>7</v>
      </c>
      <c r="C150" s="11">
        <f t="shared" si="28"/>
        <v>5</v>
      </c>
      <c r="D150" s="12">
        <f t="shared" si="29"/>
        <v>3357482</v>
      </c>
      <c r="E150" s="11" t="str">
        <f t="shared" si="30"/>
        <v>20/21</v>
      </c>
      <c r="F150" s="11" t="str">
        <f t="shared" si="31"/>
        <v>Feb</v>
      </c>
      <c r="G150" s="11" t="str">
        <f t="shared" si="32"/>
        <v>Feb'20/21</v>
      </c>
      <c r="H150" s="11" t="str">
        <f t="shared" ref="H150:H213" si="33">G150</f>
        <v>Feb'20/21</v>
      </c>
      <c r="I150" s="11">
        <f t="shared" ref="I150:I213" si="34">SUM(D139:D150)/1000000</f>
        <v>36.720996999999997</v>
      </c>
    </row>
    <row r="151" spans="2:9" x14ac:dyDescent="0.55000000000000004">
      <c r="B151" s="11">
        <f t="shared" ref="B151:B214" si="35">B139+1</f>
        <v>7</v>
      </c>
      <c r="C151" s="11">
        <f t="shared" ref="C151:C214" si="36">C139</f>
        <v>6</v>
      </c>
      <c r="D151" s="12">
        <f t="shared" si="29"/>
        <v>3119681</v>
      </c>
      <c r="E151" s="11" t="str">
        <f t="shared" si="30"/>
        <v>20/21</v>
      </c>
      <c r="F151" s="11" t="str">
        <f t="shared" si="31"/>
        <v>Mar</v>
      </c>
      <c r="G151" s="11" t="str">
        <f t="shared" si="32"/>
        <v>Mar'20/21</v>
      </c>
      <c r="H151" s="11" t="str">
        <f t="shared" si="33"/>
        <v>Mar'20/21</v>
      </c>
      <c r="I151" s="11">
        <f t="shared" si="34"/>
        <v>36.941893999999998</v>
      </c>
    </row>
    <row r="152" spans="2:9" x14ac:dyDescent="0.55000000000000004">
      <c r="B152" s="11">
        <f t="shared" si="35"/>
        <v>7</v>
      </c>
      <c r="C152" s="11">
        <f t="shared" si="36"/>
        <v>7</v>
      </c>
      <c r="D152" s="12">
        <f t="shared" si="29"/>
        <v>3045766</v>
      </c>
      <c r="E152" s="11" t="str">
        <f t="shared" si="30"/>
        <v>20/21</v>
      </c>
      <c r="F152" s="11" t="str">
        <f t="shared" si="31"/>
        <v>Apr</v>
      </c>
      <c r="G152" s="11" t="str">
        <f t="shared" si="32"/>
        <v>Apr'20/21</v>
      </c>
      <c r="H152" s="11" t="str">
        <f t="shared" si="33"/>
        <v>Apr'20/21</v>
      </c>
      <c r="I152" s="11">
        <f t="shared" si="34"/>
        <v>37.036124999999998</v>
      </c>
    </row>
    <row r="153" spans="2:9" x14ac:dyDescent="0.55000000000000004">
      <c r="B153" s="11">
        <f t="shared" si="35"/>
        <v>7</v>
      </c>
      <c r="C153" s="11">
        <f t="shared" si="36"/>
        <v>8</v>
      </c>
      <c r="D153" s="12">
        <f t="shared" si="29"/>
        <v>2083261</v>
      </c>
      <c r="E153" s="11" t="str">
        <f t="shared" si="30"/>
        <v>20/21</v>
      </c>
      <c r="F153" s="11" t="str">
        <f t="shared" si="31"/>
        <v>May</v>
      </c>
      <c r="G153" s="11" t="str">
        <f t="shared" si="32"/>
        <v>May'20/21</v>
      </c>
      <c r="H153" s="11" t="str">
        <f t="shared" si="33"/>
        <v>May'20/21</v>
      </c>
      <c r="I153" s="11">
        <f t="shared" si="34"/>
        <v>36.661678999999999</v>
      </c>
    </row>
    <row r="154" spans="2:9" x14ac:dyDescent="0.55000000000000004">
      <c r="B154" s="11">
        <f t="shared" si="35"/>
        <v>7</v>
      </c>
      <c r="C154" s="11">
        <f t="shared" si="36"/>
        <v>9</v>
      </c>
      <c r="D154" s="12">
        <f t="shared" si="29"/>
        <v>2378747</v>
      </c>
      <c r="E154" s="11" t="str">
        <f t="shared" si="30"/>
        <v>20/21</v>
      </c>
      <c r="F154" s="11" t="str">
        <f t="shared" si="31"/>
        <v>Jun</v>
      </c>
      <c r="G154" s="11" t="str">
        <f t="shared" si="32"/>
        <v>Jun'20/21</v>
      </c>
      <c r="H154" s="11" t="str">
        <f t="shared" si="33"/>
        <v>Jun'20/21</v>
      </c>
      <c r="I154" s="11">
        <f t="shared" si="34"/>
        <v>36.958404000000002</v>
      </c>
    </row>
    <row r="155" spans="2:9" x14ac:dyDescent="0.55000000000000004">
      <c r="B155" s="11">
        <f t="shared" si="35"/>
        <v>7</v>
      </c>
      <c r="C155" s="11">
        <f t="shared" si="36"/>
        <v>10</v>
      </c>
      <c r="D155" s="12">
        <f t="shared" si="29"/>
        <v>2164289</v>
      </c>
      <c r="E155" s="11" t="str">
        <f t="shared" si="30"/>
        <v>20/21</v>
      </c>
      <c r="F155" s="11" t="str">
        <f t="shared" si="31"/>
        <v>Jul</v>
      </c>
      <c r="G155" s="11" t="str">
        <f t="shared" si="32"/>
        <v>Jul'20/21</v>
      </c>
      <c r="H155" s="11" t="str">
        <f t="shared" si="33"/>
        <v>Jul'20/21</v>
      </c>
      <c r="I155" s="11">
        <f t="shared" si="34"/>
        <v>36.701546999999998</v>
      </c>
    </row>
    <row r="156" spans="2:9" x14ac:dyDescent="0.55000000000000004">
      <c r="B156" s="11">
        <f t="shared" si="35"/>
        <v>7</v>
      </c>
      <c r="C156" s="11">
        <f t="shared" si="36"/>
        <v>11</v>
      </c>
      <c r="D156" s="12">
        <f t="shared" si="29"/>
        <v>2126832</v>
      </c>
      <c r="E156" s="11" t="str">
        <f t="shared" si="30"/>
        <v>20/21</v>
      </c>
      <c r="F156" s="11" t="str">
        <f t="shared" si="31"/>
        <v>Aug</v>
      </c>
      <c r="G156" s="11" t="str">
        <f t="shared" si="32"/>
        <v>Aug'20/21</v>
      </c>
      <c r="H156" s="11" t="str">
        <f t="shared" si="33"/>
        <v>Aug'20/21</v>
      </c>
      <c r="I156" s="11">
        <f t="shared" si="34"/>
        <v>36.061577999999997</v>
      </c>
    </row>
    <row r="157" spans="2:9" x14ac:dyDescent="0.55000000000000004">
      <c r="B157" s="11">
        <f t="shared" si="35"/>
        <v>7</v>
      </c>
      <c r="C157" s="11">
        <f t="shared" si="36"/>
        <v>12</v>
      </c>
      <c r="D157" s="12">
        <f t="shared" si="29"/>
        <v>2480975</v>
      </c>
      <c r="E157" s="11" t="str">
        <f t="shared" si="30"/>
        <v>20/21</v>
      </c>
      <c r="F157" s="11" t="str">
        <f t="shared" si="31"/>
        <v>Sep</v>
      </c>
      <c r="G157" s="11" t="str">
        <f t="shared" si="32"/>
        <v>Sep'20/21</v>
      </c>
      <c r="H157" s="11" t="str">
        <f t="shared" si="33"/>
        <v>Sep'20/21</v>
      </c>
      <c r="I157" s="11">
        <f t="shared" si="34"/>
        <v>35.317304</v>
      </c>
    </row>
    <row r="158" spans="2:9" x14ac:dyDescent="0.55000000000000004">
      <c r="B158" s="11">
        <f t="shared" si="35"/>
        <v>8</v>
      </c>
      <c r="C158" s="11">
        <f t="shared" si="36"/>
        <v>1</v>
      </c>
      <c r="D158" s="12">
        <f t="shared" si="29"/>
        <v>2968402</v>
      </c>
      <c r="E158" s="11" t="str">
        <f t="shared" si="30"/>
        <v>21/22</v>
      </c>
      <c r="F158" s="11" t="str">
        <f t="shared" si="31"/>
        <v>Oct</v>
      </c>
      <c r="G158" s="11" t="str">
        <f t="shared" si="32"/>
        <v>Oct'21/22</v>
      </c>
      <c r="H158" s="11" t="str">
        <f t="shared" si="33"/>
        <v>Oct'21/22</v>
      </c>
      <c r="I158" s="11">
        <f t="shared" si="34"/>
        <v>34.587105000000001</v>
      </c>
    </row>
    <row r="159" spans="2:9" x14ac:dyDescent="0.55000000000000004">
      <c r="B159" s="11">
        <f t="shared" si="35"/>
        <v>8</v>
      </c>
      <c r="C159" s="11">
        <f t="shared" si="36"/>
        <v>2</v>
      </c>
      <c r="D159" s="12">
        <f t="shared" si="29"/>
        <v>2627646</v>
      </c>
      <c r="E159" s="11" t="str">
        <f t="shared" si="30"/>
        <v>21/22</v>
      </c>
      <c r="F159" s="11" t="str">
        <f t="shared" si="31"/>
        <v>Nov</v>
      </c>
      <c r="G159" s="11" t="str">
        <f t="shared" si="32"/>
        <v>Nov'21/22</v>
      </c>
      <c r="H159" s="11" t="str">
        <f t="shared" si="33"/>
        <v>Nov'21/22</v>
      </c>
      <c r="I159" s="11">
        <f t="shared" si="34"/>
        <v>33.134076</v>
      </c>
    </row>
    <row r="160" spans="2:9" x14ac:dyDescent="0.55000000000000004">
      <c r="B160" s="11">
        <f t="shared" si="35"/>
        <v>8</v>
      </c>
      <c r="C160" s="11">
        <f t="shared" si="36"/>
        <v>3</v>
      </c>
      <c r="D160" s="12">
        <f t="shared" si="29"/>
        <v>3290070</v>
      </c>
      <c r="E160" s="11" t="str">
        <f t="shared" si="30"/>
        <v>21/22</v>
      </c>
      <c r="F160" s="11" t="str">
        <f t="shared" si="31"/>
        <v>Dec</v>
      </c>
      <c r="G160" s="11" t="str">
        <f t="shared" si="32"/>
        <v>Dec'21/22</v>
      </c>
      <c r="H160" s="11" t="str">
        <f t="shared" si="33"/>
        <v>Dec'21/22</v>
      </c>
      <c r="I160" s="11">
        <f t="shared" si="34"/>
        <v>32.781779</v>
      </c>
    </row>
    <row r="161" spans="2:9" x14ac:dyDescent="0.55000000000000004">
      <c r="B161" s="11">
        <f t="shared" si="35"/>
        <v>8</v>
      </c>
      <c r="C161" s="11">
        <f t="shared" si="36"/>
        <v>4</v>
      </c>
      <c r="D161" s="12">
        <f t="shared" si="29"/>
        <v>2993663</v>
      </c>
      <c r="E161" s="11" t="str">
        <f t="shared" si="30"/>
        <v>21/22</v>
      </c>
      <c r="F161" s="11" t="str">
        <f t="shared" si="31"/>
        <v>Jan</v>
      </c>
      <c r="G161" s="11" t="str">
        <f t="shared" si="32"/>
        <v>Jan'21/22</v>
      </c>
      <c r="H161" s="11" t="str">
        <f t="shared" si="33"/>
        <v>Jan'21/22</v>
      </c>
      <c r="I161" s="11">
        <f t="shared" si="34"/>
        <v>32.636814000000001</v>
      </c>
    </row>
    <row r="162" spans="2:9" x14ac:dyDescent="0.55000000000000004">
      <c r="B162" s="11">
        <f t="shared" si="35"/>
        <v>8</v>
      </c>
      <c r="C162" s="11">
        <f t="shared" si="36"/>
        <v>5</v>
      </c>
      <c r="D162" s="12">
        <f t="shared" si="29"/>
        <v>3145752</v>
      </c>
      <c r="E162" s="11" t="str">
        <f t="shared" si="30"/>
        <v>21/22</v>
      </c>
      <c r="F162" s="11" t="str">
        <f t="shared" si="31"/>
        <v>Feb</v>
      </c>
      <c r="G162" s="11" t="str">
        <f t="shared" si="32"/>
        <v>Feb'21/22</v>
      </c>
      <c r="H162" s="11" t="str">
        <f t="shared" si="33"/>
        <v>Feb'21/22</v>
      </c>
      <c r="I162" s="11">
        <f t="shared" si="34"/>
        <v>32.425083999999998</v>
      </c>
    </row>
    <row r="163" spans="2:9" x14ac:dyDescent="0.55000000000000004">
      <c r="B163" s="11">
        <f t="shared" si="35"/>
        <v>8</v>
      </c>
      <c r="C163" s="11">
        <f t="shared" si="36"/>
        <v>6</v>
      </c>
      <c r="D163" s="12">
        <f t="shared" si="29"/>
        <v>3314870</v>
      </c>
      <c r="E163" s="11" t="str">
        <f t="shared" si="30"/>
        <v>21/22</v>
      </c>
      <c r="F163" s="11" t="str">
        <f t="shared" si="31"/>
        <v>Mar</v>
      </c>
      <c r="G163" s="11" t="str">
        <f t="shared" si="32"/>
        <v>Mar'21/22</v>
      </c>
      <c r="H163" s="11" t="str">
        <f t="shared" si="33"/>
        <v>Mar'21/22</v>
      </c>
      <c r="I163" s="11">
        <f t="shared" si="34"/>
        <v>32.620272999999997</v>
      </c>
    </row>
    <row r="164" spans="2:9" x14ac:dyDescent="0.55000000000000004">
      <c r="B164" s="11">
        <f t="shared" si="35"/>
        <v>8</v>
      </c>
      <c r="C164" s="11">
        <f t="shared" si="36"/>
        <v>7</v>
      </c>
      <c r="D164" s="12">
        <f t="shared" si="29"/>
        <v>2635893</v>
      </c>
      <c r="E164" s="11" t="str">
        <f t="shared" si="30"/>
        <v>21/22</v>
      </c>
      <c r="F164" s="11" t="str">
        <f t="shared" si="31"/>
        <v>Apr</v>
      </c>
      <c r="G164" s="11" t="str">
        <f t="shared" si="32"/>
        <v>Apr'21/22</v>
      </c>
      <c r="H164" s="11" t="str">
        <f t="shared" si="33"/>
        <v>Apr'21/22</v>
      </c>
      <c r="I164" s="11">
        <f t="shared" si="34"/>
        <v>32.2104</v>
      </c>
    </row>
    <row r="165" spans="2:9" x14ac:dyDescent="0.55000000000000004">
      <c r="B165" s="11">
        <f t="shared" si="35"/>
        <v>8</v>
      </c>
      <c r="C165" s="11">
        <f t="shared" si="36"/>
        <v>8</v>
      </c>
      <c r="D165" s="12">
        <f t="shared" si="29"/>
        <v>2529574</v>
      </c>
      <c r="E165" s="11" t="str">
        <f t="shared" si="30"/>
        <v>21/22</v>
      </c>
      <c r="F165" s="11" t="str">
        <f t="shared" si="31"/>
        <v>May</v>
      </c>
      <c r="G165" s="11" t="str">
        <f t="shared" si="32"/>
        <v>May'21/22</v>
      </c>
      <c r="H165" s="11" t="str">
        <f t="shared" si="33"/>
        <v>May'21/22</v>
      </c>
      <c r="I165" s="11">
        <f t="shared" si="34"/>
        <v>32.656713000000003</v>
      </c>
    </row>
    <row r="166" spans="2:9" x14ac:dyDescent="0.55000000000000004">
      <c r="B166" s="11">
        <f t="shared" si="35"/>
        <v>8</v>
      </c>
      <c r="C166" s="11">
        <f t="shared" si="36"/>
        <v>9</v>
      </c>
      <c r="D166" s="12">
        <f t="shared" si="29"/>
        <v>2688245</v>
      </c>
      <c r="E166" s="11" t="str">
        <f t="shared" si="30"/>
        <v>21/22</v>
      </c>
      <c r="F166" s="11" t="str">
        <f t="shared" si="31"/>
        <v>Jun</v>
      </c>
      <c r="G166" s="11" t="str">
        <f t="shared" si="32"/>
        <v>Jun'21/22</v>
      </c>
      <c r="H166" s="11" t="str">
        <f t="shared" si="33"/>
        <v>Jun'21/22</v>
      </c>
      <c r="I166" s="11">
        <f t="shared" si="34"/>
        <v>32.966211000000001</v>
      </c>
    </row>
    <row r="167" spans="2:9" x14ac:dyDescent="0.55000000000000004">
      <c r="B167" s="11">
        <f t="shared" si="35"/>
        <v>8</v>
      </c>
      <c r="C167" s="11">
        <f t="shared" si="36"/>
        <v>10</v>
      </c>
      <c r="D167" s="12">
        <f t="shared" si="29"/>
        <v>2057164</v>
      </c>
      <c r="E167" s="11" t="str">
        <f t="shared" si="30"/>
        <v>21/22</v>
      </c>
      <c r="F167" s="11" t="str">
        <f t="shared" si="31"/>
        <v>Jul</v>
      </c>
      <c r="G167" s="11" t="str">
        <f t="shared" si="32"/>
        <v>Jul'21/22</v>
      </c>
      <c r="H167" s="11" t="str">
        <f t="shared" si="33"/>
        <v>Jul'21/22</v>
      </c>
      <c r="I167" s="11">
        <f t="shared" si="34"/>
        <v>32.859085999999998</v>
      </c>
    </row>
    <row r="168" spans="2:9" x14ac:dyDescent="0.55000000000000004">
      <c r="B168" s="11">
        <f t="shared" si="35"/>
        <v>8</v>
      </c>
      <c r="C168" s="11">
        <f t="shared" si="36"/>
        <v>11</v>
      </c>
      <c r="D168" s="12">
        <f t="shared" si="29"/>
        <v>2384413</v>
      </c>
      <c r="E168" s="11" t="str">
        <f t="shared" si="30"/>
        <v>21/22</v>
      </c>
      <c r="F168" s="11" t="str">
        <f t="shared" si="31"/>
        <v>Aug</v>
      </c>
      <c r="G168" s="11" t="str">
        <f t="shared" si="32"/>
        <v>Aug'21/22</v>
      </c>
      <c r="H168" s="11" t="str">
        <f t="shared" si="33"/>
        <v>Aug'21/22</v>
      </c>
      <c r="I168" s="11">
        <f t="shared" si="34"/>
        <v>33.116667</v>
      </c>
    </row>
    <row r="169" spans="2:9" x14ac:dyDescent="0.55000000000000004">
      <c r="B169" s="11">
        <f t="shared" si="35"/>
        <v>8</v>
      </c>
      <c r="C169" s="11">
        <f t="shared" si="36"/>
        <v>12</v>
      </c>
      <c r="D169" s="12">
        <f t="shared" si="29"/>
        <v>3001106</v>
      </c>
      <c r="E169" s="11" t="str">
        <f t="shared" si="30"/>
        <v>21/22</v>
      </c>
      <c r="F169" s="11" t="str">
        <f t="shared" si="31"/>
        <v>Sep</v>
      </c>
      <c r="G169" s="11" t="str">
        <f t="shared" si="32"/>
        <v>Sep'21/22</v>
      </c>
      <c r="H169" s="11" t="str">
        <f t="shared" si="33"/>
        <v>Sep'21/22</v>
      </c>
      <c r="I169" s="11">
        <f t="shared" si="34"/>
        <v>33.636797999999999</v>
      </c>
    </row>
    <row r="170" spans="2:9" x14ac:dyDescent="0.55000000000000004">
      <c r="B170" s="11">
        <f t="shared" si="35"/>
        <v>9</v>
      </c>
      <c r="C170" s="11">
        <f t="shared" si="36"/>
        <v>1</v>
      </c>
      <c r="D170" s="12">
        <f t="shared" si="29"/>
        <v>3167035</v>
      </c>
      <c r="E170" s="11" t="str">
        <f t="shared" si="30"/>
        <v>22/23</v>
      </c>
      <c r="F170" s="11" t="str">
        <f t="shared" si="31"/>
        <v>Oct</v>
      </c>
      <c r="G170" s="11" t="str">
        <f t="shared" si="32"/>
        <v>Oct'22/23</v>
      </c>
      <c r="H170" s="11" t="str">
        <f t="shared" si="33"/>
        <v>Oct'22/23</v>
      </c>
      <c r="I170" s="11">
        <f t="shared" si="34"/>
        <v>33.835431</v>
      </c>
    </row>
    <row r="171" spans="2:9" x14ac:dyDescent="0.55000000000000004">
      <c r="B171" s="11">
        <f t="shared" si="35"/>
        <v>9</v>
      </c>
      <c r="C171" s="11">
        <f t="shared" si="36"/>
        <v>2</v>
      </c>
      <c r="D171" s="12">
        <f t="shared" si="29"/>
        <v>3351127</v>
      </c>
      <c r="E171" s="11" t="str">
        <f t="shared" si="30"/>
        <v>22/23</v>
      </c>
      <c r="F171" s="11" t="str">
        <f t="shared" si="31"/>
        <v>Nov</v>
      </c>
      <c r="G171" s="11" t="str">
        <f t="shared" si="32"/>
        <v>Nov'22/23</v>
      </c>
      <c r="H171" s="11" t="str">
        <f t="shared" si="33"/>
        <v>Nov'22/23</v>
      </c>
      <c r="I171" s="11">
        <f t="shared" si="34"/>
        <v>34.558911999999999</v>
      </c>
    </row>
    <row r="172" spans="2:9" x14ac:dyDescent="0.55000000000000004">
      <c r="B172" s="11">
        <f t="shared" si="35"/>
        <v>9</v>
      </c>
      <c r="C172" s="11">
        <f t="shared" si="36"/>
        <v>3</v>
      </c>
      <c r="D172" s="12">
        <f t="shared" si="29"/>
        <v>2834772</v>
      </c>
      <c r="E172" s="11" t="str">
        <f t="shared" si="30"/>
        <v>22/23</v>
      </c>
      <c r="F172" s="11" t="str">
        <f t="shared" si="31"/>
        <v>Dec</v>
      </c>
      <c r="G172" s="11" t="str">
        <f t="shared" si="32"/>
        <v>Dec'22/23</v>
      </c>
      <c r="H172" s="11" t="str">
        <f t="shared" si="33"/>
        <v>Dec'22/23</v>
      </c>
      <c r="I172" s="11">
        <f t="shared" si="34"/>
        <v>34.103614</v>
      </c>
    </row>
    <row r="173" spans="2:9" x14ac:dyDescent="0.55000000000000004">
      <c r="B173" s="11">
        <f t="shared" si="35"/>
        <v>9</v>
      </c>
      <c r="C173" s="11">
        <f t="shared" si="36"/>
        <v>4</v>
      </c>
      <c r="D173" s="12">
        <f t="shared" si="29"/>
        <v>2435424</v>
      </c>
      <c r="E173" s="11" t="str">
        <f t="shared" si="30"/>
        <v>22/23</v>
      </c>
      <c r="F173" s="11" t="str">
        <f t="shared" si="31"/>
        <v>Jan</v>
      </c>
      <c r="G173" s="11" t="str">
        <f t="shared" si="32"/>
        <v>Jan'22/23</v>
      </c>
      <c r="H173" s="11" t="str">
        <f t="shared" si="33"/>
        <v>Jan'22/23</v>
      </c>
      <c r="I173" s="11">
        <f t="shared" si="34"/>
        <v>33.545375</v>
      </c>
    </row>
    <row r="174" spans="2:9" x14ac:dyDescent="0.55000000000000004">
      <c r="B174" s="11">
        <f t="shared" si="35"/>
        <v>9</v>
      </c>
      <c r="C174" s="11">
        <f t="shared" si="36"/>
        <v>5</v>
      </c>
      <c r="D174" s="12">
        <f t="shared" si="29"/>
        <v>2058344</v>
      </c>
      <c r="E174" s="11" t="str">
        <f t="shared" si="30"/>
        <v>22/23</v>
      </c>
      <c r="F174" s="11" t="str">
        <f t="shared" si="31"/>
        <v>Feb</v>
      </c>
      <c r="G174" s="11" t="str">
        <f t="shared" si="32"/>
        <v>Feb'22/23</v>
      </c>
      <c r="H174" s="11" t="str">
        <f t="shared" si="33"/>
        <v>Feb'22/23</v>
      </c>
      <c r="I174" s="11">
        <f t="shared" si="34"/>
        <v>32.457966999999996</v>
      </c>
    </row>
    <row r="175" spans="2:9" x14ac:dyDescent="0.55000000000000004">
      <c r="B175" s="11">
        <f t="shared" si="35"/>
        <v>9</v>
      </c>
      <c r="C175" s="11">
        <f t="shared" si="36"/>
        <v>6</v>
      </c>
      <c r="D175" s="12">
        <f t="shared" si="29"/>
        <v>2690288</v>
      </c>
      <c r="E175" s="11" t="str">
        <f t="shared" si="30"/>
        <v>22/23</v>
      </c>
      <c r="F175" s="11" t="str">
        <f t="shared" si="31"/>
        <v>Mar</v>
      </c>
      <c r="G175" s="11" t="str">
        <f t="shared" si="32"/>
        <v>Mar'22/23</v>
      </c>
      <c r="H175" s="11" t="str">
        <f t="shared" si="33"/>
        <v>Mar'22/23</v>
      </c>
      <c r="I175" s="11">
        <f t="shared" si="34"/>
        <v>31.833385</v>
      </c>
    </row>
    <row r="176" spans="2:9" x14ac:dyDescent="0.55000000000000004">
      <c r="B176" s="11">
        <f t="shared" si="35"/>
        <v>9</v>
      </c>
      <c r="C176" s="11">
        <f t="shared" si="36"/>
        <v>7</v>
      </c>
      <c r="D176" s="12">
        <f t="shared" si="29"/>
        <v>2300611</v>
      </c>
      <c r="E176" s="11" t="str">
        <f t="shared" si="30"/>
        <v>22/23</v>
      </c>
      <c r="F176" s="11" t="str">
        <f t="shared" si="31"/>
        <v>Apr</v>
      </c>
      <c r="G176" s="11" t="str">
        <f t="shared" si="32"/>
        <v>Apr'22/23</v>
      </c>
      <c r="H176" s="11" t="str">
        <f t="shared" si="33"/>
        <v>Apr'22/23</v>
      </c>
      <c r="I176" s="11">
        <f t="shared" si="34"/>
        <v>31.498103</v>
      </c>
    </row>
    <row r="177" spans="2:9" x14ac:dyDescent="0.55000000000000004">
      <c r="B177" s="11">
        <f t="shared" si="35"/>
        <v>9</v>
      </c>
      <c r="C177" s="11">
        <f t="shared" si="36"/>
        <v>8</v>
      </c>
      <c r="D177" s="12">
        <f t="shared" si="29"/>
        <v>1985129</v>
      </c>
      <c r="E177" s="11" t="str">
        <f t="shared" si="30"/>
        <v>22/23</v>
      </c>
      <c r="F177" s="11" t="str">
        <f t="shared" si="31"/>
        <v>May</v>
      </c>
      <c r="G177" s="11" t="str">
        <f t="shared" si="32"/>
        <v>May'22/23</v>
      </c>
      <c r="H177" s="11" t="str">
        <f t="shared" si="33"/>
        <v>May'22/23</v>
      </c>
      <c r="I177" s="11">
        <f t="shared" si="34"/>
        <v>30.953658000000001</v>
      </c>
    </row>
    <row r="178" spans="2:9" x14ac:dyDescent="0.55000000000000004">
      <c r="B178" s="11">
        <f t="shared" si="35"/>
        <v>9</v>
      </c>
      <c r="C178" s="11">
        <f t="shared" si="36"/>
        <v>9</v>
      </c>
      <c r="D178" s="12">
        <f t="shared" si="29"/>
        <v>2065344</v>
      </c>
      <c r="E178" s="11" t="str">
        <f t="shared" si="30"/>
        <v>22/23</v>
      </c>
      <c r="F178" s="11" t="str">
        <f t="shared" si="31"/>
        <v>Jun</v>
      </c>
      <c r="G178" s="11" t="str">
        <f t="shared" si="32"/>
        <v>Jun'22/23</v>
      </c>
      <c r="H178" s="11" t="str">
        <f t="shared" si="33"/>
        <v>Jun'22/23</v>
      </c>
      <c r="I178" s="11">
        <f t="shared" si="34"/>
        <v>30.330756999999998</v>
      </c>
    </row>
    <row r="179" spans="2:9" x14ac:dyDescent="0.55000000000000004">
      <c r="B179" s="11">
        <f t="shared" si="35"/>
        <v>9</v>
      </c>
      <c r="C179" s="11">
        <f t="shared" si="36"/>
        <v>10</v>
      </c>
      <c r="D179" s="12">
        <f t="shared" si="29"/>
        <v>2202881</v>
      </c>
      <c r="E179" s="11" t="str">
        <f t="shared" si="30"/>
        <v>22/23</v>
      </c>
      <c r="F179" s="11" t="str">
        <f t="shared" si="31"/>
        <v>Jul</v>
      </c>
      <c r="G179" s="11" t="str">
        <f t="shared" si="32"/>
        <v>Jul'22/23</v>
      </c>
      <c r="H179" s="11" t="str">
        <f t="shared" si="33"/>
        <v>Jul'22/23</v>
      </c>
      <c r="I179" s="11">
        <f t="shared" si="34"/>
        <v>30.476474</v>
      </c>
    </row>
    <row r="180" spans="2:9" x14ac:dyDescent="0.55000000000000004">
      <c r="B180" s="11">
        <f t="shared" si="35"/>
        <v>9</v>
      </c>
      <c r="C180" s="11">
        <f t="shared" si="36"/>
        <v>11</v>
      </c>
      <c r="D180" s="12">
        <f t="shared" si="29"/>
        <v>2661527</v>
      </c>
      <c r="E180" s="11" t="str">
        <f t="shared" si="30"/>
        <v>22/23</v>
      </c>
      <c r="F180" s="11" t="str">
        <f t="shared" si="31"/>
        <v>Aug</v>
      </c>
      <c r="G180" s="11" t="str">
        <f t="shared" si="32"/>
        <v>Aug'22/23</v>
      </c>
      <c r="H180" s="11" t="str">
        <f t="shared" si="33"/>
        <v>Aug'22/23</v>
      </c>
      <c r="I180" s="11">
        <f t="shared" si="34"/>
        <v>30.753588000000001</v>
      </c>
    </row>
    <row r="181" spans="2:9" x14ac:dyDescent="0.55000000000000004">
      <c r="B181" s="11">
        <f t="shared" si="35"/>
        <v>9</v>
      </c>
      <c r="C181" s="11">
        <f t="shared" si="36"/>
        <v>12</v>
      </c>
      <c r="D181" s="12">
        <f t="shared" si="29"/>
        <v>2418736</v>
      </c>
      <c r="E181" s="11" t="str">
        <f t="shared" si="30"/>
        <v>22/23</v>
      </c>
      <c r="F181" s="11" t="str">
        <f t="shared" si="31"/>
        <v>Sep</v>
      </c>
      <c r="G181" s="11" t="str">
        <f t="shared" si="32"/>
        <v>Sep'22/23</v>
      </c>
      <c r="H181" s="11" t="str">
        <f t="shared" si="33"/>
        <v>Sep'22/23</v>
      </c>
      <c r="I181" s="11">
        <f t="shared" si="34"/>
        <v>30.171218</v>
      </c>
    </row>
    <row r="182" spans="2:9" x14ac:dyDescent="0.55000000000000004">
      <c r="B182" s="11">
        <f t="shared" si="35"/>
        <v>10</v>
      </c>
      <c r="C182" s="11">
        <f t="shared" si="36"/>
        <v>1</v>
      </c>
      <c r="D182" s="12">
        <f t="shared" si="29"/>
        <v>3446494</v>
      </c>
      <c r="E182" s="11" t="str">
        <f t="shared" si="30"/>
        <v>23/24</v>
      </c>
      <c r="F182" s="11" t="str">
        <f t="shared" si="31"/>
        <v>Oct</v>
      </c>
      <c r="G182" s="11" t="str">
        <f t="shared" si="32"/>
        <v>Oct'23/24</v>
      </c>
      <c r="H182" s="11" t="str">
        <f t="shared" si="33"/>
        <v>Oct'23/24</v>
      </c>
      <c r="I182" s="11">
        <f t="shared" si="34"/>
        <v>30.450676999999999</v>
      </c>
    </row>
    <row r="183" spans="2:9" x14ac:dyDescent="0.55000000000000004">
      <c r="B183" s="11">
        <f t="shared" si="35"/>
        <v>10</v>
      </c>
      <c r="C183" s="11">
        <f t="shared" si="36"/>
        <v>2</v>
      </c>
      <c r="D183" s="12">
        <f t="shared" si="29"/>
        <v>3278414</v>
      </c>
      <c r="E183" s="11" t="str">
        <f t="shared" si="30"/>
        <v>23/24</v>
      </c>
      <c r="F183" s="11" t="str">
        <f t="shared" si="31"/>
        <v>Nov</v>
      </c>
      <c r="G183" s="11" t="str">
        <f t="shared" si="32"/>
        <v>Nov'23/24</v>
      </c>
      <c r="H183" s="11" t="str">
        <f t="shared" si="33"/>
        <v>Nov'23/24</v>
      </c>
      <c r="I183" s="11">
        <f t="shared" si="34"/>
        <v>30.377963999999999</v>
      </c>
    </row>
    <row r="184" spans="2:9" x14ac:dyDescent="0.55000000000000004">
      <c r="B184" s="11">
        <f t="shared" si="35"/>
        <v>10</v>
      </c>
      <c r="C184" s="11">
        <f t="shared" si="36"/>
        <v>3</v>
      </c>
      <c r="D184" s="12">
        <f t="shared" si="29"/>
        <v>3273181</v>
      </c>
      <c r="E184" s="11" t="str">
        <f t="shared" si="30"/>
        <v>23/24</v>
      </c>
      <c r="F184" s="11" t="str">
        <f t="shared" si="31"/>
        <v>Dec</v>
      </c>
      <c r="G184" s="11" t="str">
        <f t="shared" si="32"/>
        <v>Dec'23/24</v>
      </c>
      <c r="H184" s="11" t="str">
        <f t="shared" si="33"/>
        <v>Dec'23/24</v>
      </c>
      <c r="I184" s="11">
        <f t="shared" si="34"/>
        <v>30.816372999999999</v>
      </c>
    </row>
    <row r="185" spans="2:9" x14ac:dyDescent="0.55000000000000004">
      <c r="B185" s="11">
        <f t="shared" si="35"/>
        <v>10</v>
      </c>
      <c r="C185" s="11">
        <f t="shared" si="36"/>
        <v>4</v>
      </c>
      <c r="D185" s="12">
        <f t="shared" si="29"/>
        <v>3275592</v>
      </c>
      <c r="E185" s="11" t="str">
        <f t="shared" si="30"/>
        <v>23/24</v>
      </c>
      <c r="F185" s="11" t="str">
        <f t="shared" si="31"/>
        <v>Jan</v>
      </c>
      <c r="G185" s="11" t="str">
        <f t="shared" si="32"/>
        <v>Jan'23/24</v>
      </c>
      <c r="H185" s="11" t="str">
        <f t="shared" si="33"/>
        <v>Jan'23/24</v>
      </c>
      <c r="I185" s="11">
        <f t="shared" si="34"/>
        <v>31.656541000000001</v>
      </c>
    </row>
    <row r="186" spans="2:9" x14ac:dyDescent="0.55000000000000004">
      <c r="B186" s="11">
        <f t="shared" si="35"/>
        <v>10</v>
      </c>
      <c r="C186" s="11">
        <f t="shared" si="36"/>
        <v>5</v>
      </c>
      <c r="D186" s="12">
        <f t="shared" si="29"/>
        <v>2822230</v>
      </c>
      <c r="E186" s="11" t="str">
        <f t="shared" si="30"/>
        <v>23/24</v>
      </c>
      <c r="F186" s="11" t="str">
        <f t="shared" si="31"/>
        <v>Feb</v>
      </c>
      <c r="G186" s="11" t="str">
        <f t="shared" si="32"/>
        <v>Feb'23/24</v>
      </c>
      <c r="H186" s="11" t="str">
        <f t="shared" si="33"/>
        <v>Feb'23/24</v>
      </c>
      <c r="I186" s="11">
        <f t="shared" si="34"/>
        <v>32.420426999999997</v>
      </c>
    </row>
    <row r="187" spans="2:9" x14ac:dyDescent="0.55000000000000004">
      <c r="B187" s="11">
        <f t="shared" si="35"/>
        <v>10</v>
      </c>
      <c r="C187" s="11">
        <f t="shared" si="36"/>
        <v>6</v>
      </c>
      <c r="D187" s="12">
        <f t="shared" si="29"/>
        <v>3148834</v>
      </c>
      <c r="E187" s="11" t="str">
        <f t="shared" si="30"/>
        <v>23/24</v>
      </c>
      <c r="F187" s="11" t="str">
        <f t="shared" si="31"/>
        <v>Mar</v>
      </c>
      <c r="G187" s="11" t="str">
        <f t="shared" si="32"/>
        <v>Mar'23/24</v>
      </c>
      <c r="H187" s="11" t="str">
        <f t="shared" si="33"/>
        <v>Mar'23/24</v>
      </c>
      <c r="I187" s="11">
        <f t="shared" si="34"/>
        <v>32.878973000000002</v>
      </c>
    </row>
    <row r="188" spans="2:9" x14ac:dyDescent="0.55000000000000004">
      <c r="B188" s="11">
        <f t="shared" si="35"/>
        <v>10</v>
      </c>
      <c r="C188" s="11">
        <f t="shared" si="36"/>
        <v>7</v>
      </c>
      <c r="D188" s="12">
        <f t="shared" si="29"/>
        <v>3244334</v>
      </c>
      <c r="E188" s="11" t="str">
        <f t="shared" si="30"/>
        <v>23/24</v>
      </c>
      <c r="F188" s="11" t="str">
        <f t="shared" si="31"/>
        <v>Apr</v>
      </c>
      <c r="G188" s="11" t="str">
        <f t="shared" si="32"/>
        <v>Apr'23/24</v>
      </c>
      <c r="H188" s="11" t="str">
        <f t="shared" si="33"/>
        <v>Apr'23/24</v>
      </c>
      <c r="I188" s="11">
        <f t="shared" si="34"/>
        <v>33.822696000000001</v>
      </c>
    </row>
    <row r="189" spans="2:9" x14ac:dyDescent="0.55000000000000004">
      <c r="B189" s="11">
        <f t="shared" si="35"/>
        <v>10</v>
      </c>
      <c r="C189" s="11">
        <f t="shared" si="36"/>
        <v>8</v>
      </c>
      <c r="D189" s="12">
        <f t="shared" si="29"/>
        <v>3178112</v>
      </c>
      <c r="E189" s="11" t="str">
        <f t="shared" si="30"/>
        <v>23/24</v>
      </c>
      <c r="F189" s="11" t="str">
        <f t="shared" si="31"/>
        <v>May</v>
      </c>
      <c r="G189" s="11" t="str">
        <f t="shared" si="32"/>
        <v>May'23/24</v>
      </c>
      <c r="H189" s="11" t="str">
        <f t="shared" si="33"/>
        <v>May'23/24</v>
      </c>
      <c r="I189" s="11">
        <f t="shared" si="34"/>
        <v>35.015678999999999</v>
      </c>
    </row>
    <row r="190" spans="2:9" x14ac:dyDescent="0.55000000000000004">
      <c r="B190" s="11">
        <f t="shared" si="35"/>
        <v>10</v>
      </c>
      <c r="C190" s="11">
        <f t="shared" si="36"/>
        <v>9</v>
      </c>
      <c r="D190" s="12">
        <f t="shared" si="29"/>
        <v>2496148</v>
      </c>
      <c r="E190" s="11" t="str">
        <f t="shared" si="30"/>
        <v>23/24</v>
      </c>
      <c r="F190" s="11" t="str">
        <f t="shared" si="31"/>
        <v>Jun</v>
      </c>
      <c r="G190" s="11" t="str">
        <f t="shared" si="32"/>
        <v>Jun'23/24</v>
      </c>
      <c r="H190" s="11" t="str">
        <f t="shared" si="33"/>
        <v>Jun'23/24</v>
      </c>
      <c r="I190" s="11">
        <f t="shared" si="34"/>
        <v>35.446483000000001</v>
      </c>
    </row>
    <row r="191" spans="2:9" x14ac:dyDescent="0.55000000000000004">
      <c r="B191" s="11">
        <f t="shared" si="35"/>
        <v>10</v>
      </c>
      <c r="C191" s="11">
        <f t="shared" si="36"/>
        <v>10</v>
      </c>
      <c r="D191" s="12">
        <f t="shared" si="29"/>
        <v>2497750</v>
      </c>
      <c r="E191" s="11" t="str">
        <f t="shared" si="30"/>
        <v>23/24</v>
      </c>
      <c r="F191" s="11" t="str">
        <f t="shared" si="31"/>
        <v>Jul</v>
      </c>
      <c r="G191" s="11" t="str">
        <f t="shared" si="32"/>
        <v>Jul'23/24</v>
      </c>
      <c r="H191" s="11" t="str">
        <f t="shared" si="33"/>
        <v>Jul'23/24</v>
      </c>
      <c r="I191" s="11">
        <f t="shared" si="34"/>
        <v>35.741351999999999</v>
      </c>
    </row>
    <row r="192" spans="2:9" x14ac:dyDescent="0.55000000000000004">
      <c r="B192" s="11">
        <f t="shared" si="35"/>
        <v>10</v>
      </c>
      <c r="C192" s="11">
        <f t="shared" si="36"/>
        <v>11</v>
      </c>
      <c r="D192" s="12">
        <f t="shared" si="29"/>
        <v>2542992</v>
      </c>
      <c r="E192" s="11" t="str">
        <f t="shared" si="30"/>
        <v>23/24</v>
      </c>
      <c r="F192" s="11" t="str">
        <f t="shared" si="31"/>
        <v>Aug</v>
      </c>
      <c r="G192" s="11" t="str">
        <f t="shared" si="32"/>
        <v>Aug'23/24</v>
      </c>
      <c r="H192" s="11" t="str">
        <f t="shared" si="33"/>
        <v>Aug'23/24</v>
      </c>
      <c r="I192" s="11">
        <f t="shared" si="34"/>
        <v>35.622816999999998</v>
      </c>
    </row>
    <row r="193" spans="2:9" x14ac:dyDescent="0.55000000000000004">
      <c r="B193" s="11">
        <f t="shared" si="35"/>
        <v>10</v>
      </c>
      <c r="C193" s="11">
        <f t="shared" si="36"/>
        <v>12</v>
      </c>
      <c r="D193" s="12">
        <f t="shared" si="29"/>
        <v>3298970</v>
      </c>
      <c r="E193" s="11" t="str">
        <f t="shared" si="30"/>
        <v>23/24</v>
      </c>
      <c r="F193" s="11" t="str">
        <f t="shared" si="31"/>
        <v>Sep</v>
      </c>
      <c r="G193" s="11" t="str">
        <f t="shared" si="32"/>
        <v>Sep'23/24</v>
      </c>
      <c r="H193" s="11" t="str">
        <f t="shared" si="33"/>
        <v>Sep'23/24</v>
      </c>
      <c r="I193" s="11">
        <f t="shared" si="34"/>
        <v>36.503050999999999</v>
      </c>
    </row>
    <row r="194" spans="2:9" x14ac:dyDescent="0.55000000000000004">
      <c r="B194" s="11">
        <f t="shared" si="35"/>
        <v>11</v>
      </c>
      <c r="C194" s="11">
        <f t="shared" si="36"/>
        <v>1</v>
      </c>
      <c r="D194" s="12">
        <f t="shared" si="29"/>
        <v>3884747</v>
      </c>
      <c r="E194" s="11" t="str">
        <f t="shared" si="30"/>
        <v>24/25</v>
      </c>
      <c r="F194" s="11" t="str">
        <f t="shared" si="31"/>
        <v>Oct</v>
      </c>
      <c r="G194" s="11" t="str">
        <f t="shared" si="32"/>
        <v>Oct'24/25</v>
      </c>
      <c r="H194" s="11" t="str">
        <f t="shared" si="33"/>
        <v>Oct'24/25</v>
      </c>
      <c r="I194" s="11">
        <f t="shared" si="34"/>
        <v>36.941304000000002</v>
      </c>
    </row>
    <row r="195" spans="2:9" x14ac:dyDescent="0.55000000000000004">
      <c r="B195" s="11">
        <f t="shared" si="35"/>
        <v>11</v>
      </c>
      <c r="C195" s="11">
        <f t="shared" si="36"/>
        <v>2</v>
      </c>
      <c r="D195" s="12">
        <f t="shared" si="29"/>
        <v>3578374</v>
      </c>
      <c r="E195" s="11" t="str">
        <f t="shared" si="30"/>
        <v>24/25</v>
      </c>
      <c r="F195" s="11" t="str">
        <f t="shared" si="31"/>
        <v>Nov</v>
      </c>
      <c r="G195" s="11" t="str">
        <f t="shared" si="32"/>
        <v>Nov'24/25</v>
      </c>
      <c r="H195" s="11" t="str">
        <f t="shared" si="33"/>
        <v>Nov'24/25</v>
      </c>
      <c r="I195" s="11">
        <f t="shared" si="34"/>
        <v>37.241264000000001</v>
      </c>
    </row>
    <row r="196" spans="2:9" x14ac:dyDescent="0.55000000000000004">
      <c r="B196" s="11">
        <f t="shared" si="35"/>
        <v>11</v>
      </c>
      <c r="C196" s="11">
        <f t="shared" si="36"/>
        <v>3</v>
      </c>
      <c r="D196" s="12">
        <f t="shared" si="29"/>
        <v>3900000</v>
      </c>
      <c r="E196" s="11" t="str">
        <f t="shared" si="30"/>
        <v>24/25</v>
      </c>
      <c r="F196" s="11" t="str">
        <f t="shared" si="31"/>
        <v>Dec</v>
      </c>
      <c r="G196" s="11" t="str">
        <f t="shared" si="32"/>
        <v>Dec'24/25</v>
      </c>
      <c r="H196" s="11" t="str">
        <f t="shared" si="33"/>
        <v>Dec'24/25</v>
      </c>
      <c r="I196" s="11">
        <f t="shared" si="34"/>
        <v>37.868082999999999</v>
      </c>
    </row>
    <row r="197" spans="2:9" x14ac:dyDescent="0.55000000000000004">
      <c r="B197" s="11">
        <f t="shared" si="35"/>
        <v>11</v>
      </c>
      <c r="C197" s="11">
        <f t="shared" si="36"/>
        <v>4</v>
      </c>
      <c r="D197" s="12">
        <f t="shared" si="29"/>
        <v>3301696</v>
      </c>
      <c r="E197" s="11" t="str">
        <f t="shared" si="30"/>
        <v>24/25</v>
      </c>
      <c r="F197" s="11" t="str">
        <f t="shared" si="31"/>
        <v>Jan</v>
      </c>
      <c r="G197" s="11" t="str">
        <f t="shared" si="32"/>
        <v>Jan'24/25</v>
      </c>
      <c r="H197" s="11" t="str">
        <f t="shared" si="33"/>
        <v>Jan'24/25</v>
      </c>
      <c r="I197" s="11">
        <f t="shared" si="34"/>
        <v>37.894187000000002</v>
      </c>
    </row>
    <row r="198" spans="2:9" x14ac:dyDescent="0.55000000000000004">
      <c r="B198" s="11">
        <f t="shared" si="35"/>
        <v>11</v>
      </c>
      <c r="C198" s="11">
        <f t="shared" si="36"/>
        <v>5</v>
      </c>
      <c r="D198" s="12">
        <f t="shared" si="29"/>
        <v>2907707</v>
      </c>
      <c r="E198" s="11" t="str">
        <f t="shared" si="30"/>
        <v>24/25</v>
      </c>
      <c r="F198" s="11" t="str">
        <f t="shared" si="31"/>
        <v>Feb</v>
      </c>
      <c r="G198" s="11" t="str">
        <f t="shared" si="32"/>
        <v>Feb'24/25</v>
      </c>
      <c r="H198" s="11" t="str">
        <f t="shared" si="33"/>
        <v>Feb'24/25</v>
      </c>
      <c r="I198" s="11">
        <f t="shared" si="34"/>
        <v>37.979664</v>
      </c>
    </row>
    <row r="199" spans="2:9" x14ac:dyDescent="0.55000000000000004">
      <c r="B199" s="11">
        <f t="shared" si="35"/>
        <v>11</v>
      </c>
      <c r="C199" s="11">
        <f t="shared" si="36"/>
        <v>6</v>
      </c>
      <c r="D199" s="12">
        <f t="shared" si="29"/>
        <v>2824160</v>
      </c>
      <c r="E199" s="11" t="str">
        <f t="shared" si="30"/>
        <v>24/25</v>
      </c>
      <c r="F199" s="11" t="str">
        <f t="shared" si="31"/>
        <v>Mar</v>
      </c>
      <c r="G199" s="11" t="str">
        <f t="shared" si="32"/>
        <v>Mar'24/25</v>
      </c>
      <c r="H199" s="11" t="str">
        <f t="shared" si="33"/>
        <v>Mar'24/25</v>
      </c>
      <c r="I199" s="11">
        <f t="shared" si="34"/>
        <v>37.654989999999998</v>
      </c>
    </row>
    <row r="200" spans="2:9" x14ac:dyDescent="0.55000000000000004">
      <c r="B200" s="11">
        <f t="shared" si="35"/>
        <v>11</v>
      </c>
      <c r="C200" s="11">
        <f t="shared" si="36"/>
        <v>7</v>
      </c>
      <c r="D200" s="12">
        <f t="shared" si="29"/>
        <v>2688108</v>
      </c>
      <c r="E200" s="11" t="str">
        <f t="shared" si="30"/>
        <v>24/25</v>
      </c>
      <c r="F200" s="11" t="str">
        <f t="shared" si="31"/>
        <v>Apr</v>
      </c>
      <c r="G200" s="11" t="str">
        <f t="shared" si="32"/>
        <v>Apr'24/25</v>
      </c>
      <c r="H200" s="11" t="str">
        <f t="shared" si="33"/>
        <v>Apr'24/25</v>
      </c>
      <c r="I200" s="11">
        <f t="shared" si="34"/>
        <v>37.098764000000003</v>
      </c>
    </row>
    <row r="201" spans="2:9" x14ac:dyDescent="0.55000000000000004">
      <c r="B201" s="11">
        <f t="shared" si="35"/>
        <v>11</v>
      </c>
      <c r="C201" s="11">
        <f t="shared" si="36"/>
        <v>8</v>
      </c>
      <c r="D201" s="12">
        <f t="shared" si="29"/>
        <v>2413181</v>
      </c>
      <c r="E201" s="11" t="str">
        <f t="shared" si="30"/>
        <v>24/25</v>
      </c>
      <c r="F201" s="11" t="str">
        <f t="shared" si="31"/>
        <v>May</v>
      </c>
      <c r="G201" s="11" t="str">
        <f t="shared" si="32"/>
        <v>May'24/25</v>
      </c>
      <c r="H201" s="11" t="str">
        <f t="shared" si="33"/>
        <v>May'24/25</v>
      </c>
      <c r="I201" s="11">
        <f t="shared" si="34"/>
        <v>36.333832999999998</v>
      </c>
    </row>
    <row r="202" spans="2:9" x14ac:dyDescent="0.55000000000000004">
      <c r="B202" s="11">
        <f t="shared" si="35"/>
        <v>11</v>
      </c>
      <c r="C202" s="11">
        <f t="shared" si="36"/>
        <v>9</v>
      </c>
      <c r="D202" s="12">
        <f t="shared" si="29"/>
        <v>1828485</v>
      </c>
      <c r="E202" s="11" t="str">
        <f t="shared" si="30"/>
        <v>24/25</v>
      </c>
      <c r="F202" s="11" t="str">
        <f t="shared" si="31"/>
        <v>Jun</v>
      </c>
      <c r="G202" s="11" t="str">
        <f t="shared" si="32"/>
        <v>Jun'24/25</v>
      </c>
      <c r="H202" s="11" t="str">
        <f t="shared" si="33"/>
        <v>Jun'24/25</v>
      </c>
      <c r="I202" s="11">
        <f t="shared" si="34"/>
        <v>35.666170000000001</v>
      </c>
    </row>
    <row r="203" spans="2:9" x14ac:dyDescent="0.55000000000000004">
      <c r="B203" s="11">
        <f t="shared" si="35"/>
        <v>11</v>
      </c>
      <c r="C203" s="11">
        <f t="shared" si="36"/>
        <v>10</v>
      </c>
      <c r="D203" s="12">
        <f t="shared" ref="D203:D229" si="37">INDEX($C$7:$N$19,MATCH(B203,$A$7:$A$19),MATCH(C203,$C$4:$N$4))</f>
        <v>1992423</v>
      </c>
      <c r="E203" s="11" t="str">
        <f t="shared" ref="E203:E229" si="38">_xlfn.XLOOKUP(B203,$A$7:$A$19,$B$7:$B$19)</f>
        <v>24/25</v>
      </c>
      <c r="F203" s="11" t="str">
        <f t="shared" ref="F203:F229" si="39">_xlfn.XLOOKUP(C203,$C$4:$N$4,$C$6:$N$6)</f>
        <v>Jul</v>
      </c>
      <c r="G203" s="11" t="str">
        <f t="shared" ref="G203:G229" si="40">_xlfn.CONCAT(F203,"'",E203)</f>
        <v>Jul'24/25</v>
      </c>
      <c r="H203" s="11" t="str">
        <f t="shared" si="33"/>
        <v>Jul'24/25</v>
      </c>
      <c r="I203" s="11">
        <f t="shared" si="34"/>
        <v>35.160843</v>
      </c>
    </row>
    <row r="204" spans="2:9" x14ac:dyDescent="0.55000000000000004">
      <c r="B204" s="11">
        <f t="shared" si="35"/>
        <v>11</v>
      </c>
      <c r="C204" s="11">
        <f t="shared" si="36"/>
        <v>11</v>
      </c>
      <c r="D204" s="12">
        <f t="shared" si="37"/>
        <v>2279622</v>
      </c>
      <c r="E204" s="11" t="str">
        <f t="shared" si="38"/>
        <v>24/25</v>
      </c>
      <c r="F204" s="11" t="str">
        <f t="shared" si="39"/>
        <v>Aug</v>
      </c>
      <c r="G204" s="11" t="str">
        <f t="shared" si="40"/>
        <v>Aug'24/25</v>
      </c>
      <c r="H204" s="11" t="str">
        <f t="shared" si="33"/>
        <v>Aug'24/25</v>
      </c>
      <c r="I204" s="11">
        <f t="shared" si="34"/>
        <v>34.897472999999998</v>
      </c>
    </row>
    <row r="205" spans="2:9" x14ac:dyDescent="0.55000000000000004">
      <c r="B205" s="11">
        <f t="shared" si="35"/>
        <v>11</v>
      </c>
      <c r="C205" s="11">
        <f t="shared" si="36"/>
        <v>12</v>
      </c>
      <c r="D205" s="12">
        <f t="shared" si="37"/>
        <v>2977456</v>
      </c>
      <c r="E205" s="11" t="str">
        <f t="shared" si="38"/>
        <v>24/25</v>
      </c>
      <c r="F205" s="11" t="str">
        <f t="shared" si="39"/>
        <v>Sep</v>
      </c>
      <c r="G205" s="11" t="str">
        <f t="shared" si="40"/>
        <v>Sep'24/25</v>
      </c>
      <c r="H205" s="11" t="str">
        <f t="shared" si="33"/>
        <v>Sep'24/25</v>
      </c>
      <c r="I205" s="11">
        <f t="shared" si="34"/>
        <v>34.575958999999997</v>
      </c>
    </row>
    <row r="206" spans="2:9" x14ac:dyDescent="0.55000000000000004">
      <c r="B206" s="11">
        <f t="shared" si="35"/>
        <v>12</v>
      </c>
      <c r="C206" s="11">
        <f t="shared" si="36"/>
        <v>1</v>
      </c>
      <c r="D206" s="12">
        <f t="shared" si="37"/>
        <v>3388002</v>
      </c>
      <c r="E206" s="11" t="str">
        <f t="shared" si="38"/>
        <v>25/26</v>
      </c>
      <c r="F206" s="11" t="str">
        <f t="shared" si="39"/>
        <v>Oct</v>
      </c>
      <c r="G206" s="11" t="str">
        <f t="shared" si="40"/>
        <v>Oct'25/26</v>
      </c>
      <c r="H206" s="11" t="str">
        <f t="shared" si="33"/>
        <v>Oct'25/26</v>
      </c>
      <c r="I206" s="11">
        <f t="shared" si="34"/>
        <v>34.079214</v>
      </c>
    </row>
    <row r="207" spans="2:9" x14ac:dyDescent="0.55000000000000004">
      <c r="B207" s="11">
        <f t="shared" si="35"/>
        <v>12</v>
      </c>
      <c r="C207" s="11">
        <f t="shared" si="36"/>
        <v>2</v>
      </c>
      <c r="D207" s="12">
        <f t="shared" si="37"/>
        <v>3064278</v>
      </c>
      <c r="E207" s="11" t="str">
        <f t="shared" si="38"/>
        <v>25/26</v>
      </c>
      <c r="F207" s="11" t="str">
        <f t="shared" si="39"/>
        <v>Nov</v>
      </c>
      <c r="G207" s="11" t="str">
        <f t="shared" si="40"/>
        <v>Nov'25/26</v>
      </c>
      <c r="H207" s="11" t="str">
        <f t="shared" si="33"/>
        <v>Nov'25/26</v>
      </c>
      <c r="I207" s="11">
        <f t="shared" si="34"/>
        <v>33.565117999999998</v>
      </c>
    </row>
    <row r="208" spans="2:9" x14ac:dyDescent="0.55000000000000004">
      <c r="B208" s="11">
        <f t="shared" si="35"/>
        <v>12</v>
      </c>
      <c r="C208" s="11">
        <f t="shared" si="36"/>
        <v>3</v>
      </c>
      <c r="D208" s="12">
        <f t="shared" si="37"/>
        <v>2646077</v>
      </c>
      <c r="E208" s="11" t="str">
        <f t="shared" si="38"/>
        <v>25/26</v>
      </c>
      <c r="F208" s="11" t="str">
        <f t="shared" si="39"/>
        <v>Dec</v>
      </c>
      <c r="G208" s="11" t="str">
        <f t="shared" si="40"/>
        <v>Dec'25/26</v>
      </c>
      <c r="H208" s="11" t="str">
        <f t="shared" si="33"/>
        <v>Dec'25/26</v>
      </c>
      <c r="I208" s="11">
        <f t="shared" si="34"/>
        <v>32.311194999999998</v>
      </c>
    </row>
    <row r="209" spans="2:9" x14ac:dyDescent="0.55000000000000004">
      <c r="B209" s="11">
        <f t="shared" si="35"/>
        <v>12</v>
      </c>
      <c r="C209" s="11">
        <f t="shared" si="36"/>
        <v>4</v>
      </c>
      <c r="D209" s="12">
        <f t="shared" si="37"/>
        <v>2354885</v>
      </c>
      <c r="E209" s="11" t="str">
        <f t="shared" si="38"/>
        <v>25/26</v>
      </c>
      <c r="F209" s="11" t="str">
        <f t="shared" si="39"/>
        <v>Jan</v>
      </c>
      <c r="G209" s="11" t="str">
        <f t="shared" si="40"/>
        <v>Jan'25/26</v>
      </c>
      <c r="H209" s="11" t="str">
        <f t="shared" si="33"/>
        <v>Jan'25/26</v>
      </c>
      <c r="I209" s="11">
        <f t="shared" si="34"/>
        <v>31.364384000000001</v>
      </c>
    </row>
    <row r="210" spans="2:9" x14ac:dyDescent="0.55000000000000004">
      <c r="B210" s="11">
        <f t="shared" si="35"/>
        <v>12</v>
      </c>
      <c r="C210" s="11">
        <f t="shared" si="36"/>
        <v>5</v>
      </c>
      <c r="D210" s="12">
        <f t="shared" si="37"/>
        <v>2069721</v>
      </c>
      <c r="E210" s="11" t="str">
        <f t="shared" si="38"/>
        <v>25/26</v>
      </c>
      <c r="F210" s="11" t="str">
        <f t="shared" si="39"/>
        <v>Feb</v>
      </c>
      <c r="G210" s="11" t="str">
        <f t="shared" si="40"/>
        <v>Feb'25/26</v>
      </c>
      <c r="H210" s="11" t="str">
        <f t="shared" si="33"/>
        <v>Feb'25/26</v>
      </c>
      <c r="I210" s="11">
        <f t="shared" si="34"/>
        <v>30.526398</v>
      </c>
    </row>
    <row r="211" spans="2:9" x14ac:dyDescent="0.55000000000000004">
      <c r="B211" s="11">
        <f t="shared" si="35"/>
        <v>12</v>
      </c>
      <c r="C211" s="11">
        <f t="shared" si="36"/>
        <v>6</v>
      </c>
      <c r="D211" s="12">
        <f t="shared" si="37"/>
        <v>2295458</v>
      </c>
      <c r="E211" s="11" t="str">
        <f t="shared" si="38"/>
        <v>25/26</v>
      </c>
      <c r="F211" s="11" t="str">
        <f t="shared" si="39"/>
        <v>Mar</v>
      </c>
      <c r="G211" s="11" t="str">
        <f t="shared" si="40"/>
        <v>Mar'25/26</v>
      </c>
      <c r="H211" s="11" t="str">
        <f t="shared" si="33"/>
        <v>Mar'25/26</v>
      </c>
      <c r="I211" s="11">
        <f t="shared" si="34"/>
        <v>29.997696000000001</v>
      </c>
    </row>
    <row r="212" spans="2:9" x14ac:dyDescent="0.55000000000000004">
      <c r="B212" s="11">
        <f t="shared" si="35"/>
        <v>12</v>
      </c>
      <c r="C212" s="11">
        <f t="shared" si="36"/>
        <v>7</v>
      </c>
      <c r="D212" s="12">
        <f t="shared" si="37"/>
        <v>2284296</v>
      </c>
      <c r="E212" s="11" t="str">
        <f t="shared" si="38"/>
        <v>25/26</v>
      </c>
      <c r="F212" s="11" t="str">
        <f t="shared" si="39"/>
        <v>Apr</v>
      </c>
      <c r="G212" s="11" t="str">
        <f t="shared" si="40"/>
        <v>Apr'25/26</v>
      </c>
      <c r="H212" s="11" t="str">
        <f t="shared" si="33"/>
        <v>Apr'25/26</v>
      </c>
      <c r="I212" s="11">
        <f t="shared" si="34"/>
        <v>29.593883999999999</v>
      </c>
    </row>
    <row r="213" spans="2:9" x14ac:dyDescent="0.55000000000000004">
      <c r="B213" s="11">
        <f t="shared" si="35"/>
        <v>12</v>
      </c>
      <c r="C213" s="11">
        <f t="shared" si="36"/>
        <v>8</v>
      </c>
      <c r="D213" s="12">
        <f t="shared" si="37"/>
        <v>2144329</v>
      </c>
      <c r="E213" s="11" t="str">
        <f t="shared" si="38"/>
        <v>25/26</v>
      </c>
      <c r="F213" s="11" t="str">
        <f t="shared" si="39"/>
        <v>May</v>
      </c>
      <c r="G213" s="11" t="str">
        <f t="shared" si="40"/>
        <v>May'25/26</v>
      </c>
      <c r="H213" s="11" t="str">
        <f t="shared" si="33"/>
        <v>May'25/26</v>
      </c>
      <c r="I213" s="11">
        <f t="shared" si="34"/>
        <v>29.325032</v>
      </c>
    </row>
    <row r="214" spans="2:9" x14ac:dyDescent="0.55000000000000004">
      <c r="B214" s="11">
        <f t="shared" si="35"/>
        <v>12</v>
      </c>
      <c r="C214" s="11">
        <f t="shared" si="36"/>
        <v>9</v>
      </c>
      <c r="D214" s="12">
        <f t="shared" si="37"/>
        <v>2019742</v>
      </c>
      <c r="E214" s="11" t="str">
        <f t="shared" si="38"/>
        <v>25/26</v>
      </c>
      <c r="F214" s="11" t="str">
        <f t="shared" si="39"/>
        <v>Jun</v>
      </c>
      <c r="G214" s="11" t="str">
        <f t="shared" si="40"/>
        <v>Jun'25/26</v>
      </c>
      <c r="H214" s="11" t="str">
        <f t="shared" ref="H214:H229" si="41">G214</f>
        <v>Jun'25/26</v>
      </c>
      <c r="I214" s="11">
        <f t="shared" ref="I214:I229" si="42">SUM(D203:D214)/1000000</f>
        <v>29.516289</v>
      </c>
    </row>
    <row r="215" spans="2:9" x14ac:dyDescent="0.55000000000000004">
      <c r="B215" s="11">
        <f t="shared" ref="B215:B229" si="43">B203+1</f>
        <v>12</v>
      </c>
      <c r="C215" s="11">
        <f t="shared" ref="C215:C229" si="44">C203</f>
        <v>10</v>
      </c>
      <c r="D215" s="12">
        <f t="shared" si="37"/>
        <v>1992423</v>
      </c>
      <c r="E215" s="11" t="str">
        <f t="shared" si="38"/>
        <v>25/26</v>
      </c>
      <c r="F215" s="11" t="str">
        <f t="shared" si="39"/>
        <v>Jul</v>
      </c>
      <c r="G215" s="11" t="str">
        <f t="shared" si="40"/>
        <v>Jul'25/26</v>
      </c>
      <c r="H215" s="11" t="str">
        <f t="shared" si="41"/>
        <v>Jul'25/26</v>
      </c>
      <c r="I215" s="11">
        <f t="shared" si="42"/>
        <v>29.516289</v>
      </c>
    </row>
    <row r="216" spans="2:9" x14ac:dyDescent="0.55000000000000004">
      <c r="B216" s="11">
        <f t="shared" si="43"/>
        <v>12</v>
      </c>
      <c r="C216" s="11">
        <f t="shared" si="44"/>
        <v>11</v>
      </c>
      <c r="D216" s="12">
        <f t="shared" si="37"/>
        <v>2959308</v>
      </c>
      <c r="E216" s="11" t="str">
        <f t="shared" si="38"/>
        <v>25/26</v>
      </c>
      <c r="F216" s="11" t="str">
        <f t="shared" si="39"/>
        <v>Aug</v>
      </c>
      <c r="G216" s="11" t="str">
        <f t="shared" si="40"/>
        <v>Aug'25/26</v>
      </c>
      <c r="H216" s="11" t="str">
        <f t="shared" si="41"/>
        <v>Aug'25/26</v>
      </c>
      <c r="I216" s="11">
        <f t="shared" si="42"/>
        <v>30.195975000000001</v>
      </c>
    </row>
    <row r="217" spans="2:9" x14ac:dyDescent="0.55000000000000004">
      <c r="B217" s="11">
        <f t="shared" si="43"/>
        <v>12</v>
      </c>
      <c r="C217" s="11">
        <f t="shared" si="44"/>
        <v>12</v>
      </c>
      <c r="D217" s="12">
        <f t="shared" si="37"/>
        <v>2766290</v>
      </c>
      <c r="E217" s="11" t="str">
        <f t="shared" si="38"/>
        <v>25/26</v>
      </c>
      <c r="F217" s="11" t="str">
        <f t="shared" si="39"/>
        <v>Sep</v>
      </c>
      <c r="G217" s="11" t="str">
        <f t="shared" si="40"/>
        <v>Sep'25/26</v>
      </c>
      <c r="H217" s="11" t="str">
        <f t="shared" si="41"/>
        <v>Sep'25/26</v>
      </c>
      <c r="I217" s="11">
        <f t="shared" si="42"/>
        <v>29.984808999999998</v>
      </c>
    </row>
    <row r="218" spans="2:9" x14ac:dyDescent="0.55000000000000004">
      <c r="B218" s="11">
        <f t="shared" si="43"/>
        <v>13</v>
      </c>
      <c r="C218" s="11">
        <f t="shared" si="44"/>
        <v>1</v>
      </c>
      <c r="D218" s="12" t="e">
        <f t="shared" si="37"/>
        <v>#N/A</v>
      </c>
      <c r="E218" s="11" t="str">
        <f t="shared" si="38"/>
        <v>26/27</v>
      </c>
      <c r="F218" s="11" t="str">
        <f t="shared" si="39"/>
        <v>Oct</v>
      </c>
      <c r="G218" s="11" t="str">
        <f t="shared" si="40"/>
        <v>Oct'26/27</v>
      </c>
      <c r="H218" s="11" t="str">
        <f t="shared" si="41"/>
        <v>Oct'26/27</v>
      </c>
      <c r="I218" s="11" t="e">
        <f t="shared" si="42"/>
        <v>#N/A</v>
      </c>
    </row>
    <row r="219" spans="2:9" x14ac:dyDescent="0.55000000000000004">
      <c r="B219" s="11">
        <f t="shared" si="43"/>
        <v>13</v>
      </c>
      <c r="C219" s="11">
        <f t="shared" si="44"/>
        <v>2</v>
      </c>
      <c r="D219" s="12" t="e">
        <f t="shared" si="37"/>
        <v>#N/A</v>
      </c>
      <c r="E219" s="11" t="str">
        <f t="shared" si="38"/>
        <v>26/27</v>
      </c>
      <c r="F219" s="11" t="str">
        <f t="shared" si="39"/>
        <v>Nov</v>
      </c>
      <c r="G219" s="11" t="str">
        <f t="shared" si="40"/>
        <v>Nov'26/27</v>
      </c>
      <c r="H219" s="11" t="str">
        <f t="shared" si="41"/>
        <v>Nov'26/27</v>
      </c>
      <c r="I219" s="11" t="e">
        <f t="shared" si="42"/>
        <v>#N/A</v>
      </c>
    </row>
    <row r="220" spans="2:9" x14ac:dyDescent="0.55000000000000004">
      <c r="B220" s="11">
        <f t="shared" si="43"/>
        <v>13</v>
      </c>
      <c r="C220" s="11">
        <f t="shared" si="44"/>
        <v>3</v>
      </c>
      <c r="D220" s="12" t="e">
        <f t="shared" si="37"/>
        <v>#N/A</v>
      </c>
      <c r="E220" s="11" t="str">
        <f t="shared" si="38"/>
        <v>26/27</v>
      </c>
      <c r="F220" s="11" t="str">
        <f t="shared" si="39"/>
        <v>Dec</v>
      </c>
      <c r="G220" s="11" t="str">
        <f t="shared" si="40"/>
        <v>Dec'26/27</v>
      </c>
      <c r="H220" s="11" t="str">
        <f t="shared" si="41"/>
        <v>Dec'26/27</v>
      </c>
      <c r="I220" s="11" t="e">
        <f t="shared" si="42"/>
        <v>#N/A</v>
      </c>
    </row>
    <row r="221" spans="2:9" x14ac:dyDescent="0.55000000000000004">
      <c r="B221" s="11">
        <f t="shared" si="43"/>
        <v>13</v>
      </c>
      <c r="C221" s="11">
        <f t="shared" si="44"/>
        <v>4</v>
      </c>
      <c r="D221" s="12" t="e">
        <f t="shared" si="37"/>
        <v>#N/A</v>
      </c>
      <c r="E221" s="11" t="str">
        <f t="shared" si="38"/>
        <v>26/27</v>
      </c>
      <c r="F221" s="11" t="str">
        <f t="shared" si="39"/>
        <v>Jan</v>
      </c>
      <c r="G221" s="11" t="str">
        <f t="shared" si="40"/>
        <v>Jan'26/27</v>
      </c>
      <c r="H221" s="11" t="str">
        <f t="shared" si="41"/>
        <v>Jan'26/27</v>
      </c>
      <c r="I221" s="11" t="e">
        <f t="shared" si="42"/>
        <v>#N/A</v>
      </c>
    </row>
    <row r="222" spans="2:9" x14ac:dyDescent="0.55000000000000004">
      <c r="B222" s="11">
        <f t="shared" si="43"/>
        <v>13</v>
      </c>
      <c r="C222" s="11">
        <f t="shared" si="44"/>
        <v>5</v>
      </c>
      <c r="D222" s="12" t="e">
        <f t="shared" si="37"/>
        <v>#N/A</v>
      </c>
      <c r="E222" s="11" t="str">
        <f t="shared" si="38"/>
        <v>26/27</v>
      </c>
      <c r="F222" s="11" t="str">
        <f t="shared" si="39"/>
        <v>Feb</v>
      </c>
      <c r="G222" s="11" t="str">
        <f t="shared" si="40"/>
        <v>Feb'26/27</v>
      </c>
      <c r="H222" s="11" t="str">
        <f t="shared" si="41"/>
        <v>Feb'26/27</v>
      </c>
      <c r="I222" s="11" t="e">
        <f t="shared" si="42"/>
        <v>#N/A</v>
      </c>
    </row>
    <row r="223" spans="2:9" x14ac:dyDescent="0.55000000000000004">
      <c r="B223" s="11">
        <f t="shared" si="43"/>
        <v>13</v>
      </c>
      <c r="C223" s="11">
        <f t="shared" si="44"/>
        <v>6</v>
      </c>
      <c r="D223" s="12" t="e">
        <f t="shared" si="37"/>
        <v>#N/A</v>
      </c>
      <c r="E223" s="11" t="str">
        <f t="shared" si="38"/>
        <v>26/27</v>
      </c>
      <c r="F223" s="11" t="str">
        <f t="shared" si="39"/>
        <v>Mar</v>
      </c>
      <c r="G223" s="11" t="str">
        <f t="shared" si="40"/>
        <v>Mar'26/27</v>
      </c>
      <c r="H223" s="11" t="str">
        <f t="shared" si="41"/>
        <v>Mar'26/27</v>
      </c>
      <c r="I223" s="11" t="e">
        <f t="shared" si="42"/>
        <v>#N/A</v>
      </c>
    </row>
    <row r="224" spans="2:9" x14ac:dyDescent="0.55000000000000004">
      <c r="B224" s="11">
        <f t="shared" si="43"/>
        <v>13</v>
      </c>
      <c r="C224" s="11">
        <f t="shared" si="44"/>
        <v>7</v>
      </c>
      <c r="D224" s="12" t="e">
        <f t="shared" si="37"/>
        <v>#N/A</v>
      </c>
      <c r="E224" s="11" t="str">
        <f t="shared" si="38"/>
        <v>26/27</v>
      </c>
      <c r="F224" s="11" t="str">
        <f t="shared" si="39"/>
        <v>Apr</v>
      </c>
      <c r="G224" s="11" t="str">
        <f t="shared" si="40"/>
        <v>Apr'26/27</v>
      </c>
      <c r="H224" s="11" t="str">
        <f t="shared" si="41"/>
        <v>Apr'26/27</v>
      </c>
      <c r="I224" s="11" t="e">
        <f t="shared" si="42"/>
        <v>#N/A</v>
      </c>
    </row>
    <row r="225" spans="2:9" x14ac:dyDescent="0.55000000000000004">
      <c r="B225" s="11">
        <f t="shared" si="43"/>
        <v>13</v>
      </c>
      <c r="C225" s="11">
        <f t="shared" si="44"/>
        <v>8</v>
      </c>
      <c r="D225" s="12" t="e">
        <f t="shared" si="37"/>
        <v>#N/A</v>
      </c>
      <c r="E225" s="11" t="str">
        <f t="shared" si="38"/>
        <v>26/27</v>
      </c>
      <c r="F225" s="11" t="str">
        <f t="shared" si="39"/>
        <v>May</v>
      </c>
      <c r="G225" s="11" t="str">
        <f t="shared" si="40"/>
        <v>May'26/27</v>
      </c>
      <c r="H225" s="11" t="str">
        <f t="shared" si="41"/>
        <v>May'26/27</v>
      </c>
      <c r="I225" s="11" t="e">
        <f t="shared" si="42"/>
        <v>#N/A</v>
      </c>
    </row>
    <row r="226" spans="2:9" x14ac:dyDescent="0.55000000000000004">
      <c r="B226" s="11">
        <f t="shared" si="43"/>
        <v>13</v>
      </c>
      <c r="C226" s="11">
        <f t="shared" si="44"/>
        <v>9</v>
      </c>
      <c r="D226" s="12" t="e">
        <f t="shared" si="37"/>
        <v>#N/A</v>
      </c>
      <c r="E226" s="11" t="str">
        <f t="shared" si="38"/>
        <v>26/27</v>
      </c>
      <c r="F226" s="11" t="str">
        <f t="shared" si="39"/>
        <v>Jun</v>
      </c>
      <c r="G226" s="11" t="str">
        <f t="shared" si="40"/>
        <v>Jun'26/27</v>
      </c>
      <c r="H226" s="11" t="str">
        <f t="shared" si="41"/>
        <v>Jun'26/27</v>
      </c>
      <c r="I226" s="11" t="e">
        <f t="shared" si="42"/>
        <v>#N/A</v>
      </c>
    </row>
    <row r="227" spans="2:9" x14ac:dyDescent="0.55000000000000004">
      <c r="B227" s="11">
        <f t="shared" si="43"/>
        <v>13</v>
      </c>
      <c r="C227" s="11">
        <f t="shared" si="44"/>
        <v>10</v>
      </c>
      <c r="D227" s="12" t="e">
        <f t="shared" si="37"/>
        <v>#N/A</v>
      </c>
      <c r="E227" s="11" t="str">
        <f t="shared" si="38"/>
        <v>26/27</v>
      </c>
      <c r="F227" s="11" t="str">
        <f t="shared" si="39"/>
        <v>Jul</v>
      </c>
      <c r="G227" s="11" t="str">
        <f t="shared" si="40"/>
        <v>Jul'26/27</v>
      </c>
      <c r="H227" s="11" t="str">
        <f t="shared" si="41"/>
        <v>Jul'26/27</v>
      </c>
      <c r="I227" s="11" t="e">
        <f t="shared" si="42"/>
        <v>#N/A</v>
      </c>
    </row>
    <row r="228" spans="2:9" x14ac:dyDescent="0.55000000000000004">
      <c r="B228" s="11">
        <f t="shared" si="43"/>
        <v>13</v>
      </c>
      <c r="C228" s="11">
        <f t="shared" si="44"/>
        <v>11</v>
      </c>
      <c r="D228" s="12" t="e">
        <f t="shared" si="37"/>
        <v>#N/A</v>
      </c>
      <c r="E228" s="11" t="str">
        <f t="shared" si="38"/>
        <v>26/27</v>
      </c>
      <c r="F228" s="11" t="str">
        <f t="shared" si="39"/>
        <v>Aug</v>
      </c>
      <c r="G228" s="11" t="str">
        <f t="shared" si="40"/>
        <v>Aug'26/27</v>
      </c>
      <c r="H228" s="11" t="str">
        <f t="shared" si="41"/>
        <v>Aug'26/27</v>
      </c>
      <c r="I228" s="11" t="e">
        <f t="shared" si="42"/>
        <v>#N/A</v>
      </c>
    </row>
    <row r="229" spans="2:9" x14ac:dyDescent="0.55000000000000004">
      <c r="B229" s="11">
        <f t="shared" si="43"/>
        <v>13</v>
      </c>
      <c r="C229" s="11">
        <f t="shared" si="44"/>
        <v>12</v>
      </c>
      <c r="D229" s="12" t="e">
        <f t="shared" si="37"/>
        <v>#N/A</v>
      </c>
      <c r="E229" s="11" t="str">
        <f t="shared" si="38"/>
        <v>26/27</v>
      </c>
      <c r="F229" s="11" t="str">
        <f t="shared" si="39"/>
        <v>Sep</v>
      </c>
      <c r="G229" s="11" t="str">
        <f t="shared" si="40"/>
        <v>Sep'26/27</v>
      </c>
      <c r="H229" s="11" t="str">
        <f t="shared" si="41"/>
        <v>Sep'26/27</v>
      </c>
      <c r="I229" s="11" t="e">
        <f t="shared" si="42"/>
        <v>#N/A</v>
      </c>
    </row>
  </sheetData>
  <mergeCells count="4">
    <mergeCell ref="C5:N5"/>
    <mergeCell ref="S6:U6"/>
    <mergeCell ref="A1:Y2"/>
    <mergeCell ref="N74:Y74"/>
  </mergeCells>
  <conditionalFormatting sqref="C7:N19">
    <cfRule type="cellIs" dxfId="14" priority="1" operator="greaterThanOrEqual">
      <formula>0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{3EFECEFA-AB93-429D-827C-938B9ADB5ADD}</x14:id>
        </ext>
      </extLst>
    </cfRule>
  </conditionalFormatting>
  <conditionalFormatting sqref="Q17:Q19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{033A8494-11F5-413E-ABE4-B08116226495}</x14:id>
        </ext>
      </extLst>
    </cfRule>
  </conditionalFormatting>
  <conditionalFormatting sqref="T7:T19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{8EAE9DCA-F887-4CEA-B83C-D43A2AAA1B61}</x14:id>
        </ext>
      </extLst>
    </cfRule>
  </conditionalFormatting>
  <conditionalFormatting sqref="U1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{54BB0E50-655D-4BA0-B05B-D2B6A24E5158}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FECEFA-AB93-429D-827C-938B9ADB5A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Q8:Q16</xm:sqref>
        </x14:conditionalFormatting>
        <x14:conditionalFormatting xmlns:xm="http://schemas.microsoft.com/office/excel/2006/main">
          <x14:cfRule type="dataBar" id="{033A8494-11F5-413E-ABE4-B081162264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Q17:Q19</xm:sqref>
        </x14:conditionalFormatting>
        <x14:conditionalFormatting xmlns:xm="http://schemas.microsoft.com/office/excel/2006/main">
          <x14:cfRule type="dataBar" id="{8EAE9DCA-F887-4CEA-B83C-D43A2AAA1B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54BB0E50-655D-4BA0-B05B-D2B6A24E51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CF25-3219-4653-A1F3-9A562FE8E2FF}">
  <sheetPr codeName="Sheet3"/>
  <dimension ref="A1:AI229"/>
  <sheetViews>
    <sheetView showGridLines="0" zoomScale="70" zoomScaleNormal="70" workbookViewId="0">
      <selection activeCell="B3" sqref="B3"/>
    </sheetView>
  </sheetViews>
  <sheetFormatPr defaultColWidth="8.83984375" defaultRowHeight="14.4" x14ac:dyDescent="0.55000000000000004"/>
  <cols>
    <col min="1" max="15" width="8.83984375" style="11"/>
    <col min="16" max="16" width="12.15625" style="11" bestFit="1" customWidth="1"/>
    <col min="17" max="16384" width="8.83984375" style="11"/>
  </cols>
  <sheetData>
    <row r="1" spans="1:35" s="17" customFormat="1" ht="25.8" x14ac:dyDescent="0.55000000000000004">
      <c r="A1" s="73" t="s">
        <v>45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Oct-Aug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Colombia : Arabica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Oct-Aug</v>
      </c>
      <c r="T6" s="75"/>
      <c r="U6" s="75"/>
    </row>
    <row r="7" spans="1:35" x14ac:dyDescent="0.55000000000000004">
      <c r="A7" s="14">
        <v>1</v>
      </c>
      <c r="B7" s="6" t="s">
        <v>15</v>
      </c>
      <c r="C7" s="23">
        <v>970136</v>
      </c>
      <c r="D7" s="23">
        <v>1018769</v>
      </c>
      <c r="E7" s="23">
        <v>1055598</v>
      </c>
      <c r="F7" s="23">
        <v>1057571</v>
      </c>
      <c r="G7" s="23">
        <v>1056782</v>
      </c>
      <c r="H7" s="23">
        <v>785648</v>
      </c>
      <c r="I7" s="23">
        <v>957289</v>
      </c>
      <c r="J7" s="23">
        <v>1005463</v>
      </c>
      <c r="K7" s="23">
        <v>1006374</v>
      </c>
      <c r="L7" s="23">
        <v>1200539</v>
      </c>
      <c r="M7" s="23">
        <v>1078339</v>
      </c>
      <c r="N7" s="23">
        <v>1085519</v>
      </c>
      <c r="O7" s="6" t="s">
        <v>15</v>
      </c>
      <c r="P7" s="20">
        <f t="shared" ref="P7:P19" si="0">IF(COUNT(C7:N7)=12,SUM(C7:N7),"")</f>
        <v>12278027</v>
      </c>
      <c r="Q7" s="2"/>
      <c r="R7" s="2"/>
      <c r="S7" s="6" t="s">
        <v>15</v>
      </c>
      <c r="T7" s="20">
        <f t="shared" ref="T7:T19" ca="1" si="1">IFERROR(IF(SUM(OFFSET(C7,0,0,1,$C$56))=0,"",SUM(OFFSET(C7,0,0,1,$C$56))),"")</f>
        <v>11192508</v>
      </c>
      <c r="U7" s="2"/>
    </row>
    <row r="8" spans="1:35" x14ac:dyDescent="0.55000000000000004">
      <c r="A8" s="14">
        <v>2</v>
      </c>
      <c r="B8" s="6" t="s">
        <v>16</v>
      </c>
      <c r="C8" s="23">
        <v>1173424</v>
      </c>
      <c r="D8" s="23">
        <v>1110974</v>
      </c>
      <c r="E8" s="23">
        <v>1195721</v>
      </c>
      <c r="F8" s="23">
        <v>1098400</v>
      </c>
      <c r="G8" s="23">
        <v>1112754</v>
      </c>
      <c r="H8" s="23">
        <v>1091860</v>
      </c>
      <c r="I8" s="23">
        <v>930895</v>
      </c>
      <c r="J8" s="23">
        <v>891197</v>
      </c>
      <c r="K8" s="23">
        <v>935319</v>
      </c>
      <c r="L8" s="23">
        <f>AVERAGE(K8,M8)</f>
        <v>1104269.5</v>
      </c>
      <c r="M8" s="23">
        <v>1273220</v>
      </c>
      <c r="N8" s="23">
        <v>1012122</v>
      </c>
      <c r="O8" s="6" t="s">
        <v>16</v>
      </c>
      <c r="P8" s="20">
        <f t="shared" si="0"/>
        <v>12930155.5</v>
      </c>
      <c r="Q8" s="7">
        <f t="shared" ref="Q8:Q16" si="2">IFERROR(P8/P7-1,"")</f>
        <v>5.3113460330393547E-2</v>
      </c>
      <c r="R8" s="2"/>
      <c r="S8" s="6" t="s">
        <v>16</v>
      </c>
      <c r="T8" s="20">
        <f t="shared" ca="1" si="1"/>
        <v>11918033.5</v>
      </c>
      <c r="U8" s="7">
        <f t="shared" ref="U8:U18" ca="1" si="3">IFERROR(T8/T7-1,"")</f>
        <v>6.4822424071530715E-2</v>
      </c>
    </row>
    <row r="9" spans="1:35" x14ac:dyDescent="0.55000000000000004">
      <c r="A9" s="14">
        <v>3</v>
      </c>
      <c r="B9" s="6" t="s">
        <v>17</v>
      </c>
      <c r="C9" s="23">
        <v>1230160</v>
      </c>
      <c r="D9" s="23">
        <v>1329710</v>
      </c>
      <c r="E9" s="23">
        <v>1449959</v>
      </c>
      <c r="F9" s="23">
        <v>1137740</v>
      </c>
      <c r="G9" s="23">
        <v>1182256</v>
      </c>
      <c r="H9" s="23">
        <v>1160000</v>
      </c>
      <c r="I9" s="23">
        <v>898000</v>
      </c>
      <c r="J9" s="23">
        <v>833873</v>
      </c>
      <c r="K9" s="23">
        <v>946638</v>
      </c>
      <c r="L9" s="23">
        <v>1000584</v>
      </c>
      <c r="M9" s="23">
        <v>1204087</v>
      </c>
      <c r="N9" s="23">
        <v>1112403</v>
      </c>
      <c r="O9" s="6" t="s">
        <v>17</v>
      </c>
      <c r="P9" s="20">
        <f t="shared" si="0"/>
        <v>13485410</v>
      </c>
      <c r="Q9" s="7">
        <f t="shared" si="2"/>
        <v>4.2942600342277482E-2</v>
      </c>
      <c r="R9" s="2"/>
      <c r="S9" s="6" t="s">
        <v>17</v>
      </c>
      <c r="T9" s="20">
        <f t="shared" ca="1" si="1"/>
        <v>12373007</v>
      </c>
      <c r="U9" s="7">
        <f t="shared" ca="1" si="3"/>
        <v>3.8175215735045454E-2</v>
      </c>
    </row>
    <row r="10" spans="1:35" x14ac:dyDescent="0.55000000000000004">
      <c r="A10" s="14">
        <v>4</v>
      </c>
      <c r="B10" s="6" t="s">
        <v>18</v>
      </c>
      <c r="C10" s="23">
        <v>1123426</v>
      </c>
      <c r="D10" s="23">
        <v>1161312</v>
      </c>
      <c r="E10" s="23">
        <v>1222000</v>
      </c>
      <c r="F10" s="23">
        <v>1053000</v>
      </c>
      <c r="G10" s="23">
        <v>1098000</v>
      </c>
      <c r="H10" s="23">
        <v>1035837</v>
      </c>
      <c r="I10" s="23">
        <v>924926</v>
      </c>
      <c r="J10" s="23">
        <v>950765</v>
      </c>
      <c r="K10" s="23">
        <v>915101</v>
      </c>
      <c r="L10" s="23">
        <v>1075909</v>
      </c>
      <c r="M10" s="23">
        <v>1024858.9999999999</v>
      </c>
      <c r="N10" s="23">
        <v>1098406</v>
      </c>
      <c r="O10" s="6" t="s">
        <v>18</v>
      </c>
      <c r="P10" s="20">
        <f t="shared" si="0"/>
        <v>12683541</v>
      </c>
      <c r="Q10" s="7">
        <f t="shared" si="2"/>
        <v>-5.9461966673612476E-2</v>
      </c>
      <c r="R10" s="2"/>
      <c r="S10" s="6" t="s">
        <v>18</v>
      </c>
      <c r="T10" s="20">
        <f t="shared" ca="1" si="1"/>
        <v>11585135</v>
      </c>
      <c r="U10" s="7">
        <f t="shared" ca="1" si="3"/>
        <v>-6.3676679403802172E-2</v>
      </c>
    </row>
    <row r="11" spans="1:35" x14ac:dyDescent="0.55000000000000004">
      <c r="A11" s="14">
        <v>5</v>
      </c>
      <c r="B11" s="6" t="s">
        <v>19</v>
      </c>
      <c r="C11" s="23">
        <v>1057659</v>
      </c>
      <c r="D11" s="23">
        <v>1233452</v>
      </c>
      <c r="E11" s="23">
        <v>1282996</v>
      </c>
      <c r="F11" s="23">
        <v>1166335</v>
      </c>
      <c r="G11" s="23">
        <v>1245588</v>
      </c>
      <c r="H11" s="23">
        <v>1140585</v>
      </c>
      <c r="I11" s="23">
        <v>872342</v>
      </c>
      <c r="J11" s="23">
        <v>1028036</v>
      </c>
      <c r="K11" s="23">
        <v>1110195</v>
      </c>
      <c r="L11" s="23">
        <v>1121937</v>
      </c>
      <c r="M11" s="23">
        <v>1214031</v>
      </c>
      <c r="N11" s="23">
        <v>1008672</v>
      </c>
      <c r="O11" s="6" t="s">
        <v>19</v>
      </c>
      <c r="P11" s="20">
        <f t="shared" si="0"/>
        <v>13481828</v>
      </c>
      <c r="Q11" s="7">
        <f t="shared" si="2"/>
        <v>6.2938811803423089E-2</v>
      </c>
      <c r="R11" s="2"/>
      <c r="S11" s="6" t="s">
        <v>19</v>
      </c>
      <c r="T11" s="20">
        <f t="shared" ca="1" si="1"/>
        <v>12473156</v>
      </c>
      <c r="U11" s="7">
        <f t="shared" ca="1" si="3"/>
        <v>7.6651761071407476E-2</v>
      </c>
    </row>
    <row r="12" spans="1:35" x14ac:dyDescent="0.55000000000000004">
      <c r="A12" s="14">
        <v>6</v>
      </c>
      <c r="B12" s="6" t="s">
        <v>20</v>
      </c>
      <c r="C12" s="23">
        <v>1211405</v>
      </c>
      <c r="D12" s="23">
        <v>1162209</v>
      </c>
      <c r="E12" s="23">
        <v>1386297</v>
      </c>
      <c r="F12" s="23">
        <v>1064879</v>
      </c>
      <c r="G12" s="23">
        <v>1078060</v>
      </c>
      <c r="H12" s="23">
        <v>947844</v>
      </c>
      <c r="I12" s="23">
        <v>642031</v>
      </c>
      <c r="J12" s="23">
        <v>893575</v>
      </c>
      <c r="K12" s="23">
        <v>1111473</v>
      </c>
      <c r="L12" s="23">
        <v>1131186</v>
      </c>
      <c r="M12" s="23">
        <v>1131000</v>
      </c>
      <c r="N12" s="23">
        <v>887494</v>
      </c>
      <c r="O12" s="6" t="s">
        <v>20</v>
      </c>
      <c r="P12" s="20">
        <f t="shared" si="0"/>
        <v>12647453</v>
      </c>
      <c r="Q12" s="7">
        <f t="shared" si="2"/>
        <v>-6.1888862548906576E-2</v>
      </c>
      <c r="R12" s="2"/>
      <c r="S12" s="6" t="s">
        <v>20</v>
      </c>
      <c r="T12" s="20">
        <f t="shared" ca="1" si="1"/>
        <v>11759959</v>
      </c>
      <c r="U12" s="7">
        <f t="shared" ca="1" si="3"/>
        <v>-5.7178552084171774E-2</v>
      </c>
    </row>
    <row r="13" spans="1:35" x14ac:dyDescent="0.55000000000000004">
      <c r="A13" s="14">
        <v>7</v>
      </c>
      <c r="B13" s="6" t="s">
        <v>21</v>
      </c>
      <c r="C13" s="23">
        <v>1051833</v>
      </c>
      <c r="D13" s="23">
        <v>1278603</v>
      </c>
      <c r="E13" s="23">
        <v>1309000</v>
      </c>
      <c r="F13" s="23">
        <v>1072000</v>
      </c>
      <c r="G13" s="23">
        <v>1273640</v>
      </c>
      <c r="H13" s="23">
        <v>1128007</v>
      </c>
      <c r="I13" s="23">
        <v>1035027</v>
      </c>
      <c r="J13" s="23">
        <f>AVERAGE(J12,J14)</f>
        <v>918787.5</v>
      </c>
      <c r="K13" s="23">
        <v>890284</v>
      </c>
      <c r="L13" s="23">
        <v>1184276</v>
      </c>
      <c r="M13" s="23">
        <v>1131000</v>
      </c>
      <c r="N13" s="23">
        <v>1090000</v>
      </c>
      <c r="O13" s="6" t="s">
        <v>21</v>
      </c>
      <c r="P13" s="20">
        <f t="shared" si="0"/>
        <v>13362457.5</v>
      </c>
      <c r="Q13" s="7">
        <f t="shared" si="2"/>
        <v>5.6533477531009568E-2</v>
      </c>
      <c r="R13" s="2"/>
      <c r="S13" s="6" t="s">
        <v>21</v>
      </c>
      <c r="T13" s="20">
        <f t="shared" ca="1" si="1"/>
        <v>12272457.5</v>
      </c>
      <c r="U13" s="7">
        <f t="shared" ca="1" si="3"/>
        <v>4.3579956358691385E-2</v>
      </c>
    </row>
    <row r="14" spans="1:35" x14ac:dyDescent="0.55000000000000004">
      <c r="A14" s="14">
        <v>8</v>
      </c>
      <c r="B14" s="6" t="s">
        <v>22</v>
      </c>
      <c r="C14" s="23">
        <v>987000</v>
      </c>
      <c r="D14" s="23">
        <v>1135000</v>
      </c>
      <c r="E14" s="23">
        <v>1167000</v>
      </c>
      <c r="F14" s="23">
        <v>1032000</v>
      </c>
      <c r="G14" s="23">
        <v>983000</v>
      </c>
      <c r="H14" s="23">
        <v>1121000</v>
      </c>
      <c r="I14" s="23">
        <v>845000</v>
      </c>
      <c r="J14" s="23">
        <v>944000</v>
      </c>
      <c r="K14" s="23">
        <v>939000</v>
      </c>
      <c r="L14" s="23">
        <v>1020000</v>
      </c>
      <c r="M14" s="23">
        <v>872000</v>
      </c>
      <c r="N14" s="23">
        <v>820000</v>
      </c>
      <c r="O14" s="6" t="s">
        <v>22</v>
      </c>
      <c r="P14" s="20">
        <f t="shared" si="0"/>
        <v>11865000</v>
      </c>
      <c r="Q14" s="7">
        <f t="shared" si="2"/>
        <v>-0.11206452854948279</v>
      </c>
      <c r="R14" s="2"/>
      <c r="S14" s="6" t="s">
        <v>22</v>
      </c>
      <c r="T14" s="20">
        <f t="shared" ca="1" si="1"/>
        <v>11045000</v>
      </c>
      <c r="U14" s="7">
        <f t="shared" ca="1" si="3"/>
        <v>-0.10001725408297402</v>
      </c>
    </row>
    <row r="15" spans="1:35" x14ac:dyDescent="0.55000000000000004">
      <c r="A15" s="14">
        <v>9</v>
      </c>
      <c r="B15" s="6" t="s">
        <v>23</v>
      </c>
      <c r="C15" s="23">
        <v>944000</v>
      </c>
      <c r="D15" s="23">
        <v>854000</v>
      </c>
      <c r="E15" s="23">
        <v>1030000</v>
      </c>
      <c r="F15" s="23">
        <v>835000</v>
      </c>
      <c r="G15" s="23">
        <v>928000</v>
      </c>
      <c r="H15" s="23">
        <v>906000</v>
      </c>
      <c r="I15" s="23">
        <v>723000</v>
      </c>
      <c r="J15" s="23">
        <v>846000</v>
      </c>
      <c r="K15" s="23">
        <v>748000</v>
      </c>
      <c r="L15" s="23">
        <v>846000</v>
      </c>
      <c r="M15" s="23">
        <v>817000</v>
      </c>
      <c r="N15" s="23">
        <v>840000</v>
      </c>
      <c r="O15" s="6" t="s">
        <v>23</v>
      </c>
      <c r="P15" s="20">
        <f t="shared" si="0"/>
        <v>10317000</v>
      </c>
      <c r="Q15" s="7">
        <f t="shared" si="2"/>
        <v>-0.13046776232616941</v>
      </c>
      <c r="R15" s="2"/>
      <c r="S15" s="6" t="s">
        <v>23</v>
      </c>
      <c r="T15" s="20">
        <f t="shared" ca="1" si="1"/>
        <v>9477000</v>
      </c>
      <c r="U15" s="7">
        <f t="shared" ca="1" si="3"/>
        <v>-0.14196468990493438</v>
      </c>
    </row>
    <row r="16" spans="1:35" x14ac:dyDescent="0.55000000000000004">
      <c r="A16" s="14">
        <v>10</v>
      </c>
      <c r="B16" s="6" t="s">
        <v>24</v>
      </c>
      <c r="C16" s="23">
        <v>906000</v>
      </c>
      <c r="D16" s="23">
        <v>1100000</v>
      </c>
      <c r="E16" s="23">
        <v>1060000</v>
      </c>
      <c r="F16" s="23">
        <v>937000</v>
      </c>
      <c r="G16" s="23">
        <v>1046000</v>
      </c>
      <c r="H16" s="23">
        <v>1010000</v>
      </c>
      <c r="I16" s="23">
        <v>792000</v>
      </c>
      <c r="J16" s="23">
        <v>935000</v>
      </c>
      <c r="K16" s="23">
        <v>1026000</v>
      </c>
      <c r="L16" s="23">
        <v>1000000</v>
      </c>
      <c r="M16" s="23">
        <v>1021000</v>
      </c>
      <c r="N16" s="23">
        <v>987000</v>
      </c>
      <c r="O16" s="6" t="s">
        <v>24</v>
      </c>
      <c r="P16" s="20">
        <f t="shared" si="0"/>
        <v>11820000</v>
      </c>
      <c r="Q16" s="7">
        <f t="shared" si="2"/>
        <v>0.14568188426868267</v>
      </c>
      <c r="R16" s="2"/>
      <c r="S16" s="6" t="s">
        <v>24</v>
      </c>
      <c r="T16" s="20">
        <f t="shared" ca="1" si="1"/>
        <v>10833000</v>
      </c>
      <c r="U16" s="7">
        <f t="shared" ca="1" si="3"/>
        <v>0.14308325419436541</v>
      </c>
    </row>
    <row r="17" spans="1:26" x14ac:dyDescent="0.55000000000000004">
      <c r="A17" s="14">
        <v>11</v>
      </c>
      <c r="B17" s="6" t="s">
        <v>25</v>
      </c>
      <c r="C17" s="23">
        <v>1047000</v>
      </c>
      <c r="D17" s="23">
        <v>1189000</v>
      </c>
      <c r="E17" s="23">
        <v>1282000</v>
      </c>
      <c r="F17" s="23">
        <v>1151000</v>
      </c>
      <c r="G17" s="23">
        <v>1187000</v>
      </c>
      <c r="H17" s="23">
        <v>1268000</v>
      </c>
      <c r="I17" s="23">
        <v>796000</v>
      </c>
      <c r="J17" s="23">
        <v>910000</v>
      </c>
      <c r="K17" s="23">
        <v>1086000</v>
      </c>
      <c r="L17" s="23">
        <v>1170000</v>
      </c>
      <c r="M17" s="23">
        <f>M18/0.9</f>
        <v>1172838.8888888888</v>
      </c>
      <c r="N17" s="23">
        <v>1063000</v>
      </c>
      <c r="O17" s="6" t="s">
        <v>25</v>
      </c>
      <c r="P17" s="5">
        <f t="shared" si="0"/>
        <v>13321838.888888888</v>
      </c>
      <c r="Q17" s="7"/>
      <c r="R17" s="2"/>
      <c r="S17" s="6" t="s">
        <v>25</v>
      </c>
      <c r="T17" s="20">
        <f t="shared" ca="1" si="1"/>
        <v>12258838.888888888</v>
      </c>
      <c r="U17" s="7">
        <f t="shared" ca="1" si="3"/>
        <v>0.13161994728042914</v>
      </c>
    </row>
    <row r="18" spans="1:26" x14ac:dyDescent="0.55000000000000004">
      <c r="A18" s="14">
        <v>12</v>
      </c>
      <c r="B18" s="6" t="s">
        <v>26</v>
      </c>
      <c r="C18" s="23">
        <v>1042000</v>
      </c>
      <c r="D18" s="23">
        <f>1190000+78000</f>
        <v>1268000</v>
      </c>
      <c r="E18" s="23">
        <f>1000000+78000</f>
        <v>1078000</v>
      </c>
      <c r="F18" s="23">
        <v>910000</v>
      </c>
      <c r="G18" s="23">
        <v>807000</v>
      </c>
      <c r="H18" s="23">
        <v>843000</v>
      </c>
      <c r="I18" s="23">
        <v>682000</v>
      </c>
      <c r="J18" s="23">
        <v>894000</v>
      </c>
      <c r="K18" s="23">
        <v>1094000</v>
      </c>
      <c r="L18" s="23">
        <v>992000</v>
      </c>
      <c r="M18" s="23">
        <v>1055555</v>
      </c>
      <c r="N18" s="23" t="e">
        <f>NA()</f>
        <v>#N/A</v>
      </c>
      <c r="O18" s="6" t="s">
        <v>26</v>
      </c>
      <c r="P18" s="5" t="str">
        <f t="shared" si="0"/>
        <v/>
      </c>
      <c r="Q18" s="7"/>
      <c r="R18" s="2"/>
      <c r="S18" s="6" t="s">
        <v>26</v>
      </c>
      <c r="T18" s="20">
        <f t="shared" ca="1" si="1"/>
        <v>10665555</v>
      </c>
      <c r="U18" s="7">
        <f t="shared" ca="1" si="3"/>
        <v>-0.12997021196950398</v>
      </c>
    </row>
    <row r="19" spans="1:26" x14ac:dyDescent="0.55000000000000004">
      <c r="A19" s="14">
        <v>13</v>
      </c>
      <c r="B19" s="6" t="s">
        <v>27</v>
      </c>
      <c r="C19" s="23" t="e">
        <f>NA()</f>
        <v>#N/A</v>
      </c>
      <c r="D19" s="23" t="e">
        <f>NA()</f>
        <v>#N/A</v>
      </c>
      <c r="E19" s="23" t="e">
        <f>NA()</f>
        <v>#N/A</v>
      </c>
      <c r="F19" s="23" t="e">
        <f>NA()</f>
        <v>#N/A</v>
      </c>
      <c r="G19" s="23" t="e">
        <f>NA()</f>
        <v>#N/A</v>
      </c>
      <c r="H19" s="23" t="e">
        <f>NA()</f>
        <v>#N/A</v>
      </c>
      <c r="I19" s="23" t="e">
        <f>NA()</f>
        <v>#N/A</v>
      </c>
      <c r="J19" s="23" t="e">
        <f>NA()</f>
        <v>#N/A</v>
      </c>
      <c r="K19" s="23" t="e">
        <f>NA()</f>
        <v>#N/A</v>
      </c>
      <c r="L19" s="23" t="e">
        <f>NA()</f>
        <v>#N/A</v>
      </c>
      <c r="M19" s="23" t="e">
        <f>NA()</f>
        <v>#N/A</v>
      </c>
      <c r="N19" s="23" t="e">
        <f>NA()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t="shared" ca="1" si="1"/>
        <v/>
      </c>
      <c r="U19" s="7"/>
    </row>
    <row r="20" spans="1:26" x14ac:dyDescent="0.55000000000000004">
      <c r="B20" s="8" t="s">
        <v>28</v>
      </c>
      <c r="C20" s="22">
        <f>IFERROR(C18/C17-1,"")</f>
        <v>-4.7755491881565915E-3</v>
      </c>
      <c r="D20" s="22">
        <f t="shared" ref="D20:N20" si="4">IFERROR(D18/D17-1,"")</f>
        <v>6.6442388561816612E-2</v>
      </c>
      <c r="E20" s="22">
        <f t="shared" si="4"/>
        <v>-0.1591263650546022</v>
      </c>
      <c r="F20" s="22">
        <f t="shared" si="4"/>
        <v>-0.20938314509122502</v>
      </c>
      <c r="G20" s="22">
        <f t="shared" si="4"/>
        <v>-0.32013479359730412</v>
      </c>
      <c r="H20" s="22">
        <f t="shared" si="4"/>
        <v>-0.33517350157728709</v>
      </c>
      <c r="I20" s="22">
        <f t="shared" si="4"/>
        <v>-0.14321608040201006</v>
      </c>
      <c r="J20" s="22">
        <f t="shared" si="4"/>
        <v>-1.7582417582417631E-2</v>
      </c>
      <c r="K20" s="22">
        <f t="shared" si="4"/>
        <v>7.3664825046040328E-3</v>
      </c>
      <c r="L20" s="22">
        <f t="shared" si="4"/>
        <v>-0.15213675213675215</v>
      </c>
      <c r="M20" s="22">
        <f t="shared" si="4"/>
        <v>-9.9999999999999867E-2</v>
      </c>
      <c r="N20" s="22" t="str">
        <f t="shared" si="4"/>
        <v/>
      </c>
      <c r="O20" s="8"/>
      <c r="P20" s="2"/>
      <c r="Q20" s="2"/>
      <c r="R20" s="2"/>
      <c r="S20" s="8"/>
      <c r="T20" s="5"/>
      <c r="U20" s="2"/>
    </row>
    <row r="21" spans="1:26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6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4" spans="1:26" x14ac:dyDescent="0.55000000000000004">
      <c r="Z24" s="11">
        <f>SUM(F18:J18)/1000000</f>
        <v>4.1360000000000001</v>
      </c>
    </row>
    <row r="25" spans="1:26" x14ac:dyDescent="0.55000000000000004">
      <c r="Z25" s="11">
        <v>5.23</v>
      </c>
    </row>
    <row r="26" spans="1:26" x14ac:dyDescent="0.55000000000000004">
      <c r="Z26" s="11">
        <f>Z25-Z24</f>
        <v>1.0940000000000003</v>
      </c>
    </row>
    <row r="27" spans="1:26" x14ac:dyDescent="0.55000000000000004">
      <c r="K27" s="13" t="str">
        <f ca="1">_xlfn.CONCAT(A1," | ",S6)</f>
        <v>Colombia : Arabica Exports | YTD : Oct-Aug</v>
      </c>
      <c r="Q27" s="13" t="str">
        <f>_xlfn.CONCAT(A1," | ","Cumulative")</f>
        <v>Colombia : Arabica Exports | Cumulative</v>
      </c>
    </row>
    <row r="54" spans="2:16" x14ac:dyDescent="0.55000000000000004">
      <c r="P54" s="12">
        <v>13127000</v>
      </c>
    </row>
    <row r="55" spans="2:16" x14ac:dyDescent="0.55000000000000004">
      <c r="P55" s="12">
        <f>SUM(F17:N17,C18:D18)</f>
        <v>12113838.888888888</v>
      </c>
    </row>
    <row r="56" spans="2:16" x14ac:dyDescent="0.55000000000000004">
      <c r="B56" s="9" t="s">
        <v>29</v>
      </c>
      <c r="C56" s="9">
        <f>COUNT(C18:N18)</f>
        <v>11</v>
      </c>
      <c r="D56" s="25" t="str">
        <f ca="1">OFFSET(B6,0,$C$56,1,1)</f>
        <v>Aug</v>
      </c>
      <c r="E56" s="11" t="str">
        <f>B18</f>
        <v>25/26</v>
      </c>
      <c r="F56" s="11" t="str">
        <f ca="1">_xlfn.CONCAT(D56,"'",E56)</f>
        <v>Aug'25/26</v>
      </c>
    </row>
    <row r="57" spans="2:16" x14ac:dyDescent="0.55000000000000004">
      <c r="P57" s="12">
        <f>P54-P55</f>
        <v>1013161.1111111119</v>
      </c>
    </row>
    <row r="59" spans="2:16" x14ac:dyDescent="0.55000000000000004">
      <c r="P59" s="12">
        <v>1000000</v>
      </c>
    </row>
    <row r="60" spans="2:16" x14ac:dyDescent="0.55000000000000004">
      <c r="P60" s="12">
        <f>P57-P59</f>
        <v>13161.111111111939</v>
      </c>
    </row>
    <row r="62" spans="2:16" x14ac:dyDescent="0.55000000000000004">
      <c r="P62" s="11">
        <f>P60/2</f>
        <v>6580.5555555559695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1042000</v>
      </c>
      <c r="C66" s="12">
        <f t="shared" ref="C66:M66" si="5">D18</f>
        <v>1268000</v>
      </c>
      <c r="D66" s="12">
        <f t="shared" si="5"/>
        <v>1078000</v>
      </c>
      <c r="E66" s="12">
        <f t="shared" si="5"/>
        <v>910000</v>
      </c>
      <c r="F66" s="12">
        <f t="shared" si="5"/>
        <v>807000</v>
      </c>
      <c r="G66" s="12">
        <f t="shared" si="5"/>
        <v>843000</v>
      </c>
      <c r="H66" s="12">
        <f t="shared" si="5"/>
        <v>682000</v>
      </c>
      <c r="I66" s="12">
        <f t="shared" si="5"/>
        <v>894000</v>
      </c>
      <c r="J66" s="12">
        <f t="shared" si="5"/>
        <v>1094000</v>
      </c>
      <c r="K66" s="12">
        <f t="shared" si="5"/>
        <v>992000</v>
      </c>
      <c r="L66" s="12">
        <f t="shared" si="5"/>
        <v>1055555</v>
      </c>
      <c r="M66" s="12" t="e">
        <f t="shared" si="5"/>
        <v>#N/A</v>
      </c>
    </row>
    <row r="67" spans="1:25" x14ac:dyDescent="0.55000000000000004">
      <c r="A67" s="11" t="s">
        <v>30</v>
      </c>
      <c r="B67" s="12">
        <f>MIN(C7:C17)</f>
        <v>906000</v>
      </c>
      <c r="C67" s="12">
        <f t="shared" ref="C67:M67" si="6">MIN(D7:D17)</f>
        <v>854000</v>
      </c>
      <c r="D67" s="12">
        <f t="shared" si="6"/>
        <v>1030000</v>
      </c>
      <c r="E67" s="12">
        <f t="shared" si="6"/>
        <v>835000</v>
      </c>
      <c r="F67" s="12">
        <f t="shared" si="6"/>
        <v>928000</v>
      </c>
      <c r="G67" s="12">
        <f t="shared" si="6"/>
        <v>785648</v>
      </c>
      <c r="H67" s="12">
        <f t="shared" si="6"/>
        <v>642031</v>
      </c>
      <c r="I67" s="12">
        <f t="shared" si="6"/>
        <v>833873</v>
      </c>
      <c r="J67" s="12">
        <f t="shared" si="6"/>
        <v>748000</v>
      </c>
      <c r="K67" s="12">
        <f t="shared" si="6"/>
        <v>846000</v>
      </c>
      <c r="L67" s="12">
        <f t="shared" si="6"/>
        <v>817000</v>
      </c>
      <c r="M67" s="12">
        <f t="shared" si="6"/>
        <v>820000</v>
      </c>
      <c r="N67" s="12"/>
    </row>
    <row r="68" spans="1:25" x14ac:dyDescent="0.55000000000000004">
      <c r="A68" s="11" t="s">
        <v>31</v>
      </c>
      <c r="B68" s="12">
        <f>MAX(C7:C17)</f>
        <v>1230160</v>
      </c>
      <c r="C68" s="12">
        <f t="shared" ref="C68:M68" si="7">MAX(D7:D17)</f>
        <v>1329710</v>
      </c>
      <c r="D68" s="12">
        <f t="shared" si="7"/>
        <v>1449959</v>
      </c>
      <c r="E68" s="12">
        <f t="shared" si="7"/>
        <v>1166335</v>
      </c>
      <c r="F68" s="12">
        <f t="shared" si="7"/>
        <v>1273640</v>
      </c>
      <c r="G68" s="12">
        <f t="shared" si="7"/>
        <v>1268000</v>
      </c>
      <c r="H68" s="12">
        <f t="shared" si="7"/>
        <v>1035027</v>
      </c>
      <c r="I68" s="12">
        <f t="shared" si="7"/>
        <v>1028036</v>
      </c>
      <c r="J68" s="12">
        <f t="shared" si="7"/>
        <v>1111473</v>
      </c>
      <c r="K68" s="12">
        <f t="shared" si="7"/>
        <v>1200539</v>
      </c>
      <c r="L68" s="12">
        <f t="shared" si="7"/>
        <v>1273220</v>
      </c>
      <c r="M68" s="12">
        <f t="shared" si="7"/>
        <v>1112403</v>
      </c>
      <c r="N68" s="12"/>
    </row>
    <row r="69" spans="1:25" x14ac:dyDescent="0.55000000000000004">
      <c r="A69" s="11" t="s">
        <v>32</v>
      </c>
      <c r="B69" s="12">
        <f>AVERAGE(C12:C17)</f>
        <v>1024539.6666666666</v>
      </c>
      <c r="C69" s="12">
        <f t="shared" ref="C69:M69" si="8">AVERAGE(D12:D17)</f>
        <v>1119802</v>
      </c>
      <c r="D69" s="12">
        <f t="shared" si="8"/>
        <v>1205716.1666666667</v>
      </c>
      <c r="E69" s="12">
        <f t="shared" si="8"/>
        <v>1015313.1666666666</v>
      </c>
      <c r="F69" s="12">
        <f t="shared" si="8"/>
        <v>1082616.6666666667</v>
      </c>
      <c r="G69" s="12">
        <f t="shared" si="8"/>
        <v>1063475.1666666667</v>
      </c>
      <c r="H69" s="12">
        <f t="shared" si="8"/>
        <v>805509.66666666663</v>
      </c>
      <c r="I69" s="12">
        <f t="shared" si="8"/>
        <v>907893.75</v>
      </c>
      <c r="J69" s="12">
        <f t="shared" si="8"/>
        <v>966792.83333333337</v>
      </c>
      <c r="K69" s="12">
        <f t="shared" si="8"/>
        <v>1058577</v>
      </c>
      <c r="L69" s="12">
        <f t="shared" si="8"/>
        <v>1024139.8148148148</v>
      </c>
      <c r="M69" s="12">
        <f t="shared" si="8"/>
        <v>947915.66666666663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970136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9">INDEX($C$7:$N$19,MATCH(B75,$A$7:$A$19),MATCH(C75,$C$4:$N$4))</f>
        <v>1018769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9"/>
        <v>1055598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>
        <f>C7</f>
        <v>970136</v>
      </c>
      <c r="O76" s="5">
        <f t="shared" ref="O76:O88" si="13">N76+D7</f>
        <v>1988905</v>
      </c>
      <c r="P76" s="5">
        <f t="shared" ref="P76:P88" si="14">O76+E7</f>
        <v>3044503</v>
      </c>
      <c r="Q76" s="5">
        <f t="shared" ref="Q76:Q88" si="15">P76+F7</f>
        <v>4102074</v>
      </c>
      <c r="R76" s="5">
        <f t="shared" ref="R76:R88" si="16">Q76+G7</f>
        <v>5158856</v>
      </c>
      <c r="S76" s="5">
        <f t="shared" ref="S76:S88" si="17">R76+H7</f>
        <v>5944504</v>
      </c>
      <c r="T76" s="5">
        <f t="shared" ref="T76:T88" si="18">S76+I7</f>
        <v>6901793</v>
      </c>
      <c r="U76" s="5">
        <f t="shared" ref="U76:U88" si="19">T76+J7</f>
        <v>7907256</v>
      </c>
      <c r="V76" s="5">
        <f t="shared" ref="V76:V88" si="20">U76+K7</f>
        <v>8913630</v>
      </c>
      <c r="W76" s="5">
        <f t="shared" ref="W76:W88" si="21">V76+L7</f>
        <v>10114169</v>
      </c>
      <c r="X76" s="5">
        <f t="shared" ref="X76:X88" si="22">W76+M7</f>
        <v>11192508</v>
      </c>
      <c r="Y76" s="5">
        <f t="shared" ref="Y76:Y88" si="23">X76+N7</f>
        <v>12278027</v>
      </c>
    </row>
    <row r="77" spans="1:25" x14ac:dyDescent="0.55000000000000004">
      <c r="B77" s="11">
        <v>1</v>
      </c>
      <c r="C77" s="11">
        <v>4</v>
      </c>
      <c r="D77" s="12">
        <f t="shared" si="9"/>
        <v>1057571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24">C8</f>
        <v>1173424</v>
      </c>
      <c r="O77" s="5">
        <f t="shared" si="13"/>
        <v>2284398</v>
      </c>
      <c r="P77" s="5">
        <f t="shared" si="14"/>
        <v>3480119</v>
      </c>
      <c r="Q77" s="5">
        <f t="shared" si="15"/>
        <v>4578519</v>
      </c>
      <c r="R77" s="5">
        <f t="shared" si="16"/>
        <v>5691273</v>
      </c>
      <c r="S77" s="5">
        <f t="shared" si="17"/>
        <v>6783133</v>
      </c>
      <c r="T77" s="5">
        <f t="shared" si="18"/>
        <v>7714028</v>
      </c>
      <c r="U77" s="5">
        <f t="shared" si="19"/>
        <v>8605225</v>
      </c>
      <c r="V77" s="5">
        <f t="shared" si="20"/>
        <v>9540544</v>
      </c>
      <c r="W77" s="5">
        <f t="shared" si="21"/>
        <v>10644813.5</v>
      </c>
      <c r="X77" s="5">
        <f t="shared" si="22"/>
        <v>11918033.5</v>
      </c>
      <c r="Y77" s="5">
        <f t="shared" si="23"/>
        <v>12930155.5</v>
      </c>
    </row>
    <row r="78" spans="1:25" x14ac:dyDescent="0.55000000000000004">
      <c r="B78" s="11">
        <v>1</v>
      </c>
      <c r="C78" s="11">
        <v>5</v>
      </c>
      <c r="D78" s="12">
        <f t="shared" si="9"/>
        <v>1056782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24"/>
        <v>1230160</v>
      </c>
      <c r="O78" s="5">
        <f t="shared" si="13"/>
        <v>2559870</v>
      </c>
      <c r="P78" s="5">
        <f t="shared" si="14"/>
        <v>4009829</v>
      </c>
      <c r="Q78" s="5">
        <f t="shared" si="15"/>
        <v>5147569</v>
      </c>
      <c r="R78" s="5">
        <f t="shared" si="16"/>
        <v>6329825</v>
      </c>
      <c r="S78" s="5">
        <f t="shared" si="17"/>
        <v>7489825</v>
      </c>
      <c r="T78" s="5">
        <f t="shared" si="18"/>
        <v>8387825</v>
      </c>
      <c r="U78" s="5">
        <f t="shared" si="19"/>
        <v>9221698</v>
      </c>
      <c r="V78" s="5">
        <f t="shared" si="20"/>
        <v>10168336</v>
      </c>
      <c r="W78" s="5">
        <f t="shared" si="21"/>
        <v>11168920</v>
      </c>
      <c r="X78" s="5">
        <f t="shared" si="22"/>
        <v>12373007</v>
      </c>
      <c r="Y78" s="5">
        <f t="shared" si="23"/>
        <v>13485410</v>
      </c>
    </row>
    <row r="79" spans="1:25" x14ac:dyDescent="0.55000000000000004">
      <c r="B79" s="11">
        <v>1</v>
      </c>
      <c r="C79" s="11">
        <v>6</v>
      </c>
      <c r="D79" s="12">
        <f t="shared" si="9"/>
        <v>785648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24"/>
        <v>1123426</v>
      </c>
      <c r="O79" s="5">
        <f t="shared" si="13"/>
        <v>2284738</v>
      </c>
      <c r="P79" s="5">
        <f t="shared" si="14"/>
        <v>3506738</v>
      </c>
      <c r="Q79" s="5">
        <f t="shared" si="15"/>
        <v>4559738</v>
      </c>
      <c r="R79" s="5">
        <f t="shared" si="16"/>
        <v>5657738</v>
      </c>
      <c r="S79" s="5">
        <f t="shared" si="17"/>
        <v>6693575</v>
      </c>
      <c r="T79" s="5">
        <f t="shared" si="18"/>
        <v>7618501</v>
      </c>
      <c r="U79" s="5">
        <f t="shared" si="19"/>
        <v>8569266</v>
      </c>
      <c r="V79" s="5">
        <f t="shared" si="20"/>
        <v>9484367</v>
      </c>
      <c r="W79" s="5">
        <f t="shared" si="21"/>
        <v>10560276</v>
      </c>
      <c r="X79" s="5">
        <f t="shared" si="22"/>
        <v>11585135</v>
      </c>
      <c r="Y79" s="5">
        <f t="shared" si="23"/>
        <v>12683541</v>
      </c>
    </row>
    <row r="80" spans="1:25" x14ac:dyDescent="0.55000000000000004">
      <c r="B80" s="11">
        <v>1</v>
      </c>
      <c r="C80" s="11">
        <v>7</v>
      </c>
      <c r="D80" s="12">
        <f t="shared" si="9"/>
        <v>957289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24"/>
        <v>1057659</v>
      </c>
      <c r="O80" s="5">
        <f t="shared" si="13"/>
        <v>2291111</v>
      </c>
      <c r="P80" s="5">
        <f t="shared" si="14"/>
        <v>3574107</v>
      </c>
      <c r="Q80" s="5">
        <f t="shared" si="15"/>
        <v>4740442</v>
      </c>
      <c r="R80" s="5">
        <f t="shared" si="16"/>
        <v>5986030</v>
      </c>
      <c r="S80" s="5">
        <f t="shared" si="17"/>
        <v>7126615</v>
      </c>
      <c r="T80" s="5">
        <f t="shared" si="18"/>
        <v>7998957</v>
      </c>
      <c r="U80" s="5">
        <f t="shared" si="19"/>
        <v>9026993</v>
      </c>
      <c r="V80" s="5">
        <f t="shared" si="20"/>
        <v>10137188</v>
      </c>
      <c r="W80" s="5">
        <f t="shared" si="21"/>
        <v>11259125</v>
      </c>
      <c r="X80" s="5">
        <f t="shared" si="22"/>
        <v>12473156</v>
      </c>
      <c r="Y80" s="5">
        <f t="shared" si="23"/>
        <v>13481828</v>
      </c>
    </row>
    <row r="81" spans="2:25" x14ac:dyDescent="0.55000000000000004">
      <c r="B81" s="11">
        <v>1</v>
      </c>
      <c r="C81" s="11">
        <v>8</v>
      </c>
      <c r="D81" s="12">
        <f t="shared" si="9"/>
        <v>1005463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24"/>
        <v>1211405</v>
      </c>
      <c r="O81" s="5">
        <f t="shared" si="13"/>
        <v>2373614</v>
      </c>
      <c r="P81" s="5">
        <f t="shared" si="14"/>
        <v>3759911</v>
      </c>
      <c r="Q81" s="5">
        <f t="shared" si="15"/>
        <v>4824790</v>
      </c>
      <c r="R81" s="5">
        <f t="shared" si="16"/>
        <v>5902850</v>
      </c>
      <c r="S81" s="5">
        <f t="shared" si="17"/>
        <v>6850694</v>
      </c>
      <c r="T81" s="5">
        <f t="shared" si="18"/>
        <v>7492725</v>
      </c>
      <c r="U81" s="5">
        <f t="shared" si="19"/>
        <v>8386300</v>
      </c>
      <c r="V81" s="5">
        <f t="shared" si="20"/>
        <v>9497773</v>
      </c>
      <c r="W81" s="5">
        <f t="shared" si="21"/>
        <v>10628959</v>
      </c>
      <c r="X81" s="5">
        <f t="shared" si="22"/>
        <v>11759959</v>
      </c>
      <c r="Y81" s="5">
        <f t="shared" si="23"/>
        <v>12647453</v>
      </c>
    </row>
    <row r="82" spans="2:25" x14ac:dyDescent="0.55000000000000004">
      <c r="B82" s="11">
        <v>1</v>
      </c>
      <c r="C82" s="11">
        <v>9</v>
      </c>
      <c r="D82" s="12">
        <f t="shared" si="9"/>
        <v>1006374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24"/>
        <v>1051833</v>
      </c>
      <c r="O82" s="5">
        <f t="shared" si="13"/>
        <v>2330436</v>
      </c>
      <c r="P82" s="5">
        <f t="shared" si="14"/>
        <v>3639436</v>
      </c>
      <c r="Q82" s="5">
        <f t="shared" si="15"/>
        <v>4711436</v>
      </c>
      <c r="R82" s="5">
        <f t="shared" si="16"/>
        <v>5985076</v>
      </c>
      <c r="S82" s="5">
        <f t="shared" si="17"/>
        <v>7113083</v>
      </c>
      <c r="T82" s="5">
        <f t="shared" si="18"/>
        <v>8148110</v>
      </c>
      <c r="U82" s="5">
        <f t="shared" si="19"/>
        <v>9066897.5</v>
      </c>
      <c r="V82" s="5">
        <f t="shared" si="20"/>
        <v>9957181.5</v>
      </c>
      <c r="W82" s="5">
        <f t="shared" si="21"/>
        <v>11141457.5</v>
      </c>
      <c r="X82" s="5">
        <f t="shared" si="22"/>
        <v>12272457.5</v>
      </c>
      <c r="Y82" s="5">
        <f t="shared" si="23"/>
        <v>13362457.5</v>
      </c>
    </row>
    <row r="83" spans="2:25" x14ac:dyDescent="0.55000000000000004">
      <c r="B83" s="11">
        <v>1</v>
      </c>
      <c r="C83" s="11">
        <v>10</v>
      </c>
      <c r="D83" s="12">
        <f t="shared" si="9"/>
        <v>1200539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24"/>
        <v>987000</v>
      </c>
      <c r="O83" s="5">
        <f t="shared" si="13"/>
        <v>2122000</v>
      </c>
      <c r="P83" s="5">
        <f t="shared" si="14"/>
        <v>3289000</v>
      </c>
      <c r="Q83" s="5">
        <f t="shared" si="15"/>
        <v>4321000</v>
      </c>
      <c r="R83" s="5">
        <f t="shared" si="16"/>
        <v>5304000</v>
      </c>
      <c r="S83" s="5">
        <f t="shared" si="17"/>
        <v>6425000</v>
      </c>
      <c r="T83" s="5">
        <f t="shared" si="18"/>
        <v>7270000</v>
      </c>
      <c r="U83" s="5">
        <f t="shared" si="19"/>
        <v>8214000</v>
      </c>
      <c r="V83" s="5">
        <f t="shared" si="20"/>
        <v>9153000</v>
      </c>
      <c r="W83" s="5">
        <f t="shared" si="21"/>
        <v>10173000</v>
      </c>
      <c r="X83" s="5">
        <f t="shared" si="22"/>
        <v>11045000</v>
      </c>
      <c r="Y83" s="5">
        <f t="shared" si="23"/>
        <v>11865000</v>
      </c>
    </row>
    <row r="84" spans="2:25" x14ac:dyDescent="0.55000000000000004">
      <c r="B84" s="11">
        <v>1</v>
      </c>
      <c r="C84" s="11">
        <v>11</v>
      </c>
      <c r="D84" s="12">
        <f t="shared" si="9"/>
        <v>1078339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24"/>
        <v>944000</v>
      </c>
      <c r="O84" s="5">
        <f t="shared" si="13"/>
        <v>1798000</v>
      </c>
      <c r="P84" s="5">
        <f t="shared" si="14"/>
        <v>2828000</v>
      </c>
      <c r="Q84" s="5">
        <f t="shared" si="15"/>
        <v>3663000</v>
      </c>
      <c r="R84" s="5">
        <f t="shared" si="16"/>
        <v>4591000</v>
      </c>
      <c r="S84" s="5">
        <f t="shared" si="17"/>
        <v>5497000</v>
      </c>
      <c r="T84" s="5">
        <f t="shared" si="18"/>
        <v>6220000</v>
      </c>
      <c r="U84" s="5">
        <f t="shared" si="19"/>
        <v>7066000</v>
      </c>
      <c r="V84" s="5">
        <f t="shared" si="20"/>
        <v>7814000</v>
      </c>
      <c r="W84" s="5">
        <f t="shared" si="21"/>
        <v>8660000</v>
      </c>
      <c r="X84" s="5">
        <f t="shared" si="22"/>
        <v>9477000</v>
      </c>
      <c r="Y84" s="5">
        <f t="shared" si="23"/>
        <v>10317000</v>
      </c>
    </row>
    <row r="85" spans="2:25" x14ac:dyDescent="0.55000000000000004">
      <c r="B85" s="11">
        <v>1</v>
      </c>
      <c r="C85" s="11">
        <v>12</v>
      </c>
      <c r="D85" s="12">
        <f t="shared" si="9"/>
        <v>1085519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>
        <f>SUM(D74:D85)/1000000</f>
        <v>12.278027</v>
      </c>
      <c r="M85" s="6" t="s">
        <v>24</v>
      </c>
      <c r="N85" s="5">
        <f t="shared" si="24"/>
        <v>906000</v>
      </c>
      <c r="O85" s="5">
        <f t="shared" si="13"/>
        <v>2006000</v>
      </c>
      <c r="P85" s="5">
        <f t="shared" si="14"/>
        <v>3066000</v>
      </c>
      <c r="Q85" s="5">
        <f t="shared" si="15"/>
        <v>4003000</v>
      </c>
      <c r="R85" s="5">
        <f t="shared" si="16"/>
        <v>5049000</v>
      </c>
      <c r="S85" s="5">
        <f t="shared" si="17"/>
        <v>6059000</v>
      </c>
      <c r="T85" s="5">
        <f t="shared" si="18"/>
        <v>6851000</v>
      </c>
      <c r="U85" s="5">
        <f t="shared" si="19"/>
        <v>7786000</v>
      </c>
      <c r="V85" s="5">
        <f t="shared" si="20"/>
        <v>8812000</v>
      </c>
      <c r="W85" s="5">
        <f t="shared" si="21"/>
        <v>9812000</v>
      </c>
      <c r="X85" s="5">
        <f t="shared" si="22"/>
        <v>10833000</v>
      </c>
      <c r="Y85" s="5">
        <f t="shared" si="23"/>
        <v>11820000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1173424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25">G86</f>
        <v>Oct'15/16</v>
      </c>
      <c r="I86" s="11">
        <f t="shared" ref="I86:I149" si="26">SUM(D75:D86)/1000000</f>
        <v>12.481315</v>
      </c>
      <c r="M86" s="6" t="s">
        <v>25</v>
      </c>
      <c r="N86" s="5">
        <f t="shared" si="24"/>
        <v>1047000</v>
      </c>
      <c r="O86" s="5">
        <f t="shared" si="13"/>
        <v>2236000</v>
      </c>
      <c r="P86" s="5">
        <f t="shared" si="14"/>
        <v>3518000</v>
      </c>
      <c r="Q86" s="5">
        <f t="shared" si="15"/>
        <v>4669000</v>
      </c>
      <c r="R86" s="5">
        <f t="shared" si="16"/>
        <v>5856000</v>
      </c>
      <c r="S86" s="5">
        <f t="shared" si="17"/>
        <v>7124000</v>
      </c>
      <c r="T86" s="5">
        <f t="shared" si="18"/>
        <v>7920000</v>
      </c>
      <c r="U86" s="5">
        <f t="shared" si="19"/>
        <v>8830000</v>
      </c>
      <c r="V86" s="5">
        <f t="shared" si="20"/>
        <v>9916000</v>
      </c>
      <c r="W86" s="5">
        <f t="shared" si="21"/>
        <v>11086000</v>
      </c>
      <c r="X86" s="5">
        <f t="shared" si="22"/>
        <v>12258838.888888888</v>
      </c>
      <c r="Y86" s="5">
        <f t="shared" si="23"/>
        <v>13321838.888888888</v>
      </c>
    </row>
    <row r="87" spans="2:25" x14ac:dyDescent="0.55000000000000004">
      <c r="B87" s="11">
        <f t="shared" ref="B87:B150" si="27">B75+1</f>
        <v>2</v>
      </c>
      <c r="C87" s="11">
        <f t="shared" ref="C87:C150" si="28">C75</f>
        <v>2</v>
      </c>
      <c r="D87" s="12">
        <f t="shared" si="9"/>
        <v>1110974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25"/>
        <v>Nov'15/16</v>
      </c>
      <c r="I87" s="11">
        <f t="shared" si="26"/>
        <v>12.57352</v>
      </c>
      <c r="M87" s="6" t="s">
        <v>26</v>
      </c>
      <c r="N87" s="5">
        <f t="shared" si="24"/>
        <v>1042000</v>
      </c>
      <c r="O87" s="5">
        <f t="shared" si="13"/>
        <v>2310000</v>
      </c>
      <c r="P87" s="5">
        <f t="shared" si="14"/>
        <v>3388000</v>
      </c>
      <c r="Q87" s="5">
        <f t="shared" si="15"/>
        <v>4298000</v>
      </c>
      <c r="R87" s="5">
        <f t="shared" si="16"/>
        <v>5105000</v>
      </c>
      <c r="S87" s="5">
        <f t="shared" si="17"/>
        <v>5948000</v>
      </c>
      <c r="T87" s="5">
        <f t="shared" si="18"/>
        <v>6630000</v>
      </c>
      <c r="U87" s="5">
        <f t="shared" si="19"/>
        <v>7524000</v>
      </c>
      <c r="V87" s="5">
        <f t="shared" si="20"/>
        <v>8618000</v>
      </c>
      <c r="W87" s="5">
        <f t="shared" si="21"/>
        <v>9610000</v>
      </c>
      <c r="X87" s="5">
        <f t="shared" si="22"/>
        <v>10665555</v>
      </c>
      <c r="Y87" s="5" t="e">
        <f t="shared" si="23"/>
        <v>#N/A</v>
      </c>
    </row>
    <row r="88" spans="2:25" x14ac:dyDescent="0.55000000000000004">
      <c r="B88" s="11">
        <f t="shared" si="27"/>
        <v>2</v>
      </c>
      <c r="C88" s="11">
        <f t="shared" si="28"/>
        <v>3</v>
      </c>
      <c r="D88" s="12">
        <f t="shared" si="9"/>
        <v>1195721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25"/>
        <v>Dec'15/16</v>
      </c>
      <c r="I88" s="11">
        <f t="shared" si="26"/>
        <v>12.713642999999999</v>
      </c>
      <c r="M88" s="6" t="s">
        <v>27</v>
      </c>
      <c r="N88" s="5" t="e">
        <f t="shared" si="24"/>
        <v>#N/A</v>
      </c>
      <c r="O88" s="5" t="e">
        <f t="shared" si="13"/>
        <v>#N/A</v>
      </c>
      <c r="P88" s="5" t="e">
        <f t="shared" si="14"/>
        <v>#N/A</v>
      </c>
      <c r="Q88" s="5" t="e">
        <f t="shared" si="15"/>
        <v>#N/A</v>
      </c>
      <c r="R88" s="5" t="e">
        <f t="shared" si="16"/>
        <v>#N/A</v>
      </c>
      <c r="S88" s="5" t="e">
        <f t="shared" si="17"/>
        <v>#N/A</v>
      </c>
      <c r="T88" s="5" t="e">
        <f t="shared" si="18"/>
        <v>#N/A</v>
      </c>
      <c r="U88" s="5" t="e">
        <f t="shared" si="19"/>
        <v>#N/A</v>
      </c>
      <c r="V88" s="5" t="e">
        <f t="shared" si="20"/>
        <v>#N/A</v>
      </c>
      <c r="W88" s="5" t="e">
        <f t="shared" si="21"/>
        <v>#N/A</v>
      </c>
      <c r="X88" s="5" t="e">
        <f t="shared" si="22"/>
        <v>#N/A</v>
      </c>
      <c r="Y88" s="5" t="e">
        <f t="shared" si="23"/>
        <v>#N/A</v>
      </c>
    </row>
    <row r="89" spans="2:25" x14ac:dyDescent="0.55000000000000004">
      <c r="B89" s="11">
        <f t="shared" si="27"/>
        <v>2</v>
      </c>
      <c r="C89" s="11">
        <f t="shared" si="28"/>
        <v>4</v>
      </c>
      <c r="D89" s="12">
        <f t="shared" si="9"/>
        <v>1098400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25"/>
        <v>Jan'15/16</v>
      </c>
      <c r="I89" s="11">
        <f t="shared" si="26"/>
        <v>12.754472</v>
      </c>
    </row>
    <row r="90" spans="2:25" x14ac:dyDescent="0.55000000000000004">
      <c r="B90" s="11">
        <f t="shared" si="27"/>
        <v>2</v>
      </c>
      <c r="C90" s="11">
        <f t="shared" si="28"/>
        <v>5</v>
      </c>
      <c r="D90" s="12">
        <f t="shared" si="9"/>
        <v>1112754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25"/>
        <v>Feb'15/16</v>
      </c>
      <c r="I90" s="11">
        <f t="shared" si="26"/>
        <v>12.810444</v>
      </c>
    </row>
    <row r="91" spans="2:25" x14ac:dyDescent="0.55000000000000004">
      <c r="B91" s="11">
        <f t="shared" si="27"/>
        <v>2</v>
      </c>
      <c r="C91" s="11">
        <f t="shared" si="28"/>
        <v>6</v>
      </c>
      <c r="D91" s="12">
        <f t="shared" si="9"/>
        <v>1091860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25"/>
        <v>Mar'15/16</v>
      </c>
      <c r="I91" s="11">
        <f t="shared" si="26"/>
        <v>13.116656000000001</v>
      </c>
    </row>
    <row r="92" spans="2:25" x14ac:dyDescent="0.55000000000000004">
      <c r="B92" s="11">
        <f t="shared" si="27"/>
        <v>2</v>
      </c>
      <c r="C92" s="11">
        <f t="shared" si="28"/>
        <v>7</v>
      </c>
      <c r="D92" s="12">
        <f t="shared" si="9"/>
        <v>930895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25"/>
        <v>Apr'15/16</v>
      </c>
      <c r="I92" s="11">
        <f t="shared" si="26"/>
        <v>13.090261999999999</v>
      </c>
    </row>
    <row r="93" spans="2:25" x14ac:dyDescent="0.55000000000000004">
      <c r="B93" s="11">
        <f t="shared" si="27"/>
        <v>2</v>
      </c>
      <c r="C93" s="11">
        <f t="shared" si="28"/>
        <v>8</v>
      </c>
      <c r="D93" s="12">
        <f t="shared" si="9"/>
        <v>891197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25"/>
        <v>May'15/16</v>
      </c>
      <c r="I93" s="11">
        <f t="shared" si="26"/>
        <v>12.975996</v>
      </c>
    </row>
    <row r="94" spans="2:25" x14ac:dyDescent="0.55000000000000004">
      <c r="B94" s="11">
        <f t="shared" si="27"/>
        <v>2</v>
      </c>
      <c r="C94" s="11">
        <f t="shared" si="28"/>
        <v>9</v>
      </c>
      <c r="D94" s="12">
        <f t="shared" si="9"/>
        <v>935319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25"/>
        <v>Jun'15/16</v>
      </c>
      <c r="I94" s="11">
        <f t="shared" si="26"/>
        <v>12.904941000000001</v>
      </c>
    </row>
    <row r="95" spans="2:25" x14ac:dyDescent="0.55000000000000004">
      <c r="B95" s="11">
        <f t="shared" si="27"/>
        <v>2</v>
      </c>
      <c r="C95" s="11">
        <f t="shared" si="28"/>
        <v>10</v>
      </c>
      <c r="D95" s="12">
        <f t="shared" si="9"/>
        <v>1104269.5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25"/>
        <v>Jul'15/16</v>
      </c>
      <c r="I95" s="11">
        <f t="shared" si="26"/>
        <v>12.808671500000001</v>
      </c>
    </row>
    <row r="96" spans="2:25" x14ac:dyDescent="0.55000000000000004">
      <c r="B96" s="11">
        <f t="shared" si="27"/>
        <v>2</v>
      </c>
      <c r="C96" s="11">
        <f t="shared" si="28"/>
        <v>11</v>
      </c>
      <c r="D96" s="12">
        <f t="shared" si="9"/>
        <v>1273220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25"/>
        <v>Aug'15/16</v>
      </c>
      <c r="I96" s="11">
        <f t="shared" si="26"/>
        <v>13.0035525</v>
      </c>
    </row>
    <row r="97" spans="2:9" x14ac:dyDescent="0.55000000000000004">
      <c r="B97" s="11">
        <f t="shared" si="27"/>
        <v>2</v>
      </c>
      <c r="C97" s="11">
        <f t="shared" si="28"/>
        <v>12</v>
      </c>
      <c r="D97" s="12">
        <f t="shared" si="9"/>
        <v>1012122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25"/>
        <v>Sep'15/16</v>
      </c>
      <c r="I97" s="11">
        <f t="shared" si="26"/>
        <v>12.9301555</v>
      </c>
    </row>
    <row r="98" spans="2:9" x14ac:dyDescent="0.55000000000000004">
      <c r="B98" s="11">
        <f t="shared" si="27"/>
        <v>3</v>
      </c>
      <c r="C98" s="11">
        <f t="shared" si="28"/>
        <v>1</v>
      </c>
      <c r="D98" s="12">
        <f t="shared" si="9"/>
        <v>1230160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25"/>
        <v>Oct'16/17</v>
      </c>
      <c r="I98" s="11">
        <f t="shared" si="26"/>
        <v>12.9868915</v>
      </c>
    </row>
    <row r="99" spans="2:9" x14ac:dyDescent="0.55000000000000004">
      <c r="B99" s="11">
        <f t="shared" si="27"/>
        <v>3</v>
      </c>
      <c r="C99" s="11">
        <f t="shared" si="28"/>
        <v>2</v>
      </c>
      <c r="D99" s="12">
        <f t="shared" si="9"/>
        <v>1329710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25"/>
        <v>Nov'16/17</v>
      </c>
      <c r="I99" s="11">
        <f t="shared" si="26"/>
        <v>13.2056275</v>
      </c>
    </row>
    <row r="100" spans="2:9" x14ac:dyDescent="0.55000000000000004">
      <c r="B100" s="11">
        <f t="shared" si="27"/>
        <v>3</v>
      </c>
      <c r="C100" s="11">
        <f t="shared" si="28"/>
        <v>3</v>
      </c>
      <c r="D100" s="12">
        <f t="shared" si="9"/>
        <v>1449959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25"/>
        <v>Dec'16/17</v>
      </c>
      <c r="I100" s="11">
        <f t="shared" si="26"/>
        <v>13.459865499999999</v>
      </c>
    </row>
    <row r="101" spans="2:9" x14ac:dyDescent="0.55000000000000004">
      <c r="B101" s="11">
        <f t="shared" si="27"/>
        <v>3</v>
      </c>
      <c r="C101" s="11">
        <f t="shared" si="28"/>
        <v>4</v>
      </c>
      <c r="D101" s="12">
        <f t="shared" si="9"/>
        <v>1137740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25"/>
        <v>Jan'16/17</v>
      </c>
      <c r="I101" s="11">
        <f t="shared" si="26"/>
        <v>13.4992055</v>
      </c>
    </row>
    <row r="102" spans="2:9" x14ac:dyDescent="0.55000000000000004">
      <c r="B102" s="11">
        <f t="shared" si="27"/>
        <v>3</v>
      </c>
      <c r="C102" s="11">
        <f t="shared" si="28"/>
        <v>5</v>
      </c>
      <c r="D102" s="12">
        <f t="shared" si="9"/>
        <v>1182256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25"/>
        <v>Feb'16/17</v>
      </c>
      <c r="I102" s="11">
        <f t="shared" si="26"/>
        <v>13.5687075</v>
      </c>
    </row>
    <row r="103" spans="2:9" x14ac:dyDescent="0.55000000000000004">
      <c r="B103" s="11">
        <f t="shared" si="27"/>
        <v>3</v>
      </c>
      <c r="C103" s="11">
        <f t="shared" si="28"/>
        <v>6</v>
      </c>
      <c r="D103" s="12">
        <f t="shared" si="9"/>
        <v>1160000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25"/>
        <v>Mar'16/17</v>
      </c>
      <c r="I103" s="11">
        <f t="shared" si="26"/>
        <v>13.6368475</v>
      </c>
    </row>
    <row r="104" spans="2:9" x14ac:dyDescent="0.55000000000000004">
      <c r="B104" s="11">
        <f t="shared" si="27"/>
        <v>3</v>
      </c>
      <c r="C104" s="11">
        <f t="shared" si="28"/>
        <v>7</v>
      </c>
      <c r="D104" s="12">
        <f t="shared" si="9"/>
        <v>898000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25"/>
        <v>Apr'16/17</v>
      </c>
      <c r="I104" s="11">
        <f t="shared" si="26"/>
        <v>13.6039525</v>
      </c>
    </row>
    <row r="105" spans="2:9" x14ac:dyDescent="0.55000000000000004">
      <c r="B105" s="11">
        <f t="shared" si="27"/>
        <v>3</v>
      </c>
      <c r="C105" s="11">
        <f t="shared" si="28"/>
        <v>8</v>
      </c>
      <c r="D105" s="12">
        <f t="shared" si="9"/>
        <v>833873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25"/>
        <v>May'16/17</v>
      </c>
      <c r="I105" s="11">
        <f t="shared" si="26"/>
        <v>13.546628500000001</v>
      </c>
    </row>
    <row r="106" spans="2:9" x14ac:dyDescent="0.55000000000000004">
      <c r="B106" s="11">
        <f t="shared" si="27"/>
        <v>3</v>
      </c>
      <c r="C106" s="11">
        <f t="shared" si="28"/>
        <v>9</v>
      </c>
      <c r="D106" s="12">
        <f t="shared" si="9"/>
        <v>946638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25"/>
        <v>Jun'16/17</v>
      </c>
      <c r="I106" s="11">
        <f t="shared" si="26"/>
        <v>13.557947499999999</v>
      </c>
    </row>
    <row r="107" spans="2:9" x14ac:dyDescent="0.55000000000000004">
      <c r="B107" s="11">
        <f t="shared" si="27"/>
        <v>3</v>
      </c>
      <c r="C107" s="11">
        <f t="shared" si="28"/>
        <v>10</v>
      </c>
      <c r="D107" s="12">
        <f t="shared" si="9"/>
        <v>1000584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25"/>
        <v>Jul'16/17</v>
      </c>
      <c r="I107" s="11">
        <f t="shared" si="26"/>
        <v>13.454262</v>
      </c>
    </row>
    <row r="108" spans="2:9" x14ac:dyDescent="0.55000000000000004">
      <c r="B108" s="11">
        <f t="shared" si="27"/>
        <v>3</v>
      </c>
      <c r="C108" s="11">
        <f t="shared" si="28"/>
        <v>11</v>
      </c>
      <c r="D108" s="12">
        <f t="shared" si="9"/>
        <v>1204087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25"/>
        <v>Aug'16/17</v>
      </c>
      <c r="I108" s="11">
        <f t="shared" si="26"/>
        <v>13.385128999999999</v>
      </c>
    </row>
    <row r="109" spans="2:9" x14ac:dyDescent="0.55000000000000004">
      <c r="B109" s="11">
        <f t="shared" si="27"/>
        <v>3</v>
      </c>
      <c r="C109" s="11">
        <f t="shared" si="28"/>
        <v>12</v>
      </c>
      <c r="D109" s="12">
        <f t="shared" si="9"/>
        <v>1112403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25"/>
        <v>Sep'16/17</v>
      </c>
      <c r="I109" s="11">
        <f t="shared" si="26"/>
        <v>13.48541</v>
      </c>
    </row>
    <row r="110" spans="2:9" x14ac:dyDescent="0.55000000000000004">
      <c r="B110" s="11">
        <f t="shared" si="27"/>
        <v>4</v>
      </c>
      <c r="C110" s="11">
        <f t="shared" si="28"/>
        <v>1</v>
      </c>
      <c r="D110" s="12">
        <f t="shared" si="9"/>
        <v>1123426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25"/>
        <v>Oct'17/18</v>
      </c>
      <c r="I110" s="11">
        <f t="shared" si="26"/>
        <v>13.378676</v>
      </c>
    </row>
    <row r="111" spans="2:9" x14ac:dyDescent="0.55000000000000004">
      <c r="B111" s="11">
        <f t="shared" si="27"/>
        <v>4</v>
      </c>
      <c r="C111" s="11">
        <f t="shared" si="28"/>
        <v>2</v>
      </c>
      <c r="D111" s="12">
        <f t="shared" si="9"/>
        <v>1161312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25"/>
        <v>Nov'17/18</v>
      </c>
      <c r="I111" s="11">
        <f t="shared" si="26"/>
        <v>13.210278000000001</v>
      </c>
    </row>
    <row r="112" spans="2:9" x14ac:dyDescent="0.55000000000000004">
      <c r="B112" s="11">
        <f t="shared" si="27"/>
        <v>4</v>
      </c>
      <c r="C112" s="11">
        <f t="shared" si="28"/>
        <v>3</v>
      </c>
      <c r="D112" s="12">
        <f t="shared" si="9"/>
        <v>1222000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25"/>
        <v>Dec'17/18</v>
      </c>
      <c r="I112" s="11">
        <f t="shared" si="26"/>
        <v>12.982319</v>
      </c>
    </row>
    <row r="113" spans="2:9" x14ac:dyDescent="0.55000000000000004">
      <c r="B113" s="11">
        <f t="shared" si="27"/>
        <v>4</v>
      </c>
      <c r="C113" s="11">
        <f t="shared" si="28"/>
        <v>4</v>
      </c>
      <c r="D113" s="12">
        <f t="shared" si="9"/>
        <v>1053000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25"/>
        <v>Jan'17/18</v>
      </c>
      <c r="I113" s="11">
        <f t="shared" si="26"/>
        <v>12.897579</v>
      </c>
    </row>
    <row r="114" spans="2:9" x14ac:dyDescent="0.55000000000000004">
      <c r="B114" s="11">
        <f t="shared" si="27"/>
        <v>4</v>
      </c>
      <c r="C114" s="11">
        <f t="shared" si="28"/>
        <v>5</v>
      </c>
      <c r="D114" s="12">
        <f t="shared" si="9"/>
        <v>1098000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25"/>
        <v>Feb'17/18</v>
      </c>
      <c r="I114" s="11">
        <f t="shared" si="26"/>
        <v>12.813323</v>
      </c>
    </row>
    <row r="115" spans="2:9" x14ac:dyDescent="0.55000000000000004">
      <c r="B115" s="11">
        <f t="shared" si="27"/>
        <v>4</v>
      </c>
      <c r="C115" s="11">
        <f t="shared" si="28"/>
        <v>6</v>
      </c>
      <c r="D115" s="12">
        <f t="shared" si="9"/>
        <v>1035837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25"/>
        <v>Mar'17/18</v>
      </c>
      <c r="I115" s="11">
        <f t="shared" si="26"/>
        <v>12.689159999999999</v>
      </c>
    </row>
    <row r="116" spans="2:9" x14ac:dyDescent="0.55000000000000004">
      <c r="B116" s="11">
        <f t="shared" si="27"/>
        <v>4</v>
      </c>
      <c r="C116" s="11">
        <f t="shared" si="28"/>
        <v>7</v>
      </c>
      <c r="D116" s="12">
        <f t="shared" si="9"/>
        <v>924926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25"/>
        <v>Apr'17/18</v>
      </c>
      <c r="I116" s="11">
        <f t="shared" si="26"/>
        <v>12.716086000000001</v>
      </c>
    </row>
    <row r="117" spans="2:9" x14ac:dyDescent="0.55000000000000004">
      <c r="B117" s="11">
        <f t="shared" si="27"/>
        <v>4</v>
      </c>
      <c r="C117" s="11">
        <f t="shared" si="28"/>
        <v>8</v>
      </c>
      <c r="D117" s="12">
        <f t="shared" si="9"/>
        <v>950765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25"/>
        <v>May'17/18</v>
      </c>
      <c r="I117" s="11">
        <f t="shared" si="26"/>
        <v>12.832978000000001</v>
      </c>
    </row>
    <row r="118" spans="2:9" x14ac:dyDescent="0.55000000000000004">
      <c r="B118" s="11">
        <f t="shared" si="27"/>
        <v>4</v>
      </c>
      <c r="C118" s="11">
        <f t="shared" si="28"/>
        <v>9</v>
      </c>
      <c r="D118" s="12">
        <f t="shared" si="9"/>
        <v>915101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25"/>
        <v>Jun'17/18</v>
      </c>
      <c r="I118" s="11">
        <f t="shared" si="26"/>
        <v>12.801441000000001</v>
      </c>
    </row>
    <row r="119" spans="2:9" x14ac:dyDescent="0.55000000000000004">
      <c r="B119" s="11">
        <f t="shared" si="27"/>
        <v>4</v>
      </c>
      <c r="C119" s="11">
        <f t="shared" si="28"/>
        <v>10</v>
      </c>
      <c r="D119" s="12">
        <f t="shared" si="9"/>
        <v>1075909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25"/>
        <v>Jul'17/18</v>
      </c>
      <c r="I119" s="11">
        <f t="shared" si="26"/>
        <v>12.876766</v>
      </c>
    </row>
    <row r="120" spans="2:9" x14ac:dyDescent="0.55000000000000004">
      <c r="B120" s="11">
        <f t="shared" si="27"/>
        <v>4</v>
      </c>
      <c r="C120" s="11">
        <f t="shared" si="28"/>
        <v>11</v>
      </c>
      <c r="D120" s="12">
        <f t="shared" si="9"/>
        <v>1024858.9999999999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25"/>
        <v>Aug'17/18</v>
      </c>
      <c r="I120" s="11">
        <f t="shared" si="26"/>
        <v>12.697538</v>
      </c>
    </row>
    <row r="121" spans="2:9" x14ac:dyDescent="0.55000000000000004">
      <c r="B121" s="11">
        <f t="shared" si="27"/>
        <v>4</v>
      </c>
      <c r="C121" s="11">
        <f t="shared" si="28"/>
        <v>12</v>
      </c>
      <c r="D121" s="12">
        <f t="shared" si="9"/>
        <v>1098406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25"/>
        <v>Sep'17/18</v>
      </c>
      <c r="I121" s="11">
        <f t="shared" si="26"/>
        <v>12.683541</v>
      </c>
    </row>
    <row r="122" spans="2:9" x14ac:dyDescent="0.55000000000000004">
      <c r="B122" s="11">
        <f t="shared" si="27"/>
        <v>5</v>
      </c>
      <c r="C122" s="11">
        <f t="shared" si="28"/>
        <v>1</v>
      </c>
      <c r="D122" s="12">
        <f t="shared" si="9"/>
        <v>1057659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25"/>
        <v>Oct'18/19</v>
      </c>
      <c r="I122" s="11">
        <f t="shared" si="26"/>
        <v>12.617774000000001</v>
      </c>
    </row>
    <row r="123" spans="2:9" x14ac:dyDescent="0.55000000000000004">
      <c r="B123" s="11">
        <f t="shared" si="27"/>
        <v>5</v>
      </c>
      <c r="C123" s="11">
        <f t="shared" si="28"/>
        <v>2</v>
      </c>
      <c r="D123" s="12">
        <f t="shared" si="9"/>
        <v>1233452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25"/>
        <v>Nov'18/19</v>
      </c>
      <c r="I123" s="11">
        <f t="shared" si="26"/>
        <v>12.689914</v>
      </c>
    </row>
    <row r="124" spans="2:9" x14ac:dyDescent="0.55000000000000004">
      <c r="B124" s="11">
        <f t="shared" si="27"/>
        <v>5</v>
      </c>
      <c r="C124" s="11">
        <f t="shared" si="28"/>
        <v>3</v>
      </c>
      <c r="D124" s="12">
        <f t="shared" si="9"/>
        <v>1282996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25"/>
        <v>Dec'18/19</v>
      </c>
      <c r="I124" s="11">
        <f t="shared" si="26"/>
        <v>12.750909999999999</v>
      </c>
    </row>
    <row r="125" spans="2:9" x14ac:dyDescent="0.55000000000000004">
      <c r="B125" s="11">
        <f t="shared" si="27"/>
        <v>5</v>
      </c>
      <c r="C125" s="11">
        <f t="shared" si="28"/>
        <v>4</v>
      </c>
      <c r="D125" s="12">
        <f t="shared" si="9"/>
        <v>1166335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25"/>
        <v>Jan'18/19</v>
      </c>
      <c r="I125" s="11">
        <f t="shared" si="26"/>
        <v>12.864245</v>
      </c>
    </row>
    <row r="126" spans="2:9" x14ac:dyDescent="0.55000000000000004">
      <c r="B126" s="11">
        <f t="shared" si="27"/>
        <v>5</v>
      </c>
      <c r="C126" s="11">
        <f t="shared" si="28"/>
        <v>5</v>
      </c>
      <c r="D126" s="12">
        <f t="shared" si="9"/>
        <v>1245588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25"/>
        <v>Feb'18/19</v>
      </c>
      <c r="I126" s="11">
        <f t="shared" si="26"/>
        <v>13.011832999999999</v>
      </c>
    </row>
    <row r="127" spans="2:9" x14ac:dyDescent="0.55000000000000004">
      <c r="B127" s="11">
        <f t="shared" si="27"/>
        <v>5</v>
      </c>
      <c r="C127" s="11">
        <f t="shared" si="28"/>
        <v>6</v>
      </c>
      <c r="D127" s="12">
        <f t="shared" si="9"/>
        <v>1140585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25"/>
        <v>Mar'18/19</v>
      </c>
      <c r="I127" s="11">
        <f t="shared" si="26"/>
        <v>13.116581</v>
      </c>
    </row>
    <row r="128" spans="2:9" x14ac:dyDescent="0.55000000000000004">
      <c r="B128" s="11">
        <f t="shared" si="27"/>
        <v>5</v>
      </c>
      <c r="C128" s="11">
        <f t="shared" si="28"/>
        <v>7</v>
      </c>
      <c r="D128" s="12">
        <f t="shared" si="9"/>
        <v>872342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25"/>
        <v>Apr'18/19</v>
      </c>
      <c r="I128" s="11">
        <f t="shared" si="26"/>
        <v>13.063997000000001</v>
      </c>
    </row>
    <row r="129" spans="2:9" x14ac:dyDescent="0.55000000000000004">
      <c r="B129" s="11">
        <f t="shared" si="27"/>
        <v>5</v>
      </c>
      <c r="C129" s="11">
        <f t="shared" si="28"/>
        <v>8</v>
      </c>
      <c r="D129" s="12">
        <f t="shared" si="9"/>
        <v>1028036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25"/>
        <v>May'18/19</v>
      </c>
      <c r="I129" s="11">
        <f t="shared" si="26"/>
        <v>13.141268</v>
      </c>
    </row>
    <row r="130" spans="2:9" x14ac:dyDescent="0.55000000000000004">
      <c r="B130" s="11">
        <f t="shared" si="27"/>
        <v>5</v>
      </c>
      <c r="C130" s="11">
        <f t="shared" si="28"/>
        <v>9</v>
      </c>
      <c r="D130" s="12">
        <f t="shared" si="9"/>
        <v>1110195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25"/>
        <v>Jun'18/19</v>
      </c>
      <c r="I130" s="11">
        <f t="shared" si="26"/>
        <v>13.336361999999999</v>
      </c>
    </row>
    <row r="131" spans="2:9" x14ac:dyDescent="0.55000000000000004">
      <c r="B131" s="11">
        <f t="shared" si="27"/>
        <v>5</v>
      </c>
      <c r="C131" s="11">
        <f t="shared" si="28"/>
        <v>10</v>
      </c>
      <c r="D131" s="12">
        <f t="shared" si="9"/>
        <v>1121937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25"/>
        <v>Jul'18/19</v>
      </c>
      <c r="I131" s="11">
        <f t="shared" si="26"/>
        <v>13.382389999999999</v>
      </c>
    </row>
    <row r="132" spans="2:9" x14ac:dyDescent="0.55000000000000004">
      <c r="B132" s="11">
        <f t="shared" si="27"/>
        <v>5</v>
      </c>
      <c r="C132" s="11">
        <f t="shared" si="28"/>
        <v>11</v>
      </c>
      <c r="D132" s="12">
        <f t="shared" si="9"/>
        <v>1214031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25"/>
        <v>Aug'18/19</v>
      </c>
      <c r="I132" s="11">
        <f t="shared" si="26"/>
        <v>13.571562</v>
      </c>
    </row>
    <row r="133" spans="2:9" x14ac:dyDescent="0.55000000000000004">
      <c r="B133" s="11">
        <f t="shared" si="27"/>
        <v>5</v>
      </c>
      <c r="C133" s="11">
        <f t="shared" si="28"/>
        <v>12</v>
      </c>
      <c r="D133" s="12">
        <f t="shared" si="9"/>
        <v>1008672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25"/>
        <v>Sep'18/19</v>
      </c>
      <c r="I133" s="11">
        <f t="shared" si="26"/>
        <v>13.481828</v>
      </c>
    </row>
    <row r="134" spans="2:9" x14ac:dyDescent="0.55000000000000004">
      <c r="B134" s="11">
        <f t="shared" si="27"/>
        <v>6</v>
      </c>
      <c r="C134" s="11">
        <f t="shared" si="28"/>
        <v>1</v>
      </c>
      <c r="D134" s="12">
        <f t="shared" si="9"/>
        <v>1211405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25"/>
        <v>Oct'19/20</v>
      </c>
      <c r="I134" s="11">
        <f t="shared" si="26"/>
        <v>13.635574</v>
      </c>
    </row>
    <row r="135" spans="2:9" x14ac:dyDescent="0.55000000000000004">
      <c r="B135" s="11">
        <f t="shared" si="27"/>
        <v>6</v>
      </c>
      <c r="C135" s="11">
        <f t="shared" si="28"/>
        <v>2</v>
      </c>
      <c r="D135" s="12">
        <f t="shared" si="9"/>
        <v>1162209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25"/>
        <v>Nov'19/20</v>
      </c>
      <c r="I135" s="11">
        <f t="shared" si="26"/>
        <v>13.564330999999999</v>
      </c>
    </row>
    <row r="136" spans="2:9" x14ac:dyDescent="0.55000000000000004">
      <c r="B136" s="11">
        <f t="shared" si="27"/>
        <v>6</v>
      </c>
      <c r="C136" s="11">
        <f t="shared" si="28"/>
        <v>3</v>
      </c>
      <c r="D136" s="12">
        <f t="shared" si="9"/>
        <v>1386297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25"/>
        <v>Dec'19/20</v>
      </c>
      <c r="I136" s="11">
        <f t="shared" si="26"/>
        <v>13.667631999999999</v>
      </c>
    </row>
    <row r="137" spans="2:9" x14ac:dyDescent="0.55000000000000004">
      <c r="B137" s="11">
        <f t="shared" si="27"/>
        <v>6</v>
      </c>
      <c r="C137" s="11">
        <f t="shared" si="28"/>
        <v>4</v>
      </c>
      <c r="D137" s="12">
        <f t="shared" si="9"/>
        <v>1064879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25"/>
        <v>Jan'19/20</v>
      </c>
      <c r="I137" s="11">
        <f t="shared" si="26"/>
        <v>13.566176</v>
      </c>
    </row>
    <row r="138" spans="2:9" x14ac:dyDescent="0.55000000000000004">
      <c r="B138" s="11">
        <f t="shared" si="27"/>
        <v>6</v>
      </c>
      <c r="C138" s="11">
        <f t="shared" si="28"/>
        <v>5</v>
      </c>
      <c r="D138" s="12">
        <f t="shared" si="9"/>
        <v>1078060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25"/>
        <v>Feb'19/20</v>
      </c>
      <c r="I138" s="11">
        <f t="shared" si="26"/>
        <v>13.398648</v>
      </c>
    </row>
    <row r="139" spans="2:9" x14ac:dyDescent="0.55000000000000004">
      <c r="B139" s="11">
        <f t="shared" si="27"/>
        <v>6</v>
      </c>
      <c r="C139" s="11">
        <f t="shared" si="28"/>
        <v>6</v>
      </c>
      <c r="D139" s="12">
        <f t="shared" ref="D139:D202" si="29">INDEX($C$7:$N$19,MATCH(B139,$A$7:$A$19),MATCH(C139,$C$4:$N$4))</f>
        <v>947844</v>
      </c>
      <c r="E139" s="11" t="str">
        <f t="shared" ref="E139:E202" si="30">_xlfn.XLOOKUP(B139,$A$7:$A$19,$B$7:$B$19)</f>
        <v>19/20</v>
      </c>
      <c r="F139" s="11" t="str">
        <f t="shared" ref="F139:F202" si="31">_xlfn.XLOOKUP(C139,$C$4:$N$4,$C$6:$N$6)</f>
        <v>Mar</v>
      </c>
      <c r="G139" s="11" t="str">
        <f t="shared" ref="G139:G202" si="32">_xlfn.CONCAT(F139,"'",E139)</f>
        <v>Mar'19/20</v>
      </c>
      <c r="H139" s="11" t="str">
        <f t="shared" si="25"/>
        <v>Mar'19/20</v>
      </c>
      <c r="I139" s="11">
        <f t="shared" si="26"/>
        <v>13.205907</v>
      </c>
    </row>
    <row r="140" spans="2:9" x14ac:dyDescent="0.55000000000000004">
      <c r="B140" s="11">
        <f t="shared" si="27"/>
        <v>6</v>
      </c>
      <c r="C140" s="11">
        <f t="shared" si="28"/>
        <v>7</v>
      </c>
      <c r="D140" s="12">
        <f t="shared" si="29"/>
        <v>642031</v>
      </c>
      <c r="E140" s="11" t="str">
        <f t="shared" si="30"/>
        <v>19/20</v>
      </c>
      <c r="F140" s="11" t="str">
        <f t="shared" si="31"/>
        <v>Apr</v>
      </c>
      <c r="G140" s="11" t="str">
        <f t="shared" si="32"/>
        <v>Apr'19/20</v>
      </c>
      <c r="H140" s="11" t="str">
        <f t="shared" si="25"/>
        <v>Apr'19/20</v>
      </c>
      <c r="I140" s="11">
        <f t="shared" si="26"/>
        <v>12.975595999999999</v>
      </c>
    </row>
    <row r="141" spans="2:9" x14ac:dyDescent="0.55000000000000004">
      <c r="B141" s="11">
        <f t="shared" si="27"/>
        <v>6</v>
      </c>
      <c r="C141" s="11">
        <f t="shared" si="28"/>
        <v>8</v>
      </c>
      <c r="D141" s="12">
        <f t="shared" si="29"/>
        <v>893575</v>
      </c>
      <c r="E141" s="11" t="str">
        <f t="shared" si="30"/>
        <v>19/20</v>
      </c>
      <c r="F141" s="11" t="str">
        <f t="shared" si="31"/>
        <v>May</v>
      </c>
      <c r="G141" s="11" t="str">
        <f t="shared" si="32"/>
        <v>May'19/20</v>
      </c>
      <c r="H141" s="11" t="str">
        <f t="shared" si="25"/>
        <v>May'19/20</v>
      </c>
      <c r="I141" s="11">
        <f t="shared" si="26"/>
        <v>12.841135</v>
      </c>
    </row>
    <row r="142" spans="2:9" x14ac:dyDescent="0.55000000000000004">
      <c r="B142" s="11">
        <f t="shared" si="27"/>
        <v>6</v>
      </c>
      <c r="C142" s="11">
        <f t="shared" si="28"/>
        <v>9</v>
      </c>
      <c r="D142" s="12">
        <f t="shared" si="29"/>
        <v>1111473</v>
      </c>
      <c r="E142" s="11" t="str">
        <f t="shared" si="30"/>
        <v>19/20</v>
      </c>
      <c r="F142" s="11" t="str">
        <f t="shared" si="31"/>
        <v>Jun</v>
      </c>
      <c r="G142" s="11" t="str">
        <f t="shared" si="32"/>
        <v>Jun'19/20</v>
      </c>
      <c r="H142" s="11" t="str">
        <f t="shared" si="25"/>
        <v>Jun'19/20</v>
      </c>
      <c r="I142" s="11">
        <f t="shared" si="26"/>
        <v>12.842413000000001</v>
      </c>
    </row>
    <row r="143" spans="2:9" x14ac:dyDescent="0.55000000000000004">
      <c r="B143" s="11">
        <f t="shared" si="27"/>
        <v>6</v>
      </c>
      <c r="C143" s="11">
        <f t="shared" si="28"/>
        <v>10</v>
      </c>
      <c r="D143" s="12">
        <f t="shared" si="29"/>
        <v>1131186</v>
      </c>
      <c r="E143" s="11" t="str">
        <f t="shared" si="30"/>
        <v>19/20</v>
      </c>
      <c r="F143" s="11" t="str">
        <f t="shared" si="31"/>
        <v>Jul</v>
      </c>
      <c r="G143" s="11" t="str">
        <f t="shared" si="32"/>
        <v>Jul'19/20</v>
      </c>
      <c r="H143" s="11" t="str">
        <f t="shared" si="25"/>
        <v>Jul'19/20</v>
      </c>
      <c r="I143" s="11">
        <f t="shared" si="26"/>
        <v>12.851661999999999</v>
      </c>
    </row>
    <row r="144" spans="2:9" x14ac:dyDescent="0.55000000000000004">
      <c r="B144" s="11">
        <f t="shared" si="27"/>
        <v>6</v>
      </c>
      <c r="C144" s="11">
        <f t="shared" si="28"/>
        <v>11</v>
      </c>
      <c r="D144" s="12">
        <f t="shared" si="29"/>
        <v>1131000</v>
      </c>
      <c r="E144" s="11" t="str">
        <f t="shared" si="30"/>
        <v>19/20</v>
      </c>
      <c r="F144" s="11" t="str">
        <f t="shared" si="31"/>
        <v>Aug</v>
      </c>
      <c r="G144" s="11" t="str">
        <f t="shared" si="32"/>
        <v>Aug'19/20</v>
      </c>
      <c r="H144" s="11" t="str">
        <f t="shared" si="25"/>
        <v>Aug'19/20</v>
      </c>
      <c r="I144" s="11">
        <f t="shared" si="26"/>
        <v>12.768630999999999</v>
      </c>
    </row>
    <row r="145" spans="2:9" x14ac:dyDescent="0.55000000000000004">
      <c r="B145" s="11">
        <f t="shared" si="27"/>
        <v>6</v>
      </c>
      <c r="C145" s="11">
        <f t="shared" si="28"/>
        <v>12</v>
      </c>
      <c r="D145" s="12">
        <f t="shared" si="29"/>
        <v>887494</v>
      </c>
      <c r="E145" s="11" t="str">
        <f t="shared" si="30"/>
        <v>19/20</v>
      </c>
      <c r="F145" s="11" t="str">
        <f t="shared" si="31"/>
        <v>Sep</v>
      </c>
      <c r="G145" s="11" t="str">
        <f t="shared" si="32"/>
        <v>Sep'19/20</v>
      </c>
      <c r="H145" s="11" t="str">
        <f t="shared" si="25"/>
        <v>Sep'19/20</v>
      </c>
      <c r="I145" s="11">
        <f t="shared" si="26"/>
        <v>12.647453000000001</v>
      </c>
    </row>
    <row r="146" spans="2:9" x14ac:dyDescent="0.55000000000000004">
      <c r="B146" s="11">
        <f t="shared" si="27"/>
        <v>7</v>
      </c>
      <c r="C146" s="11">
        <f t="shared" si="28"/>
        <v>1</v>
      </c>
      <c r="D146" s="12">
        <f t="shared" si="29"/>
        <v>1051833</v>
      </c>
      <c r="E146" s="11" t="str">
        <f t="shared" si="30"/>
        <v>20/21</v>
      </c>
      <c r="F146" s="11" t="str">
        <f t="shared" si="31"/>
        <v>Oct</v>
      </c>
      <c r="G146" s="11" t="str">
        <f t="shared" si="32"/>
        <v>Oct'20/21</v>
      </c>
      <c r="H146" s="11" t="str">
        <f t="shared" si="25"/>
        <v>Oct'20/21</v>
      </c>
      <c r="I146" s="11">
        <f t="shared" si="26"/>
        <v>12.487881</v>
      </c>
    </row>
    <row r="147" spans="2:9" x14ac:dyDescent="0.55000000000000004">
      <c r="B147" s="11">
        <f t="shared" si="27"/>
        <v>7</v>
      </c>
      <c r="C147" s="11">
        <f t="shared" si="28"/>
        <v>2</v>
      </c>
      <c r="D147" s="12">
        <f t="shared" si="29"/>
        <v>1278603</v>
      </c>
      <c r="E147" s="11" t="str">
        <f t="shared" si="30"/>
        <v>20/21</v>
      </c>
      <c r="F147" s="11" t="str">
        <f t="shared" si="31"/>
        <v>Nov</v>
      </c>
      <c r="G147" s="11" t="str">
        <f t="shared" si="32"/>
        <v>Nov'20/21</v>
      </c>
      <c r="H147" s="11" t="str">
        <f t="shared" si="25"/>
        <v>Nov'20/21</v>
      </c>
      <c r="I147" s="11">
        <f t="shared" si="26"/>
        <v>12.604274999999999</v>
      </c>
    </row>
    <row r="148" spans="2:9" x14ac:dyDescent="0.55000000000000004">
      <c r="B148" s="11">
        <f t="shared" si="27"/>
        <v>7</v>
      </c>
      <c r="C148" s="11">
        <f t="shared" si="28"/>
        <v>3</v>
      </c>
      <c r="D148" s="12">
        <f t="shared" si="29"/>
        <v>1309000</v>
      </c>
      <c r="E148" s="11" t="str">
        <f t="shared" si="30"/>
        <v>20/21</v>
      </c>
      <c r="F148" s="11" t="str">
        <f t="shared" si="31"/>
        <v>Dec</v>
      </c>
      <c r="G148" s="11" t="str">
        <f t="shared" si="32"/>
        <v>Dec'20/21</v>
      </c>
      <c r="H148" s="11" t="str">
        <f t="shared" si="25"/>
        <v>Dec'20/21</v>
      </c>
      <c r="I148" s="11">
        <f t="shared" si="26"/>
        <v>12.526978</v>
      </c>
    </row>
    <row r="149" spans="2:9" x14ac:dyDescent="0.55000000000000004">
      <c r="B149" s="11">
        <f t="shared" si="27"/>
        <v>7</v>
      </c>
      <c r="C149" s="11">
        <f t="shared" si="28"/>
        <v>4</v>
      </c>
      <c r="D149" s="12">
        <f t="shared" si="29"/>
        <v>1072000</v>
      </c>
      <c r="E149" s="11" t="str">
        <f t="shared" si="30"/>
        <v>20/21</v>
      </c>
      <c r="F149" s="11" t="str">
        <f t="shared" si="31"/>
        <v>Jan</v>
      </c>
      <c r="G149" s="11" t="str">
        <f t="shared" si="32"/>
        <v>Jan'20/21</v>
      </c>
      <c r="H149" s="11" t="str">
        <f t="shared" si="25"/>
        <v>Jan'20/21</v>
      </c>
      <c r="I149" s="11">
        <f t="shared" si="26"/>
        <v>12.534098999999999</v>
      </c>
    </row>
    <row r="150" spans="2:9" x14ac:dyDescent="0.55000000000000004">
      <c r="B150" s="11">
        <f t="shared" si="27"/>
        <v>7</v>
      </c>
      <c r="C150" s="11">
        <f t="shared" si="28"/>
        <v>5</v>
      </c>
      <c r="D150" s="12">
        <f t="shared" si="29"/>
        <v>1273640</v>
      </c>
      <c r="E150" s="11" t="str">
        <f t="shared" si="30"/>
        <v>20/21</v>
      </c>
      <c r="F150" s="11" t="str">
        <f t="shared" si="31"/>
        <v>Feb</v>
      </c>
      <c r="G150" s="11" t="str">
        <f t="shared" si="32"/>
        <v>Feb'20/21</v>
      </c>
      <c r="H150" s="11" t="str">
        <f t="shared" ref="H150:H213" si="33">G150</f>
        <v>Feb'20/21</v>
      </c>
      <c r="I150" s="11">
        <f t="shared" ref="I150:I213" si="34">SUM(D139:D150)/1000000</f>
        <v>12.729679000000001</v>
      </c>
    </row>
    <row r="151" spans="2:9" x14ac:dyDescent="0.55000000000000004">
      <c r="B151" s="11">
        <f t="shared" ref="B151:B214" si="35">B139+1</f>
        <v>7</v>
      </c>
      <c r="C151" s="11">
        <f t="shared" ref="C151:C214" si="36">C139</f>
        <v>6</v>
      </c>
      <c r="D151" s="12">
        <f t="shared" si="29"/>
        <v>1128007</v>
      </c>
      <c r="E151" s="11" t="str">
        <f t="shared" si="30"/>
        <v>20/21</v>
      </c>
      <c r="F151" s="11" t="str">
        <f t="shared" si="31"/>
        <v>Mar</v>
      </c>
      <c r="G151" s="11" t="str">
        <f t="shared" si="32"/>
        <v>Mar'20/21</v>
      </c>
      <c r="H151" s="11" t="str">
        <f t="shared" si="33"/>
        <v>Mar'20/21</v>
      </c>
      <c r="I151" s="11">
        <f t="shared" si="34"/>
        <v>12.909841999999999</v>
      </c>
    </row>
    <row r="152" spans="2:9" x14ac:dyDescent="0.55000000000000004">
      <c r="B152" s="11">
        <f t="shared" si="35"/>
        <v>7</v>
      </c>
      <c r="C152" s="11">
        <f t="shared" si="36"/>
        <v>7</v>
      </c>
      <c r="D152" s="12">
        <f t="shared" si="29"/>
        <v>1035027</v>
      </c>
      <c r="E152" s="11" t="str">
        <f t="shared" si="30"/>
        <v>20/21</v>
      </c>
      <c r="F152" s="11" t="str">
        <f t="shared" si="31"/>
        <v>Apr</v>
      </c>
      <c r="G152" s="11" t="str">
        <f t="shared" si="32"/>
        <v>Apr'20/21</v>
      </c>
      <c r="H152" s="11" t="str">
        <f t="shared" si="33"/>
        <v>Apr'20/21</v>
      </c>
      <c r="I152" s="11">
        <f t="shared" si="34"/>
        <v>13.302837999999999</v>
      </c>
    </row>
    <row r="153" spans="2:9" x14ac:dyDescent="0.55000000000000004">
      <c r="B153" s="11">
        <f t="shared" si="35"/>
        <v>7</v>
      </c>
      <c r="C153" s="11">
        <f t="shared" si="36"/>
        <v>8</v>
      </c>
      <c r="D153" s="12">
        <f t="shared" si="29"/>
        <v>918787.5</v>
      </c>
      <c r="E153" s="11" t="str">
        <f t="shared" si="30"/>
        <v>20/21</v>
      </c>
      <c r="F153" s="11" t="str">
        <f t="shared" si="31"/>
        <v>May</v>
      </c>
      <c r="G153" s="11" t="str">
        <f t="shared" si="32"/>
        <v>May'20/21</v>
      </c>
      <c r="H153" s="11" t="str">
        <f t="shared" si="33"/>
        <v>May'20/21</v>
      </c>
      <c r="I153" s="11">
        <f t="shared" si="34"/>
        <v>13.3280505</v>
      </c>
    </row>
    <row r="154" spans="2:9" x14ac:dyDescent="0.55000000000000004">
      <c r="B154" s="11">
        <f t="shared" si="35"/>
        <v>7</v>
      </c>
      <c r="C154" s="11">
        <f t="shared" si="36"/>
        <v>9</v>
      </c>
      <c r="D154" s="12">
        <f t="shared" si="29"/>
        <v>890284</v>
      </c>
      <c r="E154" s="11" t="str">
        <f t="shared" si="30"/>
        <v>20/21</v>
      </c>
      <c r="F154" s="11" t="str">
        <f t="shared" si="31"/>
        <v>Jun</v>
      </c>
      <c r="G154" s="11" t="str">
        <f t="shared" si="32"/>
        <v>Jun'20/21</v>
      </c>
      <c r="H154" s="11" t="str">
        <f t="shared" si="33"/>
        <v>Jun'20/21</v>
      </c>
      <c r="I154" s="11">
        <f t="shared" si="34"/>
        <v>13.106861500000001</v>
      </c>
    </row>
    <row r="155" spans="2:9" x14ac:dyDescent="0.55000000000000004">
      <c r="B155" s="11">
        <f t="shared" si="35"/>
        <v>7</v>
      </c>
      <c r="C155" s="11">
        <f t="shared" si="36"/>
        <v>10</v>
      </c>
      <c r="D155" s="12">
        <f t="shared" si="29"/>
        <v>1184276</v>
      </c>
      <c r="E155" s="11" t="str">
        <f t="shared" si="30"/>
        <v>20/21</v>
      </c>
      <c r="F155" s="11" t="str">
        <f t="shared" si="31"/>
        <v>Jul</v>
      </c>
      <c r="G155" s="11" t="str">
        <f t="shared" si="32"/>
        <v>Jul'20/21</v>
      </c>
      <c r="H155" s="11" t="str">
        <f t="shared" si="33"/>
        <v>Jul'20/21</v>
      </c>
      <c r="I155" s="11">
        <f t="shared" si="34"/>
        <v>13.1599515</v>
      </c>
    </row>
    <row r="156" spans="2:9" x14ac:dyDescent="0.55000000000000004">
      <c r="B156" s="11">
        <f t="shared" si="35"/>
        <v>7</v>
      </c>
      <c r="C156" s="11">
        <f t="shared" si="36"/>
        <v>11</v>
      </c>
      <c r="D156" s="12">
        <f t="shared" si="29"/>
        <v>1131000</v>
      </c>
      <c r="E156" s="11" t="str">
        <f t="shared" si="30"/>
        <v>20/21</v>
      </c>
      <c r="F156" s="11" t="str">
        <f t="shared" si="31"/>
        <v>Aug</v>
      </c>
      <c r="G156" s="11" t="str">
        <f t="shared" si="32"/>
        <v>Aug'20/21</v>
      </c>
      <c r="H156" s="11" t="str">
        <f t="shared" si="33"/>
        <v>Aug'20/21</v>
      </c>
      <c r="I156" s="11">
        <f t="shared" si="34"/>
        <v>13.1599515</v>
      </c>
    </row>
    <row r="157" spans="2:9" x14ac:dyDescent="0.55000000000000004">
      <c r="B157" s="11">
        <f t="shared" si="35"/>
        <v>7</v>
      </c>
      <c r="C157" s="11">
        <f t="shared" si="36"/>
        <v>12</v>
      </c>
      <c r="D157" s="12">
        <f t="shared" si="29"/>
        <v>1090000</v>
      </c>
      <c r="E157" s="11" t="str">
        <f t="shared" si="30"/>
        <v>20/21</v>
      </c>
      <c r="F157" s="11" t="str">
        <f t="shared" si="31"/>
        <v>Sep</v>
      </c>
      <c r="G157" s="11" t="str">
        <f t="shared" si="32"/>
        <v>Sep'20/21</v>
      </c>
      <c r="H157" s="11" t="str">
        <f t="shared" si="33"/>
        <v>Sep'20/21</v>
      </c>
      <c r="I157" s="11">
        <f t="shared" si="34"/>
        <v>13.3624575</v>
      </c>
    </row>
    <row r="158" spans="2:9" x14ac:dyDescent="0.55000000000000004">
      <c r="B158" s="11">
        <f t="shared" si="35"/>
        <v>8</v>
      </c>
      <c r="C158" s="11">
        <f t="shared" si="36"/>
        <v>1</v>
      </c>
      <c r="D158" s="12">
        <f t="shared" si="29"/>
        <v>987000</v>
      </c>
      <c r="E158" s="11" t="str">
        <f t="shared" si="30"/>
        <v>21/22</v>
      </c>
      <c r="F158" s="11" t="str">
        <f t="shared" si="31"/>
        <v>Oct</v>
      </c>
      <c r="G158" s="11" t="str">
        <f t="shared" si="32"/>
        <v>Oct'21/22</v>
      </c>
      <c r="H158" s="11" t="str">
        <f t="shared" si="33"/>
        <v>Oct'21/22</v>
      </c>
      <c r="I158" s="11">
        <f t="shared" si="34"/>
        <v>13.2976245</v>
      </c>
    </row>
    <row r="159" spans="2:9" x14ac:dyDescent="0.55000000000000004">
      <c r="B159" s="11">
        <f t="shared" si="35"/>
        <v>8</v>
      </c>
      <c r="C159" s="11">
        <f t="shared" si="36"/>
        <v>2</v>
      </c>
      <c r="D159" s="12">
        <f t="shared" si="29"/>
        <v>1135000</v>
      </c>
      <c r="E159" s="11" t="str">
        <f t="shared" si="30"/>
        <v>21/22</v>
      </c>
      <c r="F159" s="11" t="str">
        <f t="shared" si="31"/>
        <v>Nov</v>
      </c>
      <c r="G159" s="11" t="str">
        <f t="shared" si="32"/>
        <v>Nov'21/22</v>
      </c>
      <c r="H159" s="11" t="str">
        <f t="shared" si="33"/>
        <v>Nov'21/22</v>
      </c>
      <c r="I159" s="11">
        <f t="shared" si="34"/>
        <v>13.154021500000001</v>
      </c>
    </row>
    <row r="160" spans="2:9" x14ac:dyDescent="0.55000000000000004">
      <c r="B160" s="11">
        <f t="shared" si="35"/>
        <v>8</v>
      </c>
      <c r="C160" s="11">
        <f t="shared" si="36"/>
        <v>3</v>
      </c>
      <c r="D160" s="12">
        <f t="shared" si="29"/>
        <v>1167000</v>
      </c>
      <c r="E160" s="11" t="str">
        <f t="shared" si="30"/>
        <v>21/22</v>
      </c>
      <c r="F160" s="11" t="str">
        <f t="shared" si="31"/>
        <v>Dec</v>
      </c>
      <c r="G160" s="11" t="str">
        <f t="shared" si="32"/>
        <v>Dec'21/22</v>
      </c>
      <c r="H160" s="11" t="str">
        <f t="shared" si="33"/>
        <v>Dec'21/22</v>
      </c>
      <c r="I160" s="11">
        <f t="shared" si="34"/>
        <v>13.012021499999999</v>
      </c>
    </row>
    <row r="161" spans="2:9" x14ac:dyDescent="0.55000000000000004">
      <c r="B161" s="11">
        <f t="shared" si="35"/>
        <v>8</v>
      </c>
      <c r="C161" s="11">
        <f t="shared" si="36"/>
        <v>4</v>
      </c>
      <c r="D161" s="12">
        <f t="shared" si="29"/>
        <v>1032000</v>
      </c>
      <c r="E161" s="11" t="str">
        <f t="shared" si="30"/>
        <v>21/22</v>
      </c>
      <c r="F161" s="11" t="str">
        <f t="shared" si="31"/>
        <v>Jan</v>
      </c>
      <c r="G161" s="11" t="str">
        <f t="shared" si="32"/>
        <v>Jan'21/22</v>
      </c>
      <c r="H161" s="11" t="str">
        <f t="shared" si="33"/>
        <v>Jan'21/22</v>
      </c>
      <c r="I161" s="11">
        <f t="shared" si="34"/>
        <v>12.9720215</v>
      </c>
    </row>
    <row r="162" spans="2:9" x14ac:dyDescent="0.55000000000000004">
      <c r="B162" s="11">
        <f t="shared" si="35"/>
        <v>8</v>
      </c>
      <c r="C162" s="11">
        <f t="shared" si="36"/>
        <v>5</v>
      </c>
      <c r="D162" s="12">
        <f t="shared" si="29"/>
        <v>983000</v>
      </c>
      <c r="E162" s="11" t="str">
        <f t="shared" si="30"/>
        <v>21/22</v>
      </c>
      <c r="F162" s="11" t="str">
        <f t="shared" si="31"/>
        <v>Feb</v>
      </c>
      <c r="G162" s="11" t="str">
        <f t="shared" si="32"/>
        <v>Feb'21/22</v>
      </c>
      <c r="H162" s="11" t="str">
        <f t="shared" si="33"/>
        <v>Feb'21/22</v>
      </c>
      <c r="I162" s="11">
        <f t="shared" si="34"/>
        <v>12.681381500000001</v>
      </c>
    </row>
    <row r="163" spans="2:9" x14ac:dyDescent="0.55000000000000004">
      <c r="B163" s="11">
        <f t="shared" si="35"/>
        <v>8</v>
      </c>
      <c r="C163" s="11">
        <f t="shared" si="36"/>
        <v>6</v>
      </c>
      <c r="D163" s="12">
        <f t="shared" si="29"/>
        <v>1121000</v>
      </c>
      <c r="E163" s="11" t="str">
        <f t="shared" si="30"/>
        <v>21/22</v>
      </c>
      <c r="F163" s="11" t="str">
        <f t="shared" si="31"/>
        <v>Mar</v>
      </c>
      <c r="G163" s="11" t="str">
        <f t="shared" si="32"/>
        <v>Mar'21/22</v>
      </c>
      <c r="H163" s="11" t="str">
        <f t="shared" si="33"/>
        <v>Mar'21/22</v>
      </c>
      <c r="I163" s="11">
        <f t="shared" si="34"/>
        <v>12.674374500000001</v>
      </c>
    </row>
    <row r="164" spans="2:9" x14ac:dyDescent="0.55000000000000004">
      <c r="B164" s="11">
        <f t="shared" si="35"/>
        <v>8</v>
      </c>
      <c r="C164" s="11">
        <f t="shared" si="36"/>
        <v>7</v>
      </c>
      <c r="D164" s="12">
        <f t="shared" si="29"/>
        <v>845000</v>
      </c>
      <c r="E164" s="11" t="str">
        <f t="shared" si="30"/>
        <v>21/22</v>
      </c>
      <c r="F164" s="11" t="str">
        <f t="shared" si="31"/>
        <v>Apr</v>
      </c>
      <c r="G164" s="11" t="str">
        <f t="shared" si="32"/>
        <v>Apr'21/22</v>
      </c>
      <c r="H164" s="11" t="str">
        <f t="shared" si="33"/>
        <v>Apr'21/22</v>
      </c>
      <c r="I164" s="11">
        <f t="shared" si="34"/>
        <v>12.4843475</v>
      </c>
    </row>
    <row r="165" spans="2:9" x14ac:dyDescent="0.55000000000000004">
      <c r="B165" s="11">
        <f t="shared" si="35"/>
        <v>8</v>
      </c>
      <c r="C165" s="11">
        <f t="shared" si="36"/>
        <v>8</v>
      </c>
      <c r="D165" s="12">
        <f t="shared" si="29"/>
        <v>944000</v>
      </c>
      <c r="E165" s="11" t="str">
        <f t="shared" si="30"/>
        <v>21/22</v>
      </c>
      <c r="F165" s="11" t="str">
        <f t="shared" si="31"/>
        <v>May</v>
      </c>
      <c r="G165" s="11" t="str">
        <f t="shared" si="32"/>
        <v>May'21/22</v>
      </c>
      <c r="H165" s="11" t="str">
        <f t="shared" si="33"/>
        <v>May'21/22</v>
      </c>
      <c r="I165" s="11">
        <f t="shared" si="34"/>
        <v>12.50956</v>
      </c>
    </row>
    <row r="166" spans="2:9" x14ac:dyDescent="0.55000000000000004">
      <c r="B166" s="11">
        <f t="shared" si="35"/>
        <v>8</v>
      </c>
      <c r="C166" s="11">
        <f t="shared" si="36"/>
        <v>9</v>
      </c>
      <c r="D166" s="12">
        <f t="shared" si="29"/>
        <v>939000</v>
      </c>
      <c r="E166" s="11" t="str">
        <f t="shared" si="30"/>
        <v>21/22</v>
      </c>
      <c r="F166" s="11" t="str">
        <f t="shared" si="31"/>
        <v>Jun</v>
      </c>
      <c r="G166" s="11" t="str">
        <f t="shared" si="32"/>
        <v>Jun'21/22</v>
      </c>
      <c r="H166" s="11" t="str">
        <f t="shared" si="33"/>
        <v>Jun'21/22</v>
      </c>
      <c r="I166" s="11">
        <f t="shared" si="34"/>
        <v>12.558275999999999</v>
      </c>
    </row>
    <row r="167" spans="2:9" x14ac:dyDescent="0.55000000000000004">
      <c r="B167" s="11">
        <f t="shared" si="35"/>
        <v>8</v>
      </c>
      <c r="C167" s="11">
        <f t="shared" si="36"/>
        <v>10</v>
      </c>
      <c r="D167" s="12">
        <f t="shared" si="29"/>
        <v>1020000</v>
      </c>
      <c r="E167" s="11" t="str">
        <f t="shared" si="30"/>
        <v>21/22</v>
      </c>
      <c r="F167" s="11" t="str">
        <f t="shared" si="31"/>
        <v>Jul</v>
      </c>
      <c r="G167" s="11" t="str">
        <f t="shared" si="32"/>
        <v>Jul'21/22</v>
      </c>
      <c r="H167" s="11" t="str">
        <f t="shared" si="33"/>
        <v>Jul'21/22</v>
      </c>
      <c r="I167" s="11">
        <f t="shared" si="34"/>
        <v>12.394</v>
      </c>
    </row>
    <row r="168" spans="2:9" x14ac:dyDescent="0.55000000000000004">
      <c r="B168" s="11">
        <f t="shared" si="35"/>
        <v>8</v>
      </c>
      <c r="C168" s="11">
        <f t="shared" si="36"/>
        <v>11</v>
      </c>
      <c r="D168" s="12">
        <f t="shared" si="29"/>
        <v>872000</v>
      </c>
      <c r="E168" s="11" t="str">
        <f t="shared" si="30"/>
        <v>21/22</v>
      </c>
      <c r="F168" s="11" t="str">
        <f t="shared" si="31"/>
        <v>Aug</v>
      </c>
      <c r="G168" s="11" t="str">
        <f t="shared" si="32"/>
        <v>Aug'21/22</v>
      </c>
      <c r="H168" s="11" t="str">
        <f t="shared" si="33"/>
        <v>Aug'21/22</v>
      </c>
      <c r="I168" s="11">
        <f t="shared" si="34"/>
        <v>12.135</v>
      </c>
    </row>
    <row r="169" spans="2:9" x14ac:dyDescent="0.55000000000000004">
      <c r="B169" s="11">
        <f t="shared" si="35"/>
        <v>8</v>
      </c>
      <c r="C169" s="11">
        <f t="shared" si="36"/>
        <v>12</v>
      </c>
      <c r="D169" s="12">
        <f t="shared" si="29"/>
        <v>820000</v>
      </c>
      <c r="E169" s="11" t="str">
        <f t="shared" si="30"/>
        <v>21/22</v>
      </c>
      <c r="F169" s="11" t="str">
        <f t="shared" si="31"/>
        <v>Sep</v>
      </c>
      <c r="G169" s="11" t="str">
        <f t="shared" si="32"/>
        <v>Sep'21/22</v>
      </c>
      <c r="H169" s="11" t="str">
        <f t="shared" si="33"/>
        <v>Sep'21/22</v>
      </c>
      <c r="I169" s="11">
        <f t="shared" si="34"/>
        <v>11.865</v>
      </c>
    </row>
    <row r="170" spans="2:9" x14ac:dyDescent="0.55000000000000004">
      <c r="B170" s="11">
        <f t="shared" si="35"/>
        <v>9</v>
      </c>
      <c r="C170" s="11">
        <f t="shared" si="36"/>
        <v>1</v>
      </c>
      <c r="D170" s="12">
        <f t="shared" si="29"/>
        <v>944000</v>
      </c>
      <c r="E170" s="11" t="str">
        <f t="shared" si="30"/>
        <v>22/23</v>
      </c>
      <c r="F170" s="11" t="str">
        <f t="shared" si="31"/>
        <v>Oct</v>
      </c>
      <c r="G170" s="11" t="str">
        <f t="shared" si="32"/>
        <v>Oct'22/23</v>
      </c>
      <c r="H170" s="11" t="str">
        <f t="shared" si="33"/>
        <v>Oct'22/23</v>
      </c>
      <c r="I170" s="11">
        <f t="shared" si="34"/>
        <v>11.821999999999999</v>
      </c>
    </row>
    <row r="171" spans="2:9" x14ac:dyDescent="0.55000000000000004">
      <c r="B171" s="11">
        <f t="shared" si="35"/>
        <v>9</v>
      </c>
      <c r="C171" s="11">
        <f t="shared" si="36"/>
        <v>2</v>
      </c>
      <c r="D171" s="12">
        <f t="shared" si="29"/>
        <v>854000</v>
      </c>
      <c r="E171" s="11" t="str">
        <f t="shared" si="30"/>
        <v>22/23</v>
      </c>
      <c r="F171" s="11" t="str">
        <f t="shared" si="31"/>
        <v>Nov</v>
      </c>
      <c r="G171" s="11" t="str">
        <f t="shared" si="32"/>
        <v>Nov'22/23</v>
      </c>
      <c r="H171" s="11" t="str">
        <f t="shared" si="33"/>
        <v>Nov'22/23</v>
      </c>
      <c r="I171" s="11">
        <f t="shared" si="34"/>
        <v>11.541</v>
      </c>
    </row>
    <row r="172" spans="2:9" x14ac:dyDescent="0.55000000000000004">
      <c r="B172" s="11">
        <f t="shared" si="35"/>
        <v>9</v>
      </c>
      <c r="C172" s="11">
        <f t="shared" si="36"/>
        <v>3</v>
      </c>
      <c r="D172" s="12">
        <f t="shared" si="29"/>
        <v>1030000</v>
      </c>
      <c r="E172" s="11" t="str">
        <f t="shared" si="30"/>
        <v>22/23</v>
      </c>
      <c r="F172" s="11" t="str">
        <f t="shared" si="31"/>
        <v>Dec</v>
      </c>
      <c r="G172" s="11" t="str">
        <f t="shared" si="32"/>
        <v>Dec'22/23</v>
      </c>
      <c r="H172" s="11" t="str">
        <f t="shared" si="33"/>
        <v>Dec'22/23</v>
      </c>
      <c r="I172" s="11">
        <f t="shared" si="34"/>
        <v>11.404</v>
      </c>
    </row>
    <row r="173" spans="2:9" x14ac:dyDescent="0.55000000000000004">
      <c r="B173" s="11">
        <f t="shared" si="35"/>
        <v>9</v>
      </c>
      <c r="C173" s="11">
        <f t="shared" si="36"/>
        <v>4</v>
      </c>
      <c r="D173" s="12">
        <f t="shared" si="29"/>
        <v>835000</v>
      </c>
      <c r="E173" s="11" t="str">
        <f t="shared" si="30"/>
        <v>22/23</v>
      </c>
      <c r="F173" s="11" t="str">
        <f t="shared" si="31"/>
        <v>Jan</v>
      </c>
      <c r="G173" s="11" t="str">
        <f t="shared" si="32"/>
        <v>Jan'22/23</v>
      </c>
      <c r="H173" s="11" t="str">
        <f t="shared" si="33"/>
        <v>Jan'22/23</v>
      </c>
      <c r="I173" s="11">
        <f t="shared" si="34"/>
        <v>11.207000000000001</v>
      </c>
    </row>
    <row r="174" spans="2:9" x14ac:dyDescent="0.55000000000000004">
      <c r="B174" s="11">
        <f t="shared" si="35"/>
        <v>9</v>
      </c>
      <c r="C174" s="11">
        <f t="shared" si="36"/>
        <v>5</v>
      </c>
      <c r="D174" s="12">
        <f t="shared" si="29"/>
        <v>928000</v>
      </c>
      <c r="E174" s="11" t="str">
        <f t="shared" si="30"/>
        <v>22/23</v>
      </c>
      <c r="F174" s="11" t="str">
        <f t="shared" si="31"/>
        <v>Feb</v>
      </c>
      <c r="G174" s="11" t="str">
        <f t="shared" si="32"/>
        <v>Feb'22/23</v>
      </c>
      <c r="H174" s="11" t="str">
        <f t="shared" si="33"/>
        <v>Feb'22/23</v>
      </c>
      <c r="I174" s="11">
        <f t="shared" si="34"/>
        <v>11.151999999999999</v>
      </c>
    </row>
    <row r="175" spans="2:9" x14ac:dyDescent="0.55000000000000004">
      <c r="B175" s="11">
        <f t="shared" si="35"/>
        <v>9</v>
      </c>
      <c r="C175" s="11">
        <f t="shared" si="36"/>
        <v>6</v>
      </c>
      <c r="D175" s="12">
        <f t="shared" si="29"/>
        <v>906000</v>
      </c>
      <c r="E175" s="11" t="str">
        <f t="shared" si="30"/>
        <v>22/23</v>
      </c>
      <c r="F175" s="11" t="str">
        <f t="shared" si="31"/>
        <v>Mar</v>
      </c>
      <c r="G175" s="11" t="str">
        <f t="shared" si="32"/>
        <v>Mar'22/23</v>
      </c>
      <c r="H175" s="11" t="str">
        <f t="shared" si="33"/>
        <v>Mar'22/23</v>
      </c>
      <c r="I175" s="11">
        <f t="shared" si="34"/>
        <v>10.936999999999999</v>
      </c>
    </row>
    <row r="176" spans="2:9" x14ac:dyDescent="0.55000000000000004">
      <c r="B176" s="11">
        <f t="shared" si="35"/>
        <v>9</v>
      </c>
      <c r="C176" s="11">
        <f t="shared" si="36"/>
        <v>7</v>
      </c>
      <c r="D176" s="12">
        <f t="shared" si="29"/>
        <v>723000</v>
      </c>
      <c r="E176" s="11" t="str">
        <f t="shared" si="30"/>
        <v>22/23</v>
      </c>
      <c r="F176" s="11" t="str">
        <f t="shared" si="31"/>
        <v>Apr</v>
      </c>
      <c r="G176" s="11" t="str">
        <f t="shared" si="32"/>
        <v>Apr'22/23</v>
      </c>
      <c r="H176" s="11" t="str">
        <f t="shared" si="33"/>
        <v>Apr'22/23</v>
      </c>
      <c r="I176" s="11">
        <f t="shared" si="34"/>
        <v>10.815</v>
      </c>
    </row>
    <row r="177" spans="2:9" x14ac:dyDescent="0.55000000000000004">
      <c r="B177" s="11">
        <f t="shared" si="35"/>
        <v>9</v>
      </c>
      <c r="C177" s="11">
        <f t="shared" si="36"/>
        <v>8</v>
      </c>
      <c r="D177" s="12">
        <f t="shared" si="29"/>
        <v>846000</v>
      </c>
      <c r="E177" s="11" t="str">
        <f t="shared" si="30"/>
        <v>22/23</v>
      </c>
      <c r="F177" s="11" t="str">
        <f t="shared" si="31"/>
        <v>May</v>
      </c>
      <c r="G177" s="11" t="str">
        <f t="shared" si="32"/>
        <v>May'22/23</v>
      </c>
      <c r="H177" s="11" t="str">
        <f t="shared" si="33"/>
        <v>May'22/23</v>
      </c>
      <c r="I177" s="11">
        <f t="shared" si="34"/>
        <v>10.717000000000001</v>
      </c>
    </row>
    <row r="178" spans="2:9" x14ac:dyDescent="0.55000000000000004">
      <c r="B178" s="11">
        <f t="shared" si="35"/>
        <v>9</v>
      </c>
      <c r="C178" s="11">
        <f t="shared" si="36"/>
        <v>9</v>
      </c>
      <c r="D178" s="12">
        <f t="shared" si="29"/>
        <v>748000</v>
      </c>
      <c r="E178" s="11" t="str">
        <f t="shared" si="30"/>
        <v>22/23</v>
      </c>
      <c r="F178" s="11" t="str">
        <f t="shared" si="31"/>
        <v>Jun</v>
      </c>
      <c r="G178" s="11" t="str">
        <f t="shared" si="32"/>
        <v>Jun'22/23</v>
      </c>
      <c r="H178" s="11" t="str">
        <f t="shared" si="33"/>
        <v>Jun'22/23</v>
      </c>
      <c r="I178" s="11">
        <f t="shared" si="34"/>
        <v>10.526</v>
      </c>
    </row>
    <row r="179" spans="2:9" x14ac:dyDescent="0.55000000000000004">
      <c r="B179" s="11">
        <f t="shared" si="35"/>
        <v>9</v>
      </c>
      <c r="C179" s="11">
        <f t="shared" si="36"/>
        <v>10</v>
      </c>
      <c r="D179" s="12">
        <f t="shared" si="29"/>
        <v>846000</v>
      </c>
      <c r="E179" s="11" t="str">
        <f t="shared" si="30"/>
        <v>22/23</v>
      </c>
      <c r="F179" s="11" t="str">
        <f t="shared" si="31"/>
        <v>Jul</v>
      </c>
      <c r="G179" s="11" t="str">
        <f t="shared" si="32"/>
        <v>Jul'22/23</v>
      </c>
      <c r="H179" s="11" t="str">
        <f t="shared" si="33"/>
        <v>Jul'22/23</v>
      </c>
      <c r="I179" s="11">
        <f t="shared" si="34"/>
        <v>10.352</v>
      </c>
    </row>
    <row r="180" spans="2:9" x14ac:dyDescent="0.55000000000000004">
      <c r="B180" s="11">
        <f t="shared" si="35"/>
        <v>9</v>
      </c>
      <c r="C180" s="11">
        <f t="shared" si="36"/>
        <v>11</v>
      </c>
      <c r="D180" s="12">
        <f t="shared" si="29"/>
        <v>817000</v>
      </c>
      <c r="E180" s="11" t="str">
        <f t="shared" si="30"/>
        <v>22/23</v>
      </c>
      <c r="F180" s="11" t="str">
        <f t="shared" si="31"/>
        <v>Aug</v>
      </c>
      <c r="G180" s="11" t="str">
        <f t="shared" si="32"/>
        <v>Aug'22/23</v>
      </c>
      <c r="H180" s="11" t="str">
        <f t="shared" si="33"/>
        <v>Aug'22/23</v>
      </c>
      <c r="I180" s="11">
        <f t="shared" si="34"/>
        <v>10.297000000000001</v>
      </c>
    </row>
    <row r="181" spans="2:9" x14ac:dyDescent="0.55000000000000004">
      <c r="B181" s="11">
        <f t="shared" si="35"/>
        <v>9</v>
      </c>
      <c r="C181" s="11">
        <f t="shared" si="36"/>
        <v>12</v>
      </c>
      <c r="D181" s="12">
        <f t="shared" si="29"/>
        <v>840000</v>
      </c>
      <c r="E181" s="11" t="str">
        <f t="shared" si="30"/>
        <v>22/23</v>
      </c>
      <c r="F181" s="11" t="str">
        <f t="shared" si="31"/>
        <v>Sep</v>
      </c>
      <c r="G181" s="11" t="str">
        <f t="shared" si="32"/>
        <v>Sep'22/23</v>
      </c>
      <c r="H181" s="11" t="str">
        <f t="shared" si="33"/>
        <v>Sep'22/23</v>
      </c>
      <c r="I181" s="11">
        <f t="shared" si="34"/>
        <v>10.317</v>
      </c>
    </row>
    <row r="182" spans="2:9" x14ac:dyDescent="0.55000000000000004">
      <c r="B182" s="11">
        <f t="shared" si="35"/>
        <v>10</v>
      </c>
      <c r="C182" s="11">
        <f t="shared" si="36"/>
        <v>1</v>
      </c>
      <c r="D182" s="12">
        <f t="shared" si="29"/>
        <v>906000</v>
      </c>
      <c r="E182" s="11" t="str">
        <f t="shared" si="30"/>
        <v>23/24</v>
      </c>
      <c r="F182" s="11" t="str">
        <f t="shared" si="31"/>
        <v>Oct</v>
      </c>
      <c r="G182" s="11" t="str">
        <f t="shared" si="32"/>
        <v>Oct'23/24</v>
      </c>
      <c r="H182" s="11" t="str">
        <f t="shared" si="33"/>
        <v>Oct'23/24</v>
      </c>
      <c r="I182" s="11">
        <f t="shared" si="34"/>
        <v>10.279</v>
      </c>
    </row>
    <row r="183" spans="2:9" x14ac:dyDescent="0.55000000000000004">
      <c r="B183" s="11">
        <f t="shared" si="35"/>
        <v>10</v>
      </c>
      <c r="C183" s="11">
        <f t="shared" si="36"/>
        <v>2</v>
      </c>
      <c r="D183" s="12">
        <f t="shared" si="29"/>
        <v>1100000</v>
      </c>
      <c r="E183" s="11" t="str">
        <f t="shared" si="30"/>
        <v>23/24</v>
      </c>
      <c r="F183" s="11" t="str">
        <f t="shared" si="31"/>
        <v>Nov</v>
      </c>
      <c r="G183" s="11" t="str">
        <f t="shared" si="32"/>
        <v>Nov'23/24</v>
      </c>
      <c r="H183" s="11" t="str">
        <f t="shared" si="33"/>
        <v>Nov'23/24</v>
      </c>
      <c r="I183" s="11">
        <f t="shared" si="34"/>
        <v>10.525</v>
      </c>
    </row>
    <row r="184" spans="2:9" x14ac:dyDescent="0.55000000000000004">
      <c r="B184" s="11">
        <f t="shared" si="35"/>
        <v>10</v>
      </c>
      <c r="C184" s="11">
        <f t="shared" si="36"/>
        <v>3</v>
      </c>
      <c r="D184" s="12">
        <f t="shared" si="29"/>
        <v>1060000</v>
      </c>
      <c r="E184" s="11" t="str">
        <f t="shared" si="30"/>
        <v>23/24</v>
      </c>
      <c r="F184" s="11" t="str">
        <f t="shared" si="31"/>
        <v>Dec</v>
      </c>
      <c r="G184" s="11" t="str">
        <f t="shared" si="32"/>
        <v>Dec'23/24</v>
      </c>
      <c r="H184" s="11" t="str">
        <f t="shared" si="33"/>
        <v>Dec'23/24</v>
      </c>
      <c r="I184" s="11">
        <f t="shared" si="34"/>
        <v>10.555</v>
      </c>
    </row>
    <row r="185" spans="2:9" x14ac:dyDescent="0.55000000000000004">
      <c r="B185" s="11">
        <f t="shared" si="35"/>
        <v>10</v>
      </c>
      <c r="C185" s="11">
        <f t="shared" si="36"/>
        <v>4</v>
      </c>
      <c r="D185" s="12">
        <f t="shared" si="29"/>
        <v>937000</v>
      </c>
      <c r="E185" s="11" t="str">
        <f t="shared" si="30"/>
        <v>23/24</v>
      </c>
      <c r="F185" s="11" t="str">
        <f t="shared" si="31"/>
        <v>Jan</v>
      </c>
      <c r="G185" s="11" t="str">
        <f t="shared" si="32"/>
        <v>Jan'23/24</v>
      </c>
      <c r="H185" s="11" t="str">
        <f t="shared" si="33"/>
        <v>Jan'23/24</v>
      </c>
      <c r="I185" s="11">
        <f t="shared" si="34"/>
        <v>10.657</v>
      </c>
    </row>
    <row r="186" spans="2:9" x14ac:dyDescent="0.55000000000000004">
      <c r="B186" s="11">
        <f t="shared" si="35"/>
        <v>10</v>
      </c>
      <c r="C186" s="11">
        <f t="shared" si="36"/>
        <v>5</v>
      </c>
      <c r="D186" s="12">
        <f t="shared" si="29"/>
        <v>1046000</v>
      </c>
      <c r="E186" s="11" t="str">
        <f t="shared" si="30"/>
        <v>23/24</v>
      </c>
      <c r="F186" s="11" t="str">
        <f t="shared" si="31"/>
        <v>Feb</v>
      </c>
      <c r="G186" s="11" t="str">
        <f t="shared" si="32"/>
        <v>Feb'23/24</v>
      </c>
      <c r="H186" s="11" t="str">
        <f t="shared" si="33"/>
        <v>Feb'23/24</v>
      </c>
      <c r="I186" s="11">
        <f t="shared" si="34"/>
        <v>10.775</v>
      </c>
    </row>
    <row r="187" spans="2:9" x14ac:dyDescent="0.55000000000000004">
      <c r="B187" s="11">
        <f t="shared" si="35"/>
        <v>10</v>
      </c>
      <c r="C187" s="11">
        <f t="shared" si="36"/>
        <v>6</v>
      </c>
      <c r="D187" s="12">
        <f t="shared" si="29"/>
        <v>1010000</v>
      </c>
      <c r="E187" s="11" t="str">
        <f t="shared" si="30"/>
        <v>23/24</v>
      </c>
      <c r="F187" s="11" t="str">
        <f t="shared" si="31"/>
        <v>Mar</v>
      </c>
      <c r="G187" s="11" t="str">
        <f t="shared" si="32"/>
        <v>Mar'23/24</v>
      </c>
      <c r="H187" s="11" t="str">
        <f t="shared" si="33"/>
        <v>Mar'23/24</v>
      </c>
      <c r="I187" s="11">
        <f t="shared" si="34"/>
        <v>10.879</v>
      </c>
    </row>
    <row r="188" spans="2:9" x14ac:dyDescent="0.55000000000000004">
      <c r="B188" s="11">
        <f t="shared" si="35"/>
        <v>10</v>
      </c>
      <c r="C188" s="11">
        <f t="shared" si="36"/>
        <v>7</v>
      </c>
      <c r="D188" s="12">
        <f t="shared" si="29"/>
        <v>792000</v>
      </c>
      <c r="E188" s="11" t="str">
        <f t="shared" si="30"/>
        <v>23/24</v>
      </c>
      <c r="F188" s="11" t="str">
        <f t="shared" si="31"/>
        <v>Apr</v>
      </c>
      <c r="G188" s="11" t="str">
        <f t="shared" si="32"/>
        <v>Apr'23/24</v>
      </c>
      <c r="H188" s="11" t="str">
        <f t="shared" si="33"/>
        <v>Apr'23/24</v>
      </c>
      <c r="I188" s="11">
        <f t="shared" si="34"/>
        <v>10.948</v>
      </c>
    </row>
    <row r="189" spans="2:9" x14ac:dyDescent="0.55000000000000004">
      <c r="B189" s="11">
        <f t="shared" si="35"/>
        <v>10</v>
      </c>
      <c r="C189" s="11">
        <f t="shared" si="36"/>
        <v>8</v>
      </c>
      <c r="D189" s="12">
        <f t="shared" si="29"/>
        <v>935000</v>
      </c>
      <c r="E189" s="11" t="str">
        <f t="shared" si="30"/>
        <v>23/24</v>
      </c>
      <c r="F189" s="11" t="str">
        <f t="shared" si="31"/>
        <v>May</v>
      </c>
      <c r="G189" s="11" t="str">
        <f t="shared" si="32"/>
        <v>May'23/24</v>
      </c>
      <c r="H189" s="11" t="str">
        <f t="shared" si="33"/>
        <v>May'23/24</v>
      </c>
      <c r="I189" s="11">
        <f t="shared" si="34"/>
        <v>11.037000000000001</v>
      </c>
    </row>
    <row r="190" spans="2:9" x14ac:dyDescent="0.55000000000000004">
      <c r="B190" s="11">
        <f t="shared" si="35"/>
        <v>10</v>
      </c>
      <c r="C190" s="11">
        <f t="shared" si="36"/>
        <v>9</v>
      </c>
      <c r="D190" s="12">
        <f t="shared" si="29"/>
        <v>1026000</v>
      </c>
      <c r="E190" s="11" t="str">
        <f t="shared" si="30"/>
        <v>23/24</v>
      </c>
      <c r="F190" s="11" t="str">
        <f t="shared" si="31"/>
        <v>Jun</v>
      </c>
      <c r="G190" s="11" t="str">
        <f t="shared" si="32"/>
        <v>Jun'23/24</v>
      </c>
      <c r="H190" s="11" t="str">
        <f t="shared" si="33"/>
        <v>Jun'23/24</v>
      </c>
      <c r="I190" s="11">
        <f t="shared" si="34"/>
        <v>11.315</v>
      </c>
    </row>
    <row r="191" spans="2:9" x14ac:dyDescent="0.55000000000000004">
      <c r="B191" s="11">
        <f t="shared" si="35"/>
        <v>10</v>
      </c>
      <c r="C191" s="11">
        <f t="shared" si="36"/>
        <v>10</v>
      </c>
      <c r="D191" s="12">
        <f t="shared" si="29"/>
        <v>1000000</v>
      </c>
      <c r="E191" s="11" t="str">
        <f t="shared" si="30"/>
        <v>23/24</v>
      </c>
      <c r="F191" s="11" t="str">
        <f t="shared" si="31"/>
        <v>Jul</v>
      </c>
      <c r="G191" s="11" t="str">
        <f t="shared" si="32"/>
        <v>Jul'23/24</v>
      </c>
      <c r="H191" s="11" t="str">
        <f t="shared" si="33"/>
        <v>Jul'23/24</v>
      </c>
      <c r="I191" s="11">
        <f t="shared" si="34"/>
        <v>11.468999999999999</v>
      </c>
    </row>
    <row r="192" spans="2:9" x14ac:dyDescent="0.55000000000000004">
      <c r="B192" s="11">
        <f t="shared" si="35"/>
        <v>10</v>
      </c>
      <c r="C192" s="11">
        <f t="shared" si="36"/>
        <v>11</v>
      </c>
      <c r="D192" s="12">
        <f t="shared" si="29"/>
        <v>1021000</v>
      </c>
      <c r="E192" s="11" t="str">
        <f t="shared" si="30"/>
        <v>23/24</v>
      </c>
      <c r="F192" s="11" t="str">
        <f t="shared" si="31"/>
        <v>Aug</v>
      </c>
      <c r="G192" s="11" t="str">
        <f t="shared" si="32"/>
        <v>Aug'23/24</v>
      </c>
      <c r="H192" s="11" t="str">
        <f t="shared" si="33"/>
        <v>Aug'23/24</v>
      </c>
      <c r="I192" s="11">
        <f t="shared" si="34"/>
        <v>11.673</v>
      </c>
    </row>
    <row r="193" spans="2:9" x14ac:dyDescent="0.55000000000000004">
      <c r="B193" s="11">
        <f t="shared" si="35"/>
        <v>10</v>
      </c>
      <c r="C193" s="11">
        <f t="shared" si="36"/>
        <v>12</v>
      </c>
      <c r="D193" s="12">
        <f t="shared" si="29"/>
        <v>987000</v>
      </c>
      <c r="E193" s="11" t="str">
        <f t="shared" si="30"/>
        <v>23/24</v>
      </c>
      <c r="F193" s="11" t="str">
        <f t="shared" si="31"/>
        <v>Sep</v>
      </c>
      <c r="G193" s="11" t="str">
        <f t="shared" si="32"/>
        <v>Sep'23/24</v>
      </c>
      <c r="H193" s="11" t="str">
        <f t="shared" si="33"/>
        <v>Sep'23/24</v>
      </c>
      <c r="I193" s="11">
        <f t="shared" si="34"/>
        <v>11.82</v>
      </c>
    </row>
    <row r="194" spans="2:9" x14ac:dyDescent="0.55000000000000004">
      <c r="B194" s="11">
        <f t="shared" si="35"/>
        <v>11</v>
      </c>
      <c r="C194" s="11">
        <f t="shared" si="36"/>
        <v>1</v>
      </c>
      <c r="D194" s="12">
        <f t="shared" si="29"/>
        <v>1047000</v>
      </c>
      <c r="E194" s="11" t="str">
        <f t="shared" si="30"/>
        <v>24/25</v>
      </c>
      <c r="F194" s="11" t="str">
        <f t="shared" si="31"/>
        <v>Oct</v>
      </c>
      <c r="G194" s="11" t="str">
        <f t="shared" si="32"/>
        <v>Oct'24/25</v>
      </c>
      <c r="H194" s="11" t="str">
        <f t="shared" si="33"/>
        <v>Oct'24/25</v>
      </c>
      <c r="I194" s="11">
        <f t="shared" si="34"/>
        <v>11.961</v>
      </c>
    </row>
    <row r="195" spans="2:9" x14ac:dyDescent="0.55000000000000004">
      <c r="B195" s="11">
        <f t="shared" si="35"/>
        <v>11</v>
      </c>
      <c r="C195" s="11">
        <f t="shared" si="36"/>
        <v>2</v>
      </c>
      <c r="D195" s="12">
        <f t="shared" si="29"/>
        <v>1189000</v>
      </c>
      <c r="E195" s="11" t="str">
        <f t="shared" si="30"/>
        <v>24/25</v>
      </c>
      <c r="F195" s="11" t="str">
        <f t="shared" si="31"/>
        <v>Nov</v>
      </c>
      <c r="G195" s="11" t="str">
        <f t="shared" si="32"/>
        <v>Nov'24/25</v>
      </c>
      <c r="H195" s="11" t="str">
        <f t="shared" si="33"/>
        <v>Nov'24/25</v>
      </c>
      <c r="I195" s="11">
        <f t="shared" si="34"/>
        <v>12.05</v>
      </c>
    </row>
    <row r="196" spans="2:9" x14ac:dyDescent="0.55000000000000004">
      <c r="B196" s="11">
        <f t="shared" si="35"/>
        <v>11</v>
      </c>
      <c r="C196" s="11">
        <f t="shared" si="36"/>
        <v>3</v>
      </c>
      <c r="D196" s="12">
        <f t="shared" si="29"/>
        <v>1282000</v>
      </c>
      <c r="E196" s="11" t="str">
        <f t="shared" si="30"/>
        <v>24/25</v>
      </c>
      <c r="F196" s="11" t="str">
        <f t="shared" si="31"/>
        <v>Dec</v>
      </c>
      <c r="G196" s="11" t="str">
        <f t="shared" si="32"/>
        <v>Dec'24/25</v>
      </c>
      <c r="H196" s="11" t="str">
        <f t="shared" si="33"/>
        <v>Dec'24/25</v>
      </c>
      <c r="I196" s="11">
        <f t="shared" si="34"/>
        <v>12.272</v>
      </c>
    </row>
    <row r="197" spans="2:9" x14ac:dyDescent="0.55000000000000004">
      <c r="B197" s="11">
        <f t="shared" si="35"/>
        <v>11</v>
      </c>
      <c r="C197" s="11">
        <f t="shared" si="36"/>
        <v>4</v>
      </c>
      <c r="D197" s="12">
        <f t="shared" si="29"/>
        <v>1151000</v>
      </c>
      <c r="E197" s="11" t="str">
        <f t="shared" si="30"/>
        <v>24/25</v>
      </c>
      <c r="F197" s="11" t="str">
        <f t="shared" si="31"/>
        <v>Jan</v>
      </c>
      <c r="G197" s="11" t="str">
        <f t="shared" si="32"/>
        <v>Jan'24/25</v>
      </c>
      <c r="H197" s="11" t="str">
        <f t="shared" si="33"/>
        <v>Jan'24/25</v>
      </c>
      <c r="I197" s="11">
        <f t="shared" si="34"/>
        <v>12.486000000000001</v>
      </c>
    </row>
    <row r="198" spans="2:9" x14ac:dyDescent="0.55000000000000004">
      <c r="B198" s="11">
        <f t="shared" si="35"/>
        <v>11</v>
      </c>
      <c r="C198" s="11">
        <f t="shared" si="36"/>
        <v>5</v>
      </c>
      <c r="D198" s="12">
        <f t="shared" si="29"/>
        <v>1187000</v>
      </c>
      <c r="E198" s="11" t="str">
        <f t="shared" si="30"/>
        <v>24/25</v>
      </c>
      <c r="F198" s="11" t="str">
        <f t="shared" si="31"/>
        <v>Feb</v>
      </c>
      <c r="G198" s="11" t="str">
        <f t="shared" si="32"/>
        <v>Feb'24/25</v>
      </c>
      <c r="H198" s="11" t="str">
        <f t="shared" si="33"/>
        <v>Feb'24/25</v>
      </c>
      <c r="I198" s="11">
        <f t="shared" si="34"/>
        <v>12.627000000000001</v>
      </c>
    </row>
    <row r="199" spans="2:9" x14ac:dyDescent="0.55000000000000004">
      <c r="B199" s="11">
        <f t="shared" si="35"/>
        <v>11</v>
      </c>
      <c r="C199" s="11">
        <f t="shared" si="36"/>
        <v>6</v>
      </c>
      <c r="D199" s="12">
        <f t="shared" si="29"/>
        <v>1268000</v>
      </c>
      <c r="E199" s="11" t="str">
        <f t="shared" si="30"/>
        <v>24/25</v>
      </c>
      <c r="F199" s="11" t="str">
        <f t="shared" si="31"/>
        <v>Mar</v>
      </c>
      <c r="G199" s="11" t="str">
        <f t="shared" si="32"/>
        <v>Mar'24/25</v>
      </c>
      <c r="H199" s="11" t="str">
        <f t="shared" si="33"/>
        <v>Mar'24/25</v>
      </c>
      <c r="I199" s="11">
        <f t="shared" si="34"/>
        <v>12.885</v>
      </c>
    </row>
    <row r="200" spans="2:9" x14ac:dyDescent="0.55000000000000004">
      <c r="B200" s="11">
        <f t="shared" si="35"/>
        <v>11</v>
      </c>
      <c r="C200" s="11">
        <f t="shared" si="36"/>
        <v>7</v>
      </c>
      <c r="D200" s="12">
        <f t="shared" si="29"/>
        <v>796000</v>
      </c>
      <c r="E200" s="11" t="str">
        <f t="shared" si="30"/>
        <v>24/25</v>
      </c>
      <c r="F200" s="11" t="str">
        <f t="shared" si="31"/>
        <v>Apr</v>
      </c>
      <c r="G200" s="11" t="str">
        <f t="shared" si="32"/>
        <v>Apr'24/25</v>
      </c>
      <c r="H200" s="11" t="str">
        <f t="shared" si="33"/>
        <v>Apr'24/25</v>
      </c>
      <c r="I200" s="11">
        <f t="shared" si="34"/>
        <v>12.888999999999999</v>
      </c>
    </row>
    <row r="201" spans="2:9" x14ac:dyDescent="0.55000000000000004">
      <c r="B201" s="11">
        <f t="shared" si="35"/>
        <v>11</v>
      </c>
      <c r="C201" s="11">
        <f t="shared" si="36"/>
        <v>8</v>
      </c>
      <c r="D201" s="12">
        <f t="shared" si="29"/>
        <v>910000</v>
      </c>
      <c r="E201" s="11" t="str">
        <f t="shared" si="30"/>
        <v>24/25</v>
      </c>
      <c r="F201" s="11" t="str">
        <f t="shared" si="31"/>
        <v>May</v>
      </c>
      <c r="G201" s="11" t="str">
        <f t="shared" si="32"/>
        <v>May'24/25</v>
      </c>
      <c r="H201" s="11" t="str">
        <f t="shared" si="33"/>
        <v>May'24/25</v>
      </c>
      <c r="I201" s="11">
        <f t="shared" si="34"/>
        <v>12.864000000000001</v>
      </c>
    </row>
    <row r="202" spans="2:9" x14ac:dyDescent="0.55000000000000004">
      <c r="B202" s="11">
        <f t="shared" si="35"/>
        <v>11</v>
      </c>
      <c r="C202" s="11">
        <f t="shared" si="36"/>
        <v>9</v>
      </c>
      <c r="D202" s="12">
        <f t="shared" si="29"/>
        <v>1086000</v>
      </c>
      <c r="E202" s="11" t="str">
        <f t="shared" si="30"/>
        <v>24/25</v>
      </c>
      <c r="F202" s="11" t="str">
        <f t="shared" si="31"/>
        <v>Jun</v>
      </c>
      <c r="G202" s="11" t="str">
        <f t="shared" si="32"/>
        <v>Jun'24/25</v>
      </c>
      <c r="H202" s="11" t="str">
        <f t="shared" si="33"/>
        <v>Jun'24/25</v>
      </c>
      <c r="I202" s="11">
        <f t="shared" si="34"/>
        <v>12.923999999999999</v>
      </c>
    </row>
    <row r="203" spans="2:9" x14ac:dyDescent="0.55000000000000004">
      <c r="B203" s="11">
        <f t="shared" si="35"/>
        <v>11</v>
      </c>
      <c r="C203" s="11">
        <f t="shared" si="36"/>
        <v>10</v>
      </c>
      <c r="D203" s="12">
        <f t="shared" ref="D203:D229" si="37">INDEX($C$7:$N$19,MATCH(B203,$A$7:$A$19),MATCH(C203,$C$4:$N$4))</f>
        <v>1170000</v>
      </c>
      <c r="E203" s="11" t="str">
        <f t="shared" ref="E203:E229" si="38">_xlfn.XLOOKUP(B203,$A$7:$A$19,$B$7:$B$19)</f>
        <v>24/25</v>
      </c>
      <c r="F203" s="11" t="str">
        <f t="shared" ref="F203:F229" si="39">_xlfn.XLOOKUP(C203,$C$4:$N$4,$C$6:$N$6)</f>
        <v>Jul</v>
      </c>
      <c r="G203" s="11" t="str">
        <f t="shared" ref="G203:G229" si="40">_xlfn.CONCAT(F203,"'",E203)</f>
        <v>Jul'24/25</v>
      </c>
      <c r="H203" s="11" t="str">
        <f t="shared" si="33"/>
        <v>Jul'24/25</v>
      </c>
      <c r="I203" s="11">
        <f t="shared" si="34"/>
        <v>13.093999999999999</v>
      </c>
    </row>
    <row r="204" spans="2:9" x14ac:dyDescent="0.55000000000000004">
      <c r="B204" s="11">
        <f t="shared" si="35"/>
        <v>11</v>
      </c>
      <c r="C204" s="11">
        <f t="shared" si="36"/>
        <v>11</v>
      </c>
      <c r="D204" s="12">
        <f t="shared" si="37"/>
        <v>1172838.8888888888</v>
      </c>
      <c r="E204" s="11" t="str">
        <f t="shared" si="38"/>
        <v>24/25</v>
      </c>
      <c r="F204" s="11" t="str">
        <f t="shared" si="39"/>
        <v>Aug</v>
      </c>
      <c r="G204" s="11" t="str">
        <f t="shared" si="40"/>
        <v>Aug'24/25</v>
      </c>
      <c r="H204" s="11" t="str">
        <f t="shared" si="33"/>
        <v>Aug'24/25</v>
      </c>
      <c r="I204" s="11">
        <f t="shared" si="34"/>
        <v>13.245838888888889</v>
      </c>
    </row>
    <row r="205" spans="2:9" x14ac:dyDescent="0.55000000000000004">
      <c r="B205" s="11">
        <f t="shared" si="35"/>
        <v>11</v>
      </c>
      <c r="C205" s="11">
        <f t="shared" si="36"/>
        <v>12</v>
      </c>
      <c r="D205" s="12">
        <f t="shared" si="37"/>
        <v>1063000</v>
      </c>
      <c r="E205" s="11" t="str">
        <f t="shared" si="38"/>
        <v>24/25</v>
      </c>
      <c r="F205" s="11" t="str">
        <f t="shared" si="39"/>
        <v>Sep</v>
      </c>
      <c r="G205" s="11" t="str">
        <f t="shared" si="40"/>
        <v>Sep'24/25</v>
      </c>
      <c r="H205" s="11" t="str">
        <f t="shared" si="33"/>
        <v>Sep'24/25</v>
      </c>
      <c r="I205" s="11">
        <f t="shared" si="34"/>
        <v>13.321838888888887</v>
      </c>
    </row>
    <row r="206" spans="2:9" x14ac:dyDescent="0.55000000000000004">
      <c r="B206" s="11">
        <f t="shared" si="35"/>
        <v>12</v>
      </c>
      <c r="C206" s="11">
        <f t="shared" si="36"/>
        <v>1</v>
      </c>
      <c r="D206" s="12">
        <f t="shared" si="37"/>
        <v>1042000</v>
      </c>
      <c r="E206" s="11" t="str">
        <f t="shared" si="38"/>
        <v>25/26</v>
      </c>
      <c r="F206" s="11" t="str">
        <f t="shared" si="39"/>
        <v>Oct</v>
      </c>
      <c r="G206" s="11" t="str">
        <f t="shared" si="40"/>
        <v>Oct'25/26</v>
      </c>
      <c r="H206" s="11" t="str">
        <f t="shared" si="33"/>
        <v>Oct'25/26</v>
      </c>
      <c r="I206" s="11">
        <f t="shared" si="34"/>
        <v>13.316838888888888</v>
      </c>
    </row>
    <row r="207" spans="2:9" x14ac:dyDescent="0.55000000000000004">
      <c r="B207" s="11">
        <f t="shared" si="35"/>
        <v>12</v>
      </c>
      <c r="C207" s="11">
        <f t="shared" si="36"/>
        <v>2</v>
      </c>
      <c r="D207" s="12">
        <f t="shared" si="37"/>
        <v>1268000</v>
      </c>
      <c r="E207" s="11" t="str">
        <f t="shared" si="38"/>
        <v>25/26</v>
      </c>
      <c r="F207" s="11" t="str">
        <f t="shared" si="39"/>
        <v>Nov</v>
      </c>
      <c r="G207" s="11" t="str">
        <f t="shared" si="40"/>
        <v>Nov'25/26</v>
      </c>
      <c r="H207" s="11" t="str">
        <f t="shared" si="33"/>
        <v>Nov'25/26</v>
      </c>
      <c r="I207" s="11">
        <f t="shared" si="34"/>
        <v>13.395838888888887</v>
      </c>
    </row>
    <row r="208" spans="2:9" x14ac:dyDescent="0.55000000000000004">
      <c r="B208" s="11">
        <f t="shared" si="35"/>
        <v>12</v>
      </c>
      <c r="C208" s="11">
        <f t="shared" si="36"/>
        <v>3</v>
      </c>
      <c r="D208" s="12">
        <f t="shared" si="37"/>
        <v>1078000</v>
      </c>
      <c r="E208" s="11" t="str">
        <f t="shared" si="38"/>
        <v>25/26</v>
      </c>
      <c r="F208" s="11" t="str">
        <f t="shared" si="39"/>
        <v>Dec</v>
      </c>
      <c r="G208" s="11" t="str">
        <f t="shared" si="40"/>
        <v>Dec'25/26</v>
      </c>
      <c r="H208" s="11" t="str">
        <f t="shared" si="33"/>
        <v>Dec'25/26</v>
      </c>
      <c r="I208" s="11">
        <f t="shared" si="34"/>
        <v>13.191838888888888</v>
      </c>
    </row>
    <row r="209" spans="2:9" x14ac:dyDescent="0.55000000000000004">
      <c r="B209" s="11">
        <f t="shared" si="35"/>
        <v>12</v>
      </c>
      <c r="C209" s="11">
        <f t="shared" si="36"/>
        <v>4</v>
      </c>
      <c r="D209" s="12">
        <f t="shared" si="37"/>
        <v>910000</v>
      </c>
      <c r="E209" s="11" t="str">
        <f t="shared" si="38"/>
        <v>25/26</v>
      </c>
      <c r="F209" s="11" t="str">
        <f t="shared" si="39"/>
        <v>Jan</v>
      </c>
      <c r="G209" s="11" t="str">
        <f t="shared" si="40"/>
        <v>Jan'25/26</v>
      </c>
      <c r="H209" s="11" t="str">
        <f t="shared" si="33"/>
        <v>Jan'25/26</v>
      </c>
      <c r="I209" s="11">
        <f t="shared" si="34"/>
        <v>12.950838888888889</v>
      </c>
    </row>
    <row r="210" spans="2:9" x14ac:dyDescent="0.55000000000000004">
      <c r="B210" s="11">
        <f t="shared" si="35"/>
        <v>12</v>
      </c>
      <c r="C210" s="11">
        <f t="shared" si="36"/>
        <v>5</v>
      </c>
      <c r="D210" s="12">
        <f t="shared" si="37"/>
        <v>807000</v>
      </c>
      <c r="E210" s="11" t="str">
        <f t="shared" si="38"/>
        <v>25/26</v>
      </c>
      <c r="F210" s="11" t="str">
        <f t="shared" si="39"/>
        <v>Feb</v>
      </c>
      <c r="G210" s="11" t="str">
        <f t="shared" si="40"/>
        <v>Feb'25/26</v>
      </c>
      <c r="H210" s="11" t="str">
        <f t="shared" si="33"/>
        <v>Feb'25/26</v>
      </c>
      <c r="I210" s="11">
        <f t="shared" si="34"/>
        <v>12.570838888888888</v>
      </c>
    </row>
    <row r="211" spans="2:9" x14ac:dyDescent="0.55000000000000004">
      <c r="B211" s="11">
        <f t="shared" si="35"/>
        <v>12</v>
      </c>
      <c r="C211" s="11">
        <f t="shared" si="36"/>
        <v>6</v>
      </c>
      <c r="D211" s="12">
        <f t="shared" si="37"/>
        <v>843000</v>
      </c>
      <c r="E211" s="11" t="str">
        <f t="shared" si="38"/>
        <v>25/26</v>
      </c>
      <c r="F211" s="11" t="str">
        <f t="shared" si="39"/>
        <v>Mar</v>
      </c>
      <c r="G211" s="11" t="str">
        <f t="shared" si="40"/>
        <v>Mar'25/26</v>
      </c>
      <c r="H211" s="11" t="str">
        <f t="shared" si="33"/>
        <v>Mar'25/26</v>
      </c>
      <c r="I211" s="11">
        <f t="shared" si="34"/>
        <v>12.145838888888887</v>
      </c>
    </row>
    <row r="212" spans="2:9" x14ac:dyDescent="0.55000000000000004">
      <c r="B212" s="11">
        <f t="shared" si="35"/>
        <v>12</v>
      </c>
      <c r="C212" s="11">
        <f t="shared" si="36"/>
        <v>7</v>
      </c>
      <c r="D212" s="12">
        <f t="shared" si="37"/>
        <v>682000</v>
      </c>
      <c r="E212" s="11" t="str">
        <f t="shared" si="38"/>
        <v>25/26</v>
      </c>
      <c r="F212" s="11" t="str">
        <f t="shared" si="39"/>
        <v>Apr</v>
      </c>
      <c r="G212" s="11" t="str">
        <f t="shared" si="40"/>
        <v>Apr'25/26</v>
      </c>
      <c r="H212" s="11" t="str">
        <f t="shared" si="33"/>
        <v>Apr'25/26</v>
      </c>
      <c r="I212" s="11">
        <f t="shared" si="34"/>
        <v>12.031838888888888</v>
      </c>
    </row>
    <row r="213" spans="2:9" x14ac:dyDescent="0.55000000000000004">
      <c r="B213" s="11">
        <f t="shared" si="35"/>
        <v>12</v>
      </c>
      <c r="C213" s="11">
        <f t="shared" si="36"/>
        <v>8</v>
      </c>
      <c r="D213" s="12">
        <f t="shared" si="37"/>
        <v>894000</v>
      </c>
      <c r="E213" s="11" t="str">
        <f t="shared" si="38"/>
        <v>25/26</v>
      </c>
      <c r="F213" s="11" t="str">
        <f t="shared" si="39"/>
        <v>May</v>
      </c>
      <c r="G213" s="11" t="str">
        <f t="shared" si="40"/>
        <v>May'25/26</v>
      </c>
      <c r="H213" s="11" t="str">
        <f t="shared" si="33"/>
        <v>May'25/26</v>
      </c>
      <c r="I213" s="11">
        <f t="shared" si="34"/>
        <v>12.015838888888888</v>
      </c>
    </row>
    <row r="214" spans="2:9" x14ac:dyDescent="0.55000000000000004">
      <c r="B214" s="11">
        <f t="shared" si="35"/>
        <v>12</v>
      </c>
      <c r="C214" s="11">
        <f t="shared" si="36"/>
        <v>9</v>
      </c>
      <c r="D214" s="12">
        <f t="shared" si="37"/>
        <v>1094000</v>
      </c>
      <c r="E214" s="11" t="str">
        <f t="shared" si="38"/>
        <v>25/26</v>
      </c>
      <c r="F214" s="11" t="str">
        <f t="shared" si="39"/>
        <v>Jun</v>
      </c>
      <c r="G214" s="11" t="str">
        <f t="shared" si="40"/>
        <v>Jun'25/26</v>
      </c>
      <c r="H214" s="11" t="str">
        <f t="shared" ref="H214:H229" si="41">G214</f>
        <v>Jun'25/26</v>
      </c>
      <c r="I214" s="11">
        <f t="shared" ref="I214:I229" si="42">SUM(D203:D214)/1000000</f>
        <v>12.023838888888887</v>
      </c>
    </row>
    <row r="215" spans="2:9" x14ac:dyDescent="0.55000000000000004">
      <c r="B215" s="11">
        <f t="shared" ref="B215:B229" si="43">B203+1</f>
        <v>12</v>
      </c>
      <c r="C215" s="11">
        <f t="shared" ref="C215:C229" si="44">C203</f>
        <v>10</v>
      </c>
      <c r="D215" s="12">
        <f t="shared" si="37"/>
        <v>992000</v>
      </c>
      <c r="E215" s="11" t="str">
        <f t="shared" si="38"/>
        <v>25/26</v>
      </c>
      <c r="F215" s="11" t="str">
        <f t="shared" si="39"/>
        <v>Jul</v>
      </c>
      <c r="G215" s="11" t="str">
        <f t="shared" si="40"/>
        <v>Jul'25/26</v>
      </c>
      <c r="H215" s="11" t="str">
        <f t="shared" si="41"/>
        <v>Jul'25/26</v>
      </c>
      <c r="I215" s="11">
        <f t="shared" si="42"/>
        <v>11.845838888888888</v>
      </c>
    </row>
    <row r="216" spans="2:9" x14ac:dyDescent="0.55000000000000004">
      <c r="B216" s="11">
        <f t="shared" si="43"/>
        <v>12</v>
      </c>
      <c r="C216" s="11">
        <f t="shared" si="44"/>
        <v>11</v>
      </c>
      <c r="D216" s="12">
        <f t="shared" si="37"/>
        <v>1055555</v>
      </c>
      <c r="E216" s="11" t="str">
        <f t="shared" si="38"/>
        <v>25/26</v>
      </c>
      <c r="F216" s="11" t="str">
        <f t="shared" si="39"/>
        <v>Aug</v>
      </c>
      <c r="G216" s="11" t="str">
        <f t="shared" si="40"/>
        <v>Aug'25/26</v>
      </c>
      <c r="H216" s="11" t="str">
        <f t="shared" si="41"/>
        <v>Aug'25/26</v>
      </c>
      <c r="I216" s="11">
        <f t="shared" si="42"/>
        <v>11.728555</v>
      </c>
    </row>
    <row r="217" spans="2:9" x14ac:dyDescent="0.55000000000000004">
      <c r="B217" s="11">
        <f t="shared" si="43"/>
        <v>12</v>
      </c>
      <c r="C217" s="11">
        <f t="shared" si="44"/>
        <v>12</v>
      </c>
      <c r="D217" s="12" t="e">
        <f t="shared" si="37"/>
        <v>#N/A</v>
      </c>
      <c r="E217" s="11" t="str">
        <f t="shared" si="38"/>
        <v>25/26</v>
      </c>
      <c r="F217" s="11" t="str">
        <f t="shared" si="39"/>
        <v>Sep</v>
      </c>
      <c r="G217" s="11" t="str">
        <f t="shared" si="40"/>
        <v>Sep'25/26</v>
      </c>
      <c r="H217" s="11" t="str">
        <f t="shared" si="41"/>
        <v>Sep'25/26</v>
      </c>
      <c r="I217" s="11" t="e">
        <f t="shared" si="42"/>
        <v>#N/A</v>
      </c>
    </row>
    <row r="218" spans="2:9" x14ac:dyDescent="0.55000000000000004">
      <c r="B218" s="11">
        <f t="shared" si="43"/>
        <v>13</v>
      </c>
      <c r="C218" s="11">
        <f t="shared" si="44"/>
        <v>1</v>
      </c>
      <c r="D218" s="12" t="e">
        <f t="shared" si="37"/>
        <v>#N/A</v>
      </c>
      <c r="E218" s="11" t="str">
        <f t="shared" si="38"/>
        <v>26/27</v>
      </c>
      <c r="F218" s="11" t="str">
        <f t="shared" si="39"/>
        <v>Oct</v>
      </c>
      <c r="G218" s="11" t="str">
        <f t="shared" si="40"/>
        <v>Oct'26/27</v>
      </c>
      <c r="H218" s="11" t="str">
        <f t="shared" si="41"/>
        <v>Oct'26/27</v>
      </c>
      <c r="I218" s="11" t="e">
        <f t="shared" si="42"/>
        <v>#N/A</v>
      </c>
    </row>
    <row r="219" spans="2:9" x14ac:dyDescent="0.55000000000000004">
      <c r="B219" s="11">
        <f t="shared" si="43"/>
        <v>13</v>
      </c>
      <c r="C219" s="11">
        <f t="shared" si="44"/>
        <v>2</v>
      </c>
      <c r="D219" s="12" t="e">
        <f t="shared" si="37"/>
        <v>#N/A</v>
      </c>
      <c r="E219" s="11" t="str">
        <f t="shared" si="38"/>
        <v>26/27</v>
      </c>
      <c r="F219" s="11" t="str">
        <f t="shared" si="39"/>
        <v>Nov</v>
      </c>
      <c r="G219" s="11" t="str">
        <f t="shared" si="40"/>
        <v>Nov'26/27</v>
      </c>
      <c r="H219" s="11" t="str">
        <f t="shared" si="41"/>
        <v>Nov'26/27</v>
      </c>
      <c r="I219" s="11" t="e">
        <f t="shared" si="42"/>
        <v>#N/A</v>
      </c>
    </row>
    <row r="220" spans="2:9" x14ac:dyDescent="0.55000000000000004">
      <c r="B220" s="11">
        <f t="shared" si="43"/>
        <v>13</v>
      </c>
      <c r="C220" s="11">
        <f t="shared" si="44"/>
        <v>3</v>
      </c>
      <c r="D220" s="12" t="e">
        <f t="shared" si="37"/>
        <v>#N/A</v>
      </c>
      <c r="E220" s="11" t="str">
        <f t="shared" si="38"/>
        <v>26/27</v>
      </c>
      <c r="F220" s="11" t="str">
        <f t="shared" si="39"/>
        <v>Dec</v>
      </c>
      <c r="G220" s="11" t="str">
        <f t="shared" si="40"/>
        <v>Dec'26/27</v>
      </c>
      <c r="H220" s="11" t="str">
        <f t="shared" si="41"/>
        <v>Dec'26/27</v>
      </c>
      <c r="I220" s="11" t="e">
        <f t="shared" si="42"/>
        <v>#N/A</v>
      </c>
    </row>
    <row r="221" spans="2:9" x14ac:dyDescent="0.55000000000000004">
      <c r="B221" s="11">
        <f t="shared" si="43"/>
        <v>13</v>
      </c>
      <c r="C221" s="11">
        <f t="shared" si="44"/>
        <v>4</v>
      </c>
      <c r="D221" s="12" t="e">
        <f t="shared" si="37"/>
        <v>#N/A</v>
      </c>
      <c r="E221" s="11" t="str">
        <f t="shared" si="38"/>
        <v>26/27</v>
      </c>
      <c r="F221" s="11" t="str">
        <f t="shared" si="39"/>
        <v>Jan</v>
      </c>
      <c r="G221" s="11" t="str">
        <f t="shared" si="40"/>
        <v>Jan'26/27</v>
      </c>
      <c r="H221" s="11" t="str">
        <f t="shared" si="41"/>
        <v>Jan'26/27</v>
      </c>
      <c r="I221" s="11" t="e">
        <f t="shared" si="42"/>
        <v>#N/A</v>
      </c>
    </row>
    <row r="222" spans="2:9" x14ac:dyDescent="0.55000000000000004">
      <c r="B222" s="11">
        <f t="shared" si="43"/>
        <v>13</v>
      </c>
      <c r="C222" s="11">
        <f t="shared" si="44"/>
        <v>5</v>
      </c>
      <c r="D222" s="12" t="e">
        <f t="shared" si="37"/>
        <v>#N/A</v>
      </c>
      <c r="E222" s="11" t="str">
        <f t="shared" si="38"/>
        <v>26/27</v>
      </c>
      <c r="F222" s="11" t="str">
        <f t="shared" si="39"/>
        <v>Feb</v>
      </c>
      <c r="G222" s="11" t="str">
        <f t="shared" si="40"/>
        <v>Feb'26/27</v>
      </c>
      <c r="H222" s="11" t="str">
        <f t="shared" si="41"/>
        <v>Feb'26/27</v>
      </c>
      <c r="I222" s="11" t="e">
        <f t="shared" si="42"/>
        <v>#N/A</v>
      </c>
    </row>
    <row r="223" spans="2:9" x14ac:dyDescent="0.55000000000000004">
      <c r="B223" s="11">
        <f t="shared" si="43"/>
        <v>13</v>
      </c>
      <c r="C223" s="11">
        <f t="shared" si="44"/>
        <v>6</v>
      </c>
      <c r="D223" s="12" t="e">
        <f t="shared" si="37"/>
        <v>#N/A</v>
      </c>
      <c r="E223" s="11" t="str">
        <f t="shared" si="38"/>
        <v>26/27</v>
      </c>
      <c r="F223" s="11" t="str">
        <f t="shared" si="39"/>
        <v>Mar</v>
      </c>
      <c r="G223" s="11" t="str">
        <f t="shared" si="40"/>
        <v>Mar'26/27</v>
      </c>
      <c r="H223" s="11" t="str">
        <f t="shared" si="41"/>
        <v>Mar'26/27</v>
      </c>
      <c r="I223" s="11" t="e">
        <f t="shared" si="42"/>
        <v>#N/A</v>
      </c>
    </row>
    <row r="224" spans="2:9" x14ac:dyDescent="0.55000000000000004">
      <c r="B224" s="11">
        <f t="shared" si="43"/>
        <v>13</v>
      </c>
      <c r="C224" s="11">
        <f t="shared" si="44"/>
        <v>7</v>
      </c>
      <c r="D224" s="12" t="e">
        <f t="shared" si="37"/>
        <v>#N/A</v>
      </c>
      <c r="E224" s="11" t="str">
        <f t="shared" si="38"/>
        <v>26/27</v>
      </c>
      <c r="F224" s="11" t="str">
        <f t="shared" si="39"/>
        <v>Apr</v>
      </c>
      <c r="G224" s="11" t="str">
        <f t="shared" si="40"/>
        <v>Apr'26/27</v>
      </c>
      <c r="H224" s="11" t="str">
        <f t="shared" si="41"/>
        <v>Apr'26/27</v>
      </c>
      <c r="I224" s="11" t="e">
        <f t="shared" si="42"/>
        <v>#N/A</v>
      </c>
    </row>
    <row r="225" spans="2:9" x14ac:dyDescent="0.55000000000000004">
      <c r="B225" s="11">
        <f t="shared" si="43"/>
        <v>13</v>
      </c>
      <c r="C225" s="11">
        <f t="shared" si="44"/>
        <v>8</v>
      </c>
      <c r="D225" s="12" t="e">
        <f t="shared" si="37"/>
        <v>#N/A</v>
      </c>
      <c r="E225" s="11" t="str">
        <f t="shared" si="38"/>
        <v>26/27</v>
      </c>
      <c r="F225" s="11" t="str">
        <f t="shared" si="39"/>
        <v>May</v>
      </c>
      <c r="G225" s="11" t="str">
        <f t="shared" si="40"/>
        <v>May'26/27</v>
      </c>
      <c r="H225" s="11" t="str">
        <f t="shared" si="41"/>
        <v>May'26/27</v>
      </c>
      <c r="I225" s="11" t="e">
        <f t="shared" si="42"/>
        <v>#N/A</v>
      </c>
    </row>
    <row r="226" spans="2:9" x14ac:dyDescent="0.55000000000000004">
      <c r="B226" s="11">
        <f t="shared" si="43"/>
        <v>13</v>
      </c>
      <c r="C226" s="11">
        <f t="shared" si="44"/>
        <v>9</v>
      </c>
      <c r="D226" s="12" t="e">
        <f t="shared" si="37"/>
        <v>#N/A</v>
      </c>
      <c r="E226" s="11" t="str">
        <f t="shared" si="38"/>
        <v>26/27</v>
      </c>
      <c r="F226" s="11" t="str">
        <f t="shared" si="39"/>
        <v>Jun</v>
      </c>
      <c r="G226" s="11" t="str">
        <f t="shared" si="40"/>
        <v>Jun'26/27</v>
      </c>
      <c r="H226" s="11" t="str">
        <f t="shared" si="41"/>
        <v>Jun'26/27</v>
      </c>
      <c r="I226" s="11" t="e">
        <f t="shared" si="42"/>
        <v>#N/A</v>
      </c>
    </row>
    <row r="227" spans="2:9" x14ac:dyDescent="0.55000000000000004">
      <c r="B227" s="11">
        <f t="shared" si="43"/>
        <v>13</v>
      </c>
      <c r="C227" s="11">
        <f t="shared" si="44"/>
        <v>10</v>
      </c>
      <c r="D227" s="12" t="e">
        <f t="shared" si="37"/>
        <v>#N/A</v>
      </c>
      <c r="E227" s="11" t="str">
        <f t="shared" si="38"/>
        <v>26/27</v>
      </c>
      <c r="F227" s="11" t="str">
        <f t="shared" si="39"/>
        <v>Jul</v>
      </c>
      <c r="G227" s="11" t="str">
        <f t="shared" si="40"/>
        <v>Jul'26/27</v>
      </c>
      <c r="H227" s="11" t="str">
        <f t="shared" si="41"/>
        <v>Jul'26/27</v>
      </c>
      <c r="I227" s="11" t="e">
        <f t="shared" si="42"/>
        <v>#N/A</v>
      </c>
    </row>
    <row r="228" spans="2:9" x14ac:dyDescent="0.55000000000000004">
      <c r="B228" s="11">
        <f t="shared" si="43"/>
        <v>13</v>
      </c>
      <c r="C228" s="11">
        <f t="shared" si="44"/>
        <v>11</v>
      </c>
      <c r="D228" s="12" t="e">
        <f t="shared" si="37"/>
        <v>#N/A</v>
      </c>
      <c r="E228" s="11" t="str">
        <f t="shared" si="38"/>
        <v>26/27</v>
      </c>
      <c r="F228" s="11" t="str">
        <f t="shared" si="39"/>
        <v>Aug</v>
      </c>
      <c r="G228" s="11" t="str">
        <f t="shared" si="40"/>
        <v>Aug'26/27</v>
      </c>
      <c r="H228" s="11" t="str">
        <f t="shared" si="41"/>
        <v>Aug'26/27</v>
      </c>
      <c r="I228" s="11" t="e">
        <f t="shared" si="42"/>
        <v>#N/A</v>
      </c>
    </row>
    <row r="229" spans="2:9" x14ac:dyDescent="0.55000000000000004">
      <c r="B229" s="11">
        <f t="shared" si="43"/>
        <v>13</v>
      </c>
      <c r="C229" s="11">
        <f t="shared" si="44"/>
        <v>12</v>
      </c>
      <c r="D229" s="12" t="e">
        <f t="shared" si="37"/>
        <v>#N/A</v>
      </c>
      <c r="E229" s="11" t="str">
        <f t="shared" si="38"/>
        <v>26/27</v>
      </c>
      <c r="F229" s="11" t="str">
        <f t="shared" si="39"/>
        <v>Sep</v>
      </c>
      <c r="G229" s="11" t="str">
        <f t="shared" si="40"/>
        <v>Sep'26/27</v>
      </c>
      <c r="H229" s="11" t="str">
        <f t="shared" si="41"/>
        <v>Sep'26/27</v>
      </c>
      <c r="I229" s="11" t="e">
        <f t="shared" si="42"/>
        <v>#N/A</v>
      </c>
    </row>
  </sheetData>
  <mergeCells count="4">
    <mergeCell ref="A1:Y2"/>
    <mergeCell ref="C5:N5"/>
    <mergeCell ref="S6:U6"/>
    <mergeCell ref="N74:Y74"/>
  </mergeCells>
  <conditionalFormatting sqref="C7:N19">
    <cfRule type="cellIs" dxfId="13" priority="1" operator="greaterThanOrEqual">
      <formula>0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{B56BB6F0-5A86-4297-BA86-7E4C2B79CD40}</x14:id>
        </ext>
      </extLst>
    </cfRule>
  </conditionalFormatting>
  <conditionalFormatting sqref="Q17:Q1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{757D53E9-B884-4B01-8517-7E179FEAF176}</x14:id>
        </ext>
      </extLst>
    </cfRule>
  </conditionalFormatting>
  <conditionalFormatting sqref="T7:T1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{4CAEBA59-1FC5-4A33-B24A-2925B18DD5DE}</x14:id>
        </ext>
      </extLst>
    </cfRule>
  </conditionalFormatting>
  <conditionalFormatting sqref="U1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{E2D9D225-E192-4931-8DE6-ECCA4E41C0E0}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6BB6F0-5A86-4297-BA86-7E4C2B79CD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Q8:Q16</xm:sqref>
        </x14:conditionalFormatting>
        <x14:conditionalFormatting xmlns:xm="http://schemas.microsoft.com/office/excel/2006/main">
          <x14:cfRule type="dataBar" id="{757D53E9-B884-4B01-8517-7E179FEAF1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Q17:Q19</xm:sqref>
        </x14:conditionalFormatting>
        <x14:conditionalFormatting xmlns:xm="http://schemas.microsoft.com/office/excel/2006/main">
          <x14:cfRule type="dataBar" id="{4CAEBA59-1FC5-4A33-B24A-2925B18DD5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E2D9D225-E192-4931-8DE6-ECCA4E41C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D946-55E1-4785-A768-DB40B7E08BD2}">
  <sheetPr codeName="Sheet4"/>
  <dimension ref="A1:AI229"/>
  <sheetViews>
    <sheetView showGridLines="0" zoomScale="70" zoomScaleNormal="70" workbookViewId="0">
      <selection activeCell="B6" sqref="B6:N18"/>
    </sheetView>
  </sheetViews>
  <sheetFormatPr defaultColWidth="8.83984375" defaultRowHeight="14.4" x14ac:dyDescent="0.55000000000000004"/>
  <cols>
    <col min="1" max="1" width="8.83984375" style="11"/>
    <col min="2" max="2" width="8.83984375" style="11" customWidth="1"/>
    <col min="3" max="11" width="8.83984375" style="11"/>
    <col min="12" max="12" width="9.578125" style="11" bestFit="1" customWidth="1"/>
    <col min="13" max="15" width="8.83984375" style="11"/>
    <col min="16" max="16" width="11.41796875" style="11" customWidth="1"/>
    <col min="17" max="17" width="10.83984375" style="11" bestFit="1" customWidth="1"/>
    <col min="18" max="24" width="8.83984375" style="11"/>
    <col min="25" max="25" width="12.26171875" style="11" bestFit="1" customWidth="1"/>
    <col min="26" max="26" width="10.83984375" style="11" bestFit="1" customWidth="1"/>
    <col min="27" max="27" width="16" style="11" customWidth="1"/>
    <col min="28" max="28" width="11.15625" style="11" bestFit="1" customWidth="1"/>
    <col min="29" max="16384" width="8.83984375" style="11"/>
  </cols>
  <sheetData>
    <row r="1" spans="1:35" s="17" customFormat="1" ht="25.8" x14ac:dyDescent="0.55000000000000004">
      <c r="A1" s="73" t="s">
        <v>46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Oct-Aug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Honduras : Arabica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Oct-Aug</v>
      </c>
      <c r="T6" s="75"/>
      <c r="U6" s="75"/>
    </row>
    <row r="7" spans="1:35" x14ac:dyDescent="0.55000000000000004">
      <c r="A7" s="14">
        <v>1</v>
      </c>
      <c r="B7" s="6" t="s">
        <v>15</v>
      </c>
      <c r="C7" s="21" t="e">
        <v>#N/A</v>
      </c>
      <c r="D7" s="21" t="e">
        <v>#N/A</v>
      </c>
      <c r="E7" s="21" t="e">
        <v>#N/A</v>
      </c>
      <c r="F7" s="21" t="e">
        <v>#N/A</v>
      </c>
      <c r="G7" s="21" t="e">
        <v>#N/A</v>
      </c>
      <c r="H7" s="21" t="e">
        <v>#N/A</v>
      </c>
      <c r="I7" s="21" t="e">
        <v>#N/A</v>
      </c>
      <c r="J7" s="21" t="e">
        <v>#N/A</v>
      </c>
      <c r="K7" s="21" t="e">
        <v>#N/A</v>
      </c>
      <c r="L7" s="21" t="e">
        <v>#N/A</v>
      </c>
      <c r="M7" s="21" t="e">
        <v>#N/A</v>
      </c>
      <c r="N7" s="21" t="e">
        <v>#N/A</v>
      </c>
      <c r="O7" s="6" t="s">
        <v>15</v>
      </c>
      <c r="P7" s="20" t="str">
        <f t="shared" ref="P7:P19" si="0">IF(COUNT(C7:N7)=12,SUM(C7:N7),"")</f>
        <v/>
      </c>
      <c r="Q7" s="2"/>
      <c r="R7" s="2"/>
      <c r="S7" s="6" t="s">
        <v>15</v>
      </c>
      <c r="T7" s="20"/>
      <c r="U7" s="2"/>
    </row>
    <row r="8" spans="1:35" x14ac:dyDescent="0.55000000000000004">
      <c r="A8" s="14">
        <v>2</v>
      </c>
      <c r="B8" s="6" t="s">
        <v>16</v>
      </c>
      <c r="C8" s="21" t="e">
        <v>#N/A</v>
      </c>
      <c r="D8" s="21" t="e">
        <v>#N/A</v>
      </c>
      <c r="E8" s="21" t="e">
        <v>#N/A</v>
      </c>
      <c r="F8" s="21" t="e">
        <v>#N/A</v>
      </c>
      <c r="G8" s="21" t="e">
        <v>#N/A</v>
      </c>
      <c r="H8" s="21" t="e">
        <v>#N/A</v>
      </c>
      <c r="I8" s="21" t="e">
        <v>#N/A</v>
      </c>
      <c r="J8" s="21" t="e">
        <v>#N/A</v>
      </c>
      <c r="K8" s="21" t="e">
        <v>#N/A</v>
      </c>
      <c r="L8" s="21" t="e">
        <v>#N/A</v>
      </c>
      <c r="M8" s="21" t="e">
        <v>#N/A</v>
      </c>
      <c r="N8" s="21" t="e">
        <v>#N/A</v>
      </c>
      <c r="O8" s="6" t="s">
        <v>16</v>
      </c>
      <c r="P8" s="20" t="str">
        <f t="shared" si="0"/>
        <v/>
      </c>
      <c r="Q8" s="7" t="str">
        <f t="shared" ref="Q8:Q17" si="1">IFERROR(P8/P7-1,"")</f>
        <v/>
      </c>
      <c r="R8" s="2"/>
      <c r="S8" s="6" t="s">
        <v>16</v>
      </c>
      <c r="T8" s="20"/>
      <c r="U8" s="7" t="str">
        <f t="shared" ref="U8:U18" si="2">IFERROR(T8/T7-1,"")</f>
        <v/>
      </c>
    </row>
    <row r="9" spans="1:35" x14ac:dyDescent="0.55000000000000004">
      <c r="A9" s="14">
        <v>3</v>
      </c>
      <c r="B9" s="6" t="s">
        <v>17</v>
      </c>
      <c r="C9" s="21" t="e">
        <v>#N/A</v>
      </c>
      <c r="D9" s="21" t="e">
        <v>#N/A</v>
      </c>
      <c r="E9" s="21" t="e">
        <v>#N/A</v>
      </c>
      <c r="F9" s="21" t="e">
        <v>#N/A</v>
      </c>
      <c r="G9" s="21" t="e">
        <v>#N/A</v>
      </c>
      <c r="H9" s="21" t="e">
        <v>#N/A</v>
      </c>
      <c r="I9" s="21" t="e">
        <v>#N/A</v>
      </c>
      <c r="J9" s="21" t="e">
        <v>#N/A</v>
      </c>
      <c r="K9" s="21" t="e">
        <v>#N/A</v>
      </c>
      <c r="L9" s="21" t="e">
        <v>#N/A</v>
      </c>
      <c r="M9" s="21" t="e">
        <v>#N/A</v>
      </c>
      <c r="N9" s="21" t="e">
        <v>#N/A</v>
      </c>
      <c r="O9" s="6" t="s">
        <v>17</v>
      </c>
      <c r="P9" s="20" t="str">
        <f t="shared" si="0"/>
        <v/>
      </c>
      <c r="Q9" s="7" t="str">
        <f t="shared" si="1"/>
        <v/>
      </c>
      <c r="R9" s="2"/>
      <c r="S9" s="6" t="s">
        <v>17</v>
      </c>
      <c r="T9" s="20"/>
      <c r="U9" s="7" t="str">
        <f t="shared" si="2"/>
        <v/>
      </c>
      <c r="Y9" s="43"/>
      <c r="Z9" s="44"/>
    </row>
    <row r="10" spans="1:35" x14ac:dyDescent="0.55000000000000004">
      <c r="A10" s="14">
        <v>4</v>
      </c>
      <c r="B10" s="6" t="s">
        <v>18</v>
      </c>
      <c r="C10" s="23">
        <v>52017</v>
      </c>
      <c r="D10" s="23">
        <v>165808</v>
      </c>
      <c r="E10" s="23">
        <v>422141</v>
      </c>
      <c r="F10" s="23">
        <v>887643</v>
      </c>
      <c r="G10" s="23">
        <v>963774</v>
      </c>
      <c r="H10" s="23">
        <v>856773</v>
      </c>
      <c r="I10" s="23">
        <v>804573</v>
      </c>
      <c r="J10" s="23">
        <v>747591</v>
      </c>
      <c r="K10" s="23">
        <v>856001</v>
      </c>
      <c r="L10" s="23">
        <v>688193</v>
      </c>
      <c r="M10" s="23">
        <v>473626</v>
      </c>
      <c r="N10" s="23">
        <v>296640</v>
      </c>
      <c r="O10" s="6" t="s">
        <v>18</v>
      </c>
      <c r="P10" s="20">
        <f t="shared" si="0"/>
        <v>7214780</v>
      </c>
      <c r="Q10" s="7" t="str">
        <f t="shared" si="1"/>
        <v/>
      </c>
      <c r="R10" s="2"/>
      <c r="S10" s="6" t="s">
        <v>18</v>
      </c>
      <c r="T10" s="20">
        <f ca="1">IF(SUM(OFFSET(C10,0,0,1,$C$56))=0,"",SUM(OFFSET(C10,0,0,1,$C$56)))</f>
        <v>6918140</v>
      </c>
      <c r="U10" s="7" t="str">
        <f t="shared" ca="1" si="2"/>
        <v/>
      </c>
      <c r="Y10" s="43" t="s">
        <v>110</v>
      </c>
      <c r="Z10" s="44" t="s">
        <v>111</v>
      </c>
      <c r="AA10" s="11" t="s">
        <v>112</v>
      </c>
    </row>
    <row r="11" spans="1:35" x14ac:dyDescent="0.55000000000000004">
      <c r="A11" s="14">
        <v>5</v>
      </c>
      <c r="B11" s="6" t="s">
        <v>19</v>
      </c>
      <c r="C11" s="23">
        <v>101053</v>
      </c>
      <c r="D11" s="23">
        <v>113896</v>
      </c>
      <c r="E11" s="23">
        <v>354121</v>
      </c>
      <c r="F11" s="23">
        <v>616091</v>
      </c>
      <c r="G11" s="23">
        <v>822798</v>
      </c>
      <c r="H11" s="23">
        <v>806252</v>
      </c>
      <c r="I11" s="23">
        <v>933537</v>
      </c>
      <c r="J11" s="23">
        <v>922397</v>
      </c>
      <c r="K11" s="23">
        <v>926291</v>
      </c>
      <c r="L11" s="23">
        <v>696659</v>
      </c>
      <c r="M11" s="23">
        <v>272375</v>
      </c>
      <c r="N11" s="23">
        <v>248636</v>
      </c>
      <c r="O11" s="6" t="s">
        <v>19</v>
      </c>
      <c r="P11" s="20">
        <f t="shared" si="0"/>
        <v>6814106</v>
      </c>
      <c r="Q11" s="7">
        <f t="shared" si="1"/>
        <v>-5.553516531342606E-2</v>
      </c>
      <c r="R11" s="2"/>
      <c r="S11" s="6" t="s">
        <v>19</v>
      </c>
      <c r="T11" s="20">
        <f ca="1">IF(SUM(OFFSET(C11,0,0,1,$C$56))=0,"",SUM(OFFSET(C11,0,0,1,$C$56)))</f>
        <v>6565470</v>
      </c>
      <c r="U11" s="7">
        <f t="shared" ca="1" si="2"/>
        <v>-5.0977574897299038E-2</v>
      </c>
      <c r="X11" s="11" t="str">
        <f>O11</f>
        <v>18/19</v>
      </c>
      <c r="Y11" s="43">
        <f>SUM(L10:N10,C11:K11)/1000000</f>
        <v>7.0548950000000001</v>
      </c>
      <c r="Z11" s="70">
        <v>7.4</v>
      </c>
      <c r="AA11" s="71">
        <f>Z11-Y11</f>
        <v>0.34510500000000022</v>
      </c>
    </row>
    <row r="12" spans="1:35" x14ac:dyDescent="0.55000000000000004">
      <c r="A12" s="14">
        <v>6</v>
      </c>
      <c r="B12" s="6" t="s">
        <v>20</v>
      </c>
      <c r="C12" s="23">
        <v>74980</v>
      </c>
      <c r="D12" s="23">
        <v>106823</v>
      </c>
      <c r="E12" s="23">
        <v>339952</v>
      </c>
      <c r="F12" s="23">
        <v>718886</v>
      </c>
      <c r="G12" s="23">
        <v>759009</v>
      </c>
      <c r="H12" s="23">
        <v>772693</v>
      </c>
      <c r="I12" s="23">
        <v>657091</v>
      </c>
      <c r="J12" s="23">
        <v>783271</v>
      </c>
      <c r="K12" s="23">
        <v>644726</v>
      </c>
      <c r="L12" s="23">
        <v>326817</v>
      </c>
      <c r="M12" s="23">
        <v>183584</v>
      </c>
      <c r="N12" s="23">
        <v>136492</v>
      </c>
      <c r="O12" s="6" t="s">
        <v>20</v>
      </c>
      <c r="P12" s="20">
        <f t="shared" si="0"/>
        <v>5504324</v>
      </c>
      <c r="Q12" s="7">
        <f t="shared" si="1"/>
        <v>-0.19221626431992689</v>
      </c>
      <c r="R12" s="2"/>
      <c r="S12" s="6" t="s">
        <v>20</v>
      </c>
      <c r="T12" s="20">
        <f ca="1">IF(SUM(OFFSET(C12,0,0,1,$C$56))=0,"",SUM(OFFSET(C12,0,0,1,$C$56)))</f>
        <v>5367832</v>
      </c>
      <c r="U12" s="7">
        <f t="shared" ca="1" si="2"/>
        <v>-0.18241466338281953</v>
      </c>
      <c r="X12" s="11" t="str">
        <f t="shared" ref="X12:X18" si="3">O12</f>
        <v>19/20</v>
      </c>
      <c r="Y12" s="43">
        <f t="shared" ref="Y12:Y18" si="4">SUM(L11:N11,C12:K12)/1000000</f>
        <v>6.0751010000000001</v>
      </c>
      <c r="Z12" s="70">
        <v>6.1</v>
      </c>
      <c r="AA12" s="71">
        <f>Z12-Y12</f>
        <v>2.489899999999956E-2</v>
      </c>
    </row>
    <row r="13" spans="1:35" x14ac:dyDescent="0.55000000000000004">
      <c r="A13" s="14">
        <v>7</v>
      </c>
      <c r="B13" s="6" t="s">
        <v>21</v>
      </c>
      <c r="C13" s="23">
        <v>20410</v>
      </c>
      <c r="D13" s="23">
        <v>55551</v>
      </c>
      <c r="E13" s="23">
        <v>202463</v>
      </c>
      <c r="F13" s="23">
        <v>465476</v>
      </c>
      <c r="G13" s="23">
        <v>641748</v>
      </c>
      <c r="H13" s="23">
        <v>807506</v>
      </c>
      <c r="I13" s="23">
        <v>749880</v>
      </c>
      <c r="J13" s="23">
        <v>833453</v>
      </c>
      <c r="K13" s="23">
        <v>782150</v>
      </c>
      <c r="L13" s="23">
        <v>661437</v>
      </c>
      <c r="M13" s="23">
        <v>418075</v>
      </c>
      <c r="N13" s="23">
        <v>235050</v>
      </c>
      <c r="O13" s="6" t="s">
        <v>21</v>
      </c>
      <c r="P13" s="20">
        <f t="shared" si="0"/>
        <v>5873199</v>
      </c>
      <c r="Q13" s="7">
        <f t="shared" si="1"/>
        <v>6.7015495454119334E-2</v>
      </c>
      <c r="R13" s="2"/>
      <c r="S13" s="6" t="s">
        <v>21</v>
      </c>
      <c r="T13" s="20">
        <f ca="1">IF(SUM(OFFSET(C13,0,0,1,$C$56))=0,"",SUM(OFFSET(C13,0,0,1,$C$56)))</f>
        <v>5638149</v>
      </c>
      <c r="U13" s="7">
        <f t="shared" ca="1" si="2"/>
        <v>5.0358692298864804E-2</v>
      </c>
      <c r="X13" s="11" t="str">
        <f t="shared" si="3"/>
        <v>20/21</v>
      </c>
      <c r="Y13" s="43">
        <f t="shared" si="4"/>
        <v>5.2055300000000004</v>
      </c>
      <c r="Z13" s="71">
        <v>6.5</v>
      </c>
      <c r="AA13" s="71">
        <f t="shared" ref="AA13:AA18" si="5">Z13-Y13</f>
        <v>1.2944699999999996</v>
      </c>
    </row>
    <row r="14" spans="1:35" x14ac:dyDescent="0.55000000000000004">
      <c r="A14" s="14">
        <v>8</v>
      </c>
      <c r="B14" s="6" t="s">
        <v>22</v>
      </c>
      <c r="C14" s="23">
        <v>80328</v>
      </c>
      <c r="D14" s="23">
        <v>103948</v>
      </c>
      <c r="E14" s="23">
        <v>296539</v>
      </c>
      <c r="F14" s="23">
        <v>506462</v>
      </c>
      <c r="G14" s="23">
        <v>502521</v>
      </c>
      <c r="H14" s="23">
        <v>735246</v>
      </c>
      <c r="I14" s="23">
        <v>584063</v>
      </c>
      <c r="J14" s="23">
        <v>522847</v>
      </c>
      <c r="K14" s="23">
        <v>563409</v>
      </c>
      <c r="L14" s="23">
        <v>390617</v>
      </c>
      <c r="M14" s="23">
        <v>245235</v>
      </c>
      <c r="N14" s="23">
        <v>169391</v>
      </c>
      <c r="O14" s="6" t="s">
        <v>22</v>
      </c>
      <c r="P14" s="20">
        <f t="shared" si="0"/>
        <v>4700606</v>
      </c>
      <c r="Q14" s="7">
        <f t="shared" si="1"/>
        <v>-0.19965150167736523</v>
      </c>
      <c r="R14" s="2"/>
      <c r="S14" s="6" t="s">
        <v>22</v>
      </c>
      <c r="T14" s="20">
        <f t="shared" ref="T14:T19" ca="1" si="6">IF(SUM(OFFSET(C14,0,0,1,$C$56))=0,NA(),SUM(OFFSET(C14,0,0,1,$C$56)))</f>
        <v>4531215</v>
      </c>
      <c r="U14" s="7">
        <f t="shared" ca="1" si="2"/>
        <v>-0.19632932723133067</v>
      </c>
      <c r="X14" s="11" t="str">
        <f t="shared" si="3"/>
        <v>21/22</v>
      </c>
      <c r="Y14" s="43">
        <f t="shared" si="4"/>
        <v>5.2099250000000001</v>
      </c>
      <c r="Z14" s="71">
        <v>4.9000000000000004</v>
      </c>
      <c r="AA14" s="71">
        <f t="shared" si="5"/>
        <v>-0.30992499999999978</v>
      </c>
    </row>
    <row r="15" spans="1:35" x14ac:dyDescent="0.55000000000000004">
      <c r="A15" s="14">
        <v>9</v>
      </c>
      <c r="B15" s="6" t="s">
        <v>23</v>
      </c>
      <c r="C15" s="23">
        <v>40841.973999999995</v>
      </c>
      <c r="D15" s="23">
        <v>52022.933333333334</v>
      </c>
      <c r="E15" s="23">
        <v>196304.68566666666</v>
      </c>
      <c r="F15" s="23">
        <v>520794.77300000004</v>
      </c>
      <c r="G15" s="23">
        <v>567110.92333333346</v>
      </c>
      <c r="H15" s="23">
        <v>633984.22833333339</v>
      </c>
      <c r="I15" s="23">
        <v>745144.83833333338</v>
      </c>
      <c r="J15" s="23">
        <v>826028.93833333335</v>
      </c>
      <c r="K15" s="23">
        <v>617136.16099999996</v>
      </c>
      <c r="L15" s="23">
        <v>528747.95833333314</v>
      </c>
      <c r="M15" s="23">
        <v>398874.52533333341</v>
      </c>
      <c r="N15" s="23">
        <v>215970.66699999999</v>
      </c>
      <c r="O15" s="6" t="s">
        <v>23</v>
      </c>
      <c r="P15" s="20">
        <f t="shared" si="0"/>
        <v>5342962.6060000006</v>
      </c>
      <c r="Q15" s="7">
        <f t="shared" si="1"/>
        <v>0.13665399865464178</v>
      </c>
      <c r="R15" s="2"/>
      <c r="S15" s="6" t="s">
        <v>23</v>
      </c>
      <c r="T15" s="20">
        <f t="shared" ca="1" si="6"/>
        <v>5126991.9390000002</v>
      </c>
      <c r="U15" s="7">
        <f t="shared" ca="1" si="2"/>
        <v>0.13148282281904522</v>
      </c>
      <c r="X15" s="11" t="str">
        <f t="shared" si="3"/>
        <v>22/23</v>
      </c>
      <c r="Y15" s="43">
        <f t="shared" si="4"/>
        <v>5.0046124553333344</v>
      </c>
      <c r="Z15" s="71">
        <v>5.5</v>
      </c>
      <c r="AA15" s="71">
        <f t="shared" si="5"/>
        <v>0.49538754466666557</v>
      </c>
    </row>
    <row r="16" spans="1:35" x14ac:dyDescent="0.55000000000000004">
      <c r="A16" s="14">
        <v>10</v>
      </c>
      <c r="B16" s="6" t="s">
        <v>24</v>
      </c>
      <c r="C16" s="23">
        <v>24843.948333333337</v>
      </c>
      <c r="D16" s="23">
        <v>67454.399999999994</v>
      </c>
      <c r="E16" s="23">
        <v>213117.99233333333</v>
      </c>
      <c r="F16" s="23">
        <v>342365.84833333333</v>
      </c>
      <c r="G16" s="23">
        <v>578716.87666666671</v>
      </c>
      <c r="H16" s="23">
        <v>717983</v>
      </c>
      <c r="I16" s="23">
        <v>549097</v>
      </c>
      <c r="J16" s="23">
        <v>773566</v>
      </c>
      <c r="K16" s="23">
        <v>547206.34000000032</v>
      </c>
      <c r="L16" s="23">
        <v>468179.66633333336</v>
      </c>
      <c r="M16" s="23">
        <v>248441</v>
      </c>
      <c r="N16" s="23">
        <v>268743</v>
      </c>
      <c r="O16" s="6" t="s">
        <v>24</v>
      </c>
      <c r="P16" s="20">
        <f t="shared" si="0"/>
        <v>4799715.0720000006</v>
      </c>
      <c r="Q16" s="7">
        <f t="shared" si="1"/>
        <v>-0.10167533895706993</v>
      </c>
      <c r="R16" s="2"/>
      <c r="S16" s="6" t="s">
        <v>24</v>
      </c>
      <c r="T16" s="20">
        <f t="shared" ca="1" si="6"/>
        <v>4530972.0720000006</v>
      </c>
      <c r="U16" s="7">
        <f t="shared" ca="1" si="2"/>
        <v>-0.1162513758732866</v>
      </c>
      <c r="X16" s="11" t="str">
        <f t="shared" si="3"/>
        <v>23/24</v>
      </c>
      <c r="Y16" s="43">
        <f t="shared" si="4"/>
        <v>4.9579445563333335</v>
      </c>
      <c r="Z16" s="71">
        <v>4.9000000000000004</v>
      </c>
      <c r="AA16" s="71">
        <f t="shared" si="5"/>
        <v>-5.7944556333333175E-2</v>
      </c>
    </row>
    <row r="17" spans="1:27" x14ac:dyDescent="0.55000000000000004">
      <c r="A17" s="14">
        <v>11</v>
      </c>
      <c r="B17" s="6" t="s">
        <v>25</v>
      </c>
      <c r="C17" s="23">
        <v>17311.517333333333</v>
      </c>
      <c r="D17" s="23">
        <v>28782.567999999996</v>
      </c>
      <c r="E17" s="23">
        <v>86258.785999999993</v>
      </c>
      <c r="F17" s="23">
        <v>366043.94199999992</v>
      </c>
      <c r="G17" s="23">
        <v>606124.19799999997</v>
      </c>
      <c r="H17" s="23">
        <v>812470.7219999996</v>
      </c>
      <c r="I17" s="23">
        <v>551756.49133333331</v>
      </c>
      <c r="J17" s="23">
        <v>762032.85666666669</v>
      </c>
      <c r="K17" s="23">
        <v>640853.46200000006</v>
      </c>
      <c r="L17" s="23">
        <v>458718.19466666668</v>
      </c>
      <c r="M17" s="23">
        <v>226720.60633333336</v>
      </c>
      <c r="N17" s="23">
        <v>195595.74764705883</v>
      </c>
      <c r="O17" s="6" t="s">
        <v>25</v>
      </c>
      <c r="P17" s="5">
        <f t="shared" si="0"/>
        <v>4752669.0919803921</v>
      </c>
      <c r="Q17" s="7">
        <f t="shared" si="1"/>
        <v>-9.8018276739091359E-3</v>
      </c>
      <c r="R17" s="2"/>
      <c r="S17" s="6" t="s">
        <v>25</v>
      </c>
      <c r="T17" s="20">
        <f t="shared" ca="1" si="6"/>
        <v>4557073.344333333</v>
      </c>
      <c r="U17" s="7">
        <f t="shared" ca="1" si="2"/>
        <v>5.7606341241054349E-3</v>
      </c>
      <c r="X17" s="11" t="str">
        <f t="shared" si="3"/>
        <v>24/25</v>
      </c>
      <c r="Y17" s="43">
        <f t="shared" si="4"/>
        <v>4.8569982096666662</v>
      </c>
      <c r="Z17" s="71">
        <v>5.3</v>
      </c>
      <c r="AA17" s="71">
        <f t="shared" si="5"/>
        <v>0.44300179033333364</v>
      </c>
    </row>
    <row r="18" spans="1:27" x14ac:dyDescent="0.55000000000000004">
      <c r="A18" s="14">
        <v>12</v>
      </c>
      <c r="B18" s="6" t="s">
        <v>26</v>
      </c>
      <c r="C18" s="23">
        <v>29951.903333333332</v>
      </c>
      <c r="D18" s="53">
        <v>60223.690666666669</v>
      </c>
      <c r="E18" s="23">
        <v>271711.76499999996</v>
      </c>
      <c r="F18" s="23">
        <v>640000</v>
      </c>
      <c r="G18" s="23">
        <v>940000</v>
      </c>
      <c r="H18" s="23">
        <v>970000</v>
      </c>
      <c r="I18" s="23">
        <v>680000</v>
      </c>
      <c r="J18" s="23">
        <v>760000</v>
      </c>
      <c r="K18" s="23">
        <v>620000</v>
      </c>
      <c r="L18" s="23">
        <v>370000</v>
      </c>
      <c r="M18" s="23">
        <v>240000</v>
      </c>
      <c r="N18" s="23" t="e">
        <f>NA()</f>
        <v>#N/A</v>
      </c>
      <c r="O18" s="6" t="s">
        <v>26</v>
      </c>
      <c r="P18" s="5">
        <f ca="1">P17*(1+U18)</f>
        <v>5821469.5093779182</v>
      </c>
      <c r="Q18" s="7">
        <f t="shared" ref="Q18" ca="1" si="7">IFERROR(P18/P17-1,"")</f>
        <v>0.2248842485585647</v>
      </c>
      <c r="R18" s="2"/>
      <c r="S18" s="6" t="s">
        <v>26</v>
      </c>
      <c r="T18" s="5">
        <f t="shared" ca="1" si="6"/>
        <v>5581887.3590000002</v>
      </c>
      <c r="U18" s="7">
        <f t="shared" ca="1" si="2"/>
        <v>0.2248842485585647</v>
      </c>
      <c r="X18" s="11" t="str">
        <f t="shared" si="3"/>
        <v>25/26</v>
      </c>
      <c r="Y18" s="43">
        <f t="shared" si="4"/>
        <v>5.8529219076470582</v>
      </c>
      <c r="Z18" s="71">
        <v>6</v>
      </c>
      <c r="AA18" s="71">
        <f t="shared" si="5"/>
        <v>0.14707809235294178</v>
      </c>
    </row>
    <row r="19" spans="1:27" x14ac:dyDescent="0.55000000000000004">
      <c r="A19" s="14">
        <v>13</v>
      </c>
      <c r="B19" s="6" t="s">
        <v>27</v>
      </c>
      <c r="C19" s="23" t="e">
        <f>NA()</f>
        <v>#N/A</v>
      </c>
      <c r="D19" s="23" t="e">
        <f>NA()</f>
        <v>#N/A</v>
      </c>
      <c r="E19" s="23" t="e">
        <f>NA()</f>
        <v>#N/A</v>
      </c>
      <c r="F19" s="23" t="e">
        <f>NA()</f>
        <v>#N/A</v>
      </c>
      <c r="G19" s="23" t="e">
        <f>NA()</f>
        <v>#N/A</v>
      </c>
      <c r="H19" s="23" t="e">
        <f>NA()</f>
        <v>#N/A</v>
      </c>
      <c r="I19" s="23" t="e">
        <f>NA()</f>
        <v>#N/A</v>
      </c>
      <c r="J19" s="23" t="e">
        <f>NA()</f>
        <v>#N/A</v>
      </c>
      <c r="K19" s="23" t="e">
        <f>NA()</f>
        <v>#N/A</v>
      </c>
      <c r="L19" s="23" t="e">
        <f>NA()</f>
        <v>#N/A</v>
      </c>
      <c r="M19" s="23" t="e">
        <f>NA()</f>
        <v>#N/A</v>
      </c>
      <c r="N19" s="23" t="e">
        <f>NA()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5" t="e">
        <f t="shared" ca="1" si="6"/>
        <v>#N/A</v>
      </c>
      <c r="U19" s="7"/>
      <c r="Y19" s="43"/>
    </row>
    <row r="20" spans="1:27" x14ac:dyDescent="0.55000000000000004">
      <c r="B20" s="8" t="s">
        <v>28</v>
      </c>
      <c r="C20" s="22">
        <f>IFERROR(C18/C17-1,"")</f>
        <v>0.73017204422982207</v>
      </c>
      <c r="D20" s="22">
        <f t="shared" ref="D20:N20" si="8">IFERROR(D18/D17-1,"")</f>
        <v>1.0923668335176582</v>
      </c>
      <c r="E20" s="22">
        <f t="shared" si="8"/>
        <v>2.1499604573614097</v>
      </c>
      <c r="F20" s="22">
        <f t="shared" si="8"/>
        <v>0.74842396380924159</v>
      </c>
      <c r="G20" s="22">
        <f t="shared" si="8"/>
        <v>0.55083727576241737</v>
      </c>
      <c r="H20" s="22">
        <f t="shared" si="8"/>
        <v>0.19388917499971225</v>
      </c>
      <c r="I20" s="22">
        <f t="shared" si="8"/>
        <v>0.23242772977036119</v>
      </c>
      <c r="J20" s="22">
        <f t="shared" si="8"/>
        <v>-2.6676758736610129E-3</v>
      </c>
      <c r="K20" s="22">
        <f t="shared" si="8"/>
        <v>-3.2540140978438048E-2</v>
      </c>
      <c r="L20" s="22">
        <f t="shared" si="8"/>
        <v>-0.193404568857651</v>
      </c>
      <c r="M20" s="22">
        <f t="shared" si="8"/>
        <v>5.8571622056897477E-2</v>
      </c>
      <c r="N20" s="22" t="str">
        <f t="shared" si="8"/>
        <v/>
      </c>
      <c r="O20" s="8"/>
      <c r="P20" s="2"/>
      <c r="Q20" s="2"/>
      <c r="R20" s="2"/>
      <c r="S20" s="8"/>
      <c r="T20" s="5"/>
      <c r="U20" s="2"/>
      <c r="X20" s="12"/>
    </row>
    <row r="21" spans="1:27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7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7" x14ac:dyDescent="0.55000000000000004">
      <c r="Y23" s="44"/>
    </row>
    <row r="25" spans="1:27" x14ac:dyDescent="0.55000000000000004">
      <c r="Y25" s="48"/>
    </row>
    <row r="27" spans="1:27" x14ac:dyDescent="0.55000000000000004">
      <c r="K27" s="13" t="str">
        <f ca="1">_xlfn.CONCAT(A1," | ",S6)</f>
        <v>Honduras : Arabica Exports | YTD : Oct-Aug</v>
      </c>
      <c r="Q27" s="13" t="str">
        <f>_xlfn.CONCAT(A1," | ","Cumulative")</f>
        <v>Honduras : Arabica Exports | Cumulative</v>
      </c>
    </row>
    <row r="28" spans="1:27" x14ac:dyDescent="0.55000000000000004">
      <c r="Y28" s="69"/>
    </row>
    <row r="39" spans="26:29" x14ac:dyDescent="0.55000000000000004">
      <c r="AA39" s="55" t="s">
        <v>82</v>
      </c>
      <c r="AB39" s="55" t="s">
        <v>86</v>
      </c>
      <c r="AC39" s="55" t="s">
        <v>88</v>
      </c>
    </row>
    <row r="40" spans="26:29" x14ac:dyDescent="0.55000000000000004">
      <c r="Z40" s="31" t="s">
        <v>1</v>
      </c>
      <c r="AA40" s="12">
        <v>39240.99766666667</v>
      </c>
      <c r="AB40" s="12">
        <v>30000</v>
      </c>
      <c r="AC40" s="58">
        <f>AB40-AA40</f>
        <v>-9240.9976666666698</v>
      </c>
    </row>
    <row r="41" spans="26:29" x14ac:dyDescent="0.55000000000000004">
      <c r="Z41" s="31" t="s">
        <v>2</v>
      </c>
      <c r="AA41" s="12">
        <v>129567.54833333332</v>
      </c>
      <c r="AB41" s="12">
        <v>60000</v>
      </c>
      <c r="AC41" s="58">
        <f t="shared" ref="AC41:AC42" si="9">AB41-AA41</f>
        <v>-69567.548333333325</v>
      </c>
    </row>
    <row r="42" spans="26:29" x14ac:dyDescent="0.55000000000000004">
      <c r="Z42" s="31" t="s">
        <v>3</v>
      </c>
      <c r="AA42" s="12">
        <v>289959.0413076923</v>
      </c>
      <c r="AB42" s="12">
        <v>406000</v>
      </c>
      <c r="AC42" s="58">
        <f t="shared" si="9"/>
        <v>116040.9586923077</v>
      </c>
    </row>
    <row r="44" spans="26:29" x14ac:dyDescent="0.55000000000000004">
      <c r="AB44" s="56" t="s">
        <v>13</v>
      </c>
      <c r="AC44" s="57">
        <f>SUM(AC40:AC42)</f>
        <v>37232.412692307698</v>
      </c>
    </row>
    <row r="52" spans="1:25" x14ac:dyDescent="0.55000000000000004">
      <c r="L52" s="12"/>
    </row>
    <row r="53" spans="1:25" x14ac:dyDescent="0.55000000000000004">
      <c r="Q53" s="12">
        <f ca="1">P18-T18</f>
        <v>239582.15037791803</v>
      </c>
      <c r="X53" s="11">
        <v>3.7890000000000001</v>
      </c>
    </row>
    <row r="54" spans="1:25" x14ac:dyDescent="0.55000000000000004">
      <c r="S54" s="12"/>
      <c r="X54" s="11">
        <v>4.4000000000000004</v>
      </c>
    </row>
    <row r="55" spans="1:25" x14ac:dyDescent="0.55000000000000004">
      <c r="X55" s="11">
        <f>X54-X53</f>
        <v>0.61100000000000021</v>
      </c>
      <c r="Y55" s="11">
        <f>X55*31/21</f>
        <v>0.90195238095238128</v>
      </c>
    </row>
    <row r="56" spans="1:25" x14ac:dyDescent="0.55000000000000004">
      <c r="B56" s="9" t="s">
        <v>29</v>
      </c>
      <c r="C56" s="9">
        <f>COUNT(C18:N18)</f>
        <v>11</v>
      </c>
      <c r="D56" s="25" t="str">
        <f ca="1">OFFSET(B6,0,$C$56,1,1)</f>
        <v>Aug</v>
      </c>
      <c r="E56" s="11" t="str">
        <f>B18</f>
        <v>25/26</v>
      </c>
      <c r="F56" s="11" t="str">
        <f ca="1">_xlfn.CONCAT(D56,"'",E56)</f>
        <v>Aug'25/26</v>
      </c>
    </row>
    <row r="62" spans="1:25" x14ac:dyDescent="0.55000000000000004">
      <c r="A62" s="11" t="s">
        <v>98</v>
      </c>
      <c r="B62" s="40">
        <v>9.0860528943853321E-3</v>
      </c>
      <c r="C62" s="40">
        <v>1.5065291277389915E-2</v>
      </c>
      <c r="D62" s="40">
        <v>4.6136309923284095E-2</v>
      </c>
      <c r="E62" s="40">
        <v>9.7108680888178645E-2</v>
      </c>
      <c r="F62" s="40">
        <v>0.12033084674750721</v>
      </c>
      <c r="G62" s="40">
        <v>0.13881934884889646</v>
      </c>
      <c r="H62" s="40">
        <v>0.12372313771322424</v>
      </c>
      <c r="I62" s="40">
        <v>0.1388165108064065</v>
      </c>
      <c r="J62" s="40">
        <v>0.12363730490994966</v>
      </c>
      <c r="K62" s="40">
        <v>9.321756913816133E-2</v>
      </c>
      <c r="L62" s="40">
        <v>5.4555706553286093E-2</v>
      </c>
      <c r="M62" s="40">
        <v>3.9503240299330493E-2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29951.903333333332</v>
      </c>
      <c r="C66" s="12">
        <f t="shared" ref="C66:M66" si="10">D18</f>
        <v>60223.690666666669</v>
      </c>
      <c r="D66" s="12">
        <f t="shared" si="10"/>
        <v>271711.76499999996</v>
      </c>
      <c r="E66" s="12">
        <f t="shared" si="10"/>
        <v>640000</v>
      </c>
      <c r="F66" s="12">
        <f t="shared" si="10"/>
        <v>940000</v>
      </c>
      <c r="G66" s="12">
        <f t="shared" si="10"/>
        <v>970000</v>
      </c>
      <c r="H66" s="12">
        <f t="shared" si="10"/>
        <v>680000</v>
      </c>
      <c r="I66" s="12">
        <f t="shared" si="10"/>
        <v>760000</v>
      </c>
      <c r="J66" s="12">
        <f t="shared" si="10"/>
        <v>620000</v>
      </c>
      <c r="K66" s="12">
        <f t="shared" si="10"/>
        <v>370000</v>
      </c>
      <c r="L66" s="12">
        <f t="shared" si="10"/>
        <v>240000</v>
      </c>
      <c r="M66" s="12" t="e">
        <f t="shared" si="10"/>
        <v>#N/A</v>
      </c>
    </row>
    <row r="67" spans="1:25" x14ac:dyDescent="0.55000000000000004">
      <c r="A67" s="11" t="s">
        <v>30</v>
      </c>
      <c r="B67" s="12">
        <f>MIN(C10:C17)</f>
        <v>17311.517333333333</v>
      </c>
      <c r="C67" s="12">
        <f t="shared" ref="C67:M67" si="11">MIN(D10:D17)</f>
        <v>28782.567999999996</v>
      </c>
      <c r="D67" s="12">
        <f t="shared" si="11"/>
        <v>86258.785999999993</v>
      </c>
      <c r="E67" s="12">
        <f t="shared" si="11"/>
        <v>342365.84833333333</v>
      </c>
      <c r="F67" s="12">
        <f t="shared" si="11"/>
        <v>502521</v>
      </c>
      <c r="G67" s="12">
        <f t="shared" si="11"/>
        <v>633984.22833333339</v>
      </c>
      <c r="H67" s="12">
        <f t="shared" si="11"/>
        <v>549097</v>
      </c>
      <c r="I67" s="12">
        <f t="shared" si="11"/>
        <v>522847</v>
      </c>
      <c r="J67" s="12">
        <f t="shared" si="11"/>
        <v>547206.34000000032</v>
      </c>
      <c r="K67" s="12">
        <f t="shared" si="11"/>
        <v>326817</v>
      </c>
      <c r="L67" s="12">
        <f t="shared" si="11"/>
        <v>183584</v>
      </c>
      <c r="M67" s="12">
        <f t="shared" si="11"/>
        <v>136492</v>
      </c>
      <c r="N67" s="12"/>
    </row>
    <row r="68" spans="1:25" x14ac:dyDescent="0.55000000000000004">
      <c r="A68" s="11" t="s">
        <v>31</v>
      </c>
      <c r="B68" s="12">
        <f>MAX(C10:C17)</f>
        <v>101053</v>
      </c>
      <c r="C68" s="12">
        <f t="shared" ref="C68:M68" si="12">MAX(D10:D17)</f>
        <v>165808</v>
      </c>
      <c r="D68" s="12">
        <f t="shared" si="12"/>
        <v>422141</v>
      </c>
      <c r="E68" s="12">
        <f t="shared" si="12"/>
        <v>887643</v>
      </c>
      <c r="F68" s="12">
        <f t="shared" si="12"/>
        <v>963774</v>
      </c>
      <c r="G68" s="12">
        <f t="shared" si="12"/>
        <v>856773</v>
      </c>
      <c r="H68" s="12">
        <f t="shared" si="12"/>
        <v>933537</v>
      </c>
      <c r="I68" s="12">
        <f t="shared" si="12"/>
        <v>922397</v>
      </c>
      <c r="J68" s="12">
        <f t="shared" si="12"/>
        <v>926291</v>
      </c>
      <c r="K68" s="12">
        <f t="shared" si="12"/>
        <v>696659</v>
      </c>
      <c r="L68" s="12">
        <f t="shared" si="12"/>
        <v>473626</v>
      </c>
      <c r="M68" s="12">
        <f t="shared" si="12"/>
        <v>296640</v>
      </c>
      <c r="N68" s="12"/>
    </row>
    <row r="69" spans="1:25" x14ac:dyDescent="0.55000000000000004">
      <c r="A69" s="11" t="s">
        <v>32</v>
      </c>
      <c r="B69" s="12">
        <f>AVERAGE(C13:C17)</f>
        <v>36747.087933333329</v>
      </c>
      <c r="C69" s="12">
        <f t="shared" ref="C69:M69" si="13">AVERAGE(D13:D17)</f>
        <v>61551.780266666668</v>
      </c>
      <c r="D69" s="12">
        <f t="shared" si="13"/>
        <v>198936.69279999999</v>
      </c>
      <c r="E69" s="12">
        <f t="shared" si="13"/>
        <v>440228.51266666671</v>
      </c>
      <c r="F69" s="12">
        <f t="shared" si="13"/>
        <v>579244.19959999993</v>
      </c>
      <c r="G69" s="12">
        <f t="shared" si="13"/>
        <v>741437.99006666662</v>
      </c>
      <c r="H69" s="12">
        <f t="shared" si="13"/>
        <v>635988.26593333331</v>
      </c>
      <c r="I69" s="12">
        <f t="shared" si="13"/>
        <v>743585.55900000001</v>
      </c>
      <c r="J69" s="12">
        <f t="shared" si="13"/>
        <v>630150.99260000011</v>
      </c>
      <c r="K69" s="12">
        <f t="shared" si="13"/>
        <v>501539.9638666666</v>
      </c>
      <c r="L69" s="12">
        <f t="shared" si="13"/>
        <v>307469.2263333333</v>
      </c>
      <c r="M69" s="12">
        <f t="shared" si="13"/>
        <v>216950.08292941176</v>
      </c>
      <c r="N69" s="12"/>
    </row>
    <row r="74" spans="1:25" x14ac:dyDescent="0.55000000000000004">
      <c r="B74" s="11">
        <v>1</v>
      </c>
      <c r="C74" s="11">
        <v>1</v>
      </c>
      <c r="D74" s="12" t="e">
        <f>INDEX($C$7:$N$19,MATCH(B74,$A$7:$A$19),MATCH(C74,$C$4:$N$4))</f>
        <v>#N/A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 t="e">
        <f t="shared" ref="D75:D138" si="14">INDEX($C$7:$N$19,MATCH(B75,$A$7:$A$19),MATCH(C75,$C$4:$N$4))</f>
        <v>#N/A</v>
      </c>
      <c r="E75" s="11" t="str">
        <f t="shared" ref="E75:E138" si="15">_xlfn.XLOOKUP(B75,$A$7:$A$19,$B$7:$B$19)</f>
        <v>14/15</v>
      </c>
      <c r="F75" s="11" t="str">
        <f t="shared" ref="F75:F138" si="16">_xlfn.XLOOKUP(C75,$C$4:$N$4,$C$6:$N$6)</f>
        <v>Nov</v>
      </c>
      <c r="G75" s="11" t="str">
        <f t="shared" ref="G75:G138" si="17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 t="e">
        <f t="shared" si="14"/>
        <v>#N/A</v>
      </c>
      <c r="E76" s="11" t="str">
        <f t="shared" si="15"/>
        <v>14/15</v>
      </c>
      <c r="F76" s="11" t="str">
        <f t="shared" si="16"/>
        <v>Dec</v>
      </c>
      <c r="G76" s="11" t="str">
        <f t="shared" si="17"/>
        <v>Dec'14/15</v>
      </c>
      <c r="M76" s="6" t="s">
        <v>15</v>
      </c>
      <c r="N76" s="5" t="e">
        <f>C7</f>
        <v>#N/A</v>
      </c>
      <c r="O76" s="5" t="e">
        <f t="shared" ref="O76:O88" si="18">N76+D7</f>
        <v>#N/A</v>
      </c>
      <c r="P76" s="5" t="e">
        <f t="shared" ref="P76:P88" si="19">O76+E7</f>
        <v>#N/A</v>
      </c>
      <c r="Q76" s="5" t="e">
        <f t="shared" ref="Q76:Q88" si="20">P76+F7</f>
        <v>#N/A</v>
      </c>
      <c r="R76" s="5" t="e">
        <f t="shared" ref="R76:R88" si="21">Q76+G7</f>
        <v>#N/A</v>
      </c>
      <c r="S76" s="5" t="e">
        <f t="shared" ref="S76:S88" si="22">R76+H7</f>
        <v>#N/A</v>
      </c>
      <c r="T76" s="5" t="e">
        <f t="shared" ref="T76:T88" si="23">S76+I7</f>
        <v>#N/A</v>
      </c>
      <c r="U76" s="5" t="e">
        <f t="shared" ref="U76:U88" si="24">T76+J7</f>
        <v>#N/A</v>
      </c>
      <c r="V76" s="5" t="e">
        <f t="shared" ref="V76:V88" si="25">U76+K7</f>
        <v>#N/A</v>
      </c>
      <c r="W76" s="5" t="e">
        <f t="shared" ref="W76:W88" si="26">V76+L7</f>
        <v>#N/A</v>
      </c>
      <c r="X76" s="5" t="e">
        <f t="shared" ref="X76:X88" si="27">W76+M7</f>
        <v>#N/A</v>
      </c>
      <c r="Y76" s="5" t="e">
        <f t="shared" ref="Y76:Y88" si="28">X76+N7</f>
        <v>#N/A</v>
      </c>
    </row>
    <row r="77" spans="1:25" x14ac:dyDescent="0.55000000000000004">
      <c r="B77" s="11">
        <v>1</v>
      </c>
      <c r="C77" s="11">
        <v>4</v>
      </c>
      <c r="D77" s="12" t="e">
        <f t="shared" si="14"/>
        <v>#N/A</v>
      </c>
      <c r="E77" s="11" t="str">
        <f t="shared" si="15"/>
        <v>14/15</v>
      </c>
      <c r="F77" s="11" t="str">
        <f t="shared" si="16"/>
        <v>Jan</v>
      </c>
      <c r="G77" s="11" t="str">
        <f t="shared" si="17"/>
        <v>Jan'14/15</v>
      </c>
      <c r="M77" s="6" t="s">
        <v>16</v>
      </c>
      <c r="N77" s="5" t="e">
        <f t="shared" ref="N77:N88" si="29">C8</f>
        <v>#N/A</v>
      </c>
      <c r="O77" s="5" t="e">
        <f t="shared" si="18"/>
        <v>#N/A</v>
      </c>
      <c r="P77" s="5" t="e">
        <f t="shared" si="19"/>
        <v>#N/A</v>
      </c>
      <c r="Q77" s="5" t="e">
        <f t="shared" si="20"/>
        <v>#N/A</v>
      </c>
      <c r="R77" s="5" t="e">
        <f t="shared" si="21"/>
        <v>#N/A</v>
      </c>
      <c r="S77" s="5" t="e">
        <f t="shared" si="22"/>
        <v>#N/A</v>
      </c>
      <c r="T77" s="5" t="e">
        <f t="shared" si="23"/>
        <v>#N/A</v>
      </c>
      <c r="U77" s="5" t="e">
        <f t="shared" si="24"/>
        <v>#N/A</v>
      </c>
      <c r="V77" s="5" t="e">
        <f t="shared" si="25"/>
        <v>#N/A</v>
      </c>
      <c r="W77" s="5" t="e">
        <f t="shared" si="26"/>
        <v>#N/A</v>
      </c>
      <c r="X77" s="5" t="e">
        <f t="shared" si="27"/>
        <v>#N/A</v>
      </c>
      <c r="Y77" s="5" t="e">
        <f t="shared" si="28"/>
        <v>#N/A</v>
      </c>
    </row>
    <row r="78" spans="1:25" x14ac:dyDescent="0.55000000000000004">
      <c r="B78" s="11">
        <v>1</v>
      </c>
      <c r="C78" s="11">
        <v>5</v>
      </c>
      <c r="D78" s="12" t="e">
        <f t="shared" si="14"/>
        <v>#N/A</v>
      </c>
      <c r="E78" s="11" t="str">
        <f t="shared" si="15"/>
        <v>14/15</v>
      </c>
      <c r="F78" s="11" t="str">
        <f t="shared" si="16"/>
        <v>Feb</v>
      </c>
      <c r="G78" s="11" t="str">
        <f t="shared" si="17"/>
        <v>Feb'14/15</v>
      </c>
      <c r="M78" s="6" t="s">
        <v>17</v>
      </c>
      <c r="N78" s="5" t="e">
        <f t="shared" si="29"/>
        <v>#N/A</v>
      </c>
      <c r="O78" s="5" t="e">
        <f t="shared" si="18"/>
        <v>#N/A</v>
      </c>
      <c r="P78" s="5" t="e">
        <f t="shared" si="19"/>
        <v>#N/A</v>
      </c>
      <c r="Q78" s="5" t="e">
        <f t="shared" si="20"/>
        <v>#N/A</v>
      </c>
      <c r="R78" s="5" t="e">
        <f t="shared" si="21"/>
        <v>#N/A</v>
      </c>
      <c r="S78" s="5" t="e">
        <f t="shared" si="22"/>
        <v>#N/A</v>
      </c>
      <c r="T78" s="5" t="e">
        <f t="shared" si="23"/>
        <v>#N/A</v>
      </c>
      <c r="U78" s="5" t="e">
        <f t="shared" si="24"/>
        <v>#N/A</v>
      </c>
      <c r="V78" s="5" t="e">
        <f t="shared" si="25"/>
        <v>#N/A</v>
      </c>
      <c r="W78" s="5" t="e">
        <f t="shared" si="26"/>
        <v>#N/A</v>
      </c>
      <c r="X78" s="5" t="e">
        <f t="shared" si="27"/>
        <v>#N/A</v>
      </c>
      <c r="Y78" s="5" t="e">
        <f t="shared" si="28"/>
        <v>#N/A</v>
      </c>
    </row>
    <row r="79" spans="1:25" x14ac:dyDescent="0.55000000000000004">
      <c r="B79" s="11">
        <v>1</v>
      </c>
      <c r="C79" s="11">
        <v>6</v>
      </c>
      <c r="D79" s="12" t="e">
        <f t="shared" si="14"/>
        <v>#N/A</v>
      </c>
      <c r="E79" s="11" t="str">
        <f t="shared" si="15"/>
        <v>14/15</v>
      </c>
      <c r="F79" s="11" t="str">
        <f t="shared" si="16"/>
        <v>Mar</v>
      </c>
      <c r="G79" s="11" t="str">
        <f t="shared" si="17"/>
        <v>Mar'14/15</v>
      </c>
      <c r="M79" s="6" t="s">
        <v>18</v>
      </c>
      <c r="N79" s="5">
        <f t="shared" si="29"/>
        <v>52017</v>
      </c>
      <c r="O79" s="5">
        <f t="shared" si="18"/>
        <v>217825</v>
      </c>
      <c r="P79" s="5">
        <f t="shared" si="19"/>
        <v>639966</v>
      </c>
      <c r="Q79" s="5">
        <f t="shared" si="20"/>
        <v>1527609</v>
      </c>
      <c r="R79" s="5">
        <f t="shared" si="21"/>
        <v>2491383</v>
      </c>
      <c r="S79" s="5">
        <f t="shared" si="22"/>
        <v>3348156</v>
      </c>
      <c r="T79" s="5">
        <f t="shared" si="23"/>
        <v>4152729</v>
      </c>
      <c r="U79" s="5">
        <f t="shared" si="24"/>
        <v>4900320</v>
      </c>
      <c r="V79" s="5">
        <f t="shared" si="25"/>
        <v>5756321</v>
      </c>
      <c r="W79" s="5">
        <f t="shared" si="26"/>
        <v>6444514</v>
      </c>
      <c r="X79" s="5">
        <f t="shared" si="27"/>
        <v>6918140</v>
      </c>
      <c r="Y79" s="5">
        <f t="shared" si="28"/>
        <v>7214780</v>
      </c>
    </row>
    <row r="80" spans="1:25" x14ac:dyDescent="0.55000000000000004">
      <c r="B80" s="11">
        <v>1</v>
      </c>
      <c r="C80" s="11">
        <v>7</v>
      </c>
      <c r="D80" s="12" t="e">
        <f t="shared" si="14"/>
        <v>#N/A</v>
      </c>
      <c r="E80" s="11" t="str">
        <f t="shared" si="15"/>
        <v>14/15</v>
      </c>
      <c r="F80" s="11" t="str">
        <f t="shared" si="16"/>
        <v>Apr</v>
      </c>
      <c r="G80" s="11" t="str">
        <f t="shared" si="17"/>
        <v>Apr'14/15</v>
      </c>
      <c r="M80" s="6" t="s">
        <v>19</v>
      </c>
      <c r="N80" s="5">
        <f t="shared" si="29"/>
        <v>101053</v>
      </c>
      <c r="O80" s="5">
        <f t="shared" si="18"/>
        <v>214949</v>
      </c>
      <c r="P80" s="5">
        <f t="shared" si="19"/>
        <v>569070</v>
      </c>
      <c r="Q80" s="5">
        <f t="shared" si="20"/>
        <v>1185161</v>
      </c>
      <c r="R80" s="5">
        <f t="shared" si="21"/>
        <v>2007959</v>
      </c>
      <c r="S80" s="5">
        <f t="shared" si="22"/>
        <v>2814211</v>
      </c>
      <c r="T80" s="5">
        <f t="shared" si="23"/>
        <v>3747748</v>
      </c>
      <c r="U80" s="5">
        <f t="shared" si="24"/>
        <v>4670145</v>
      </c>
      <c r="V80" s="5">
        <f t="shared" si="25"/>
        <v>5596436</v>
      </c>
      <c r="W80" s="5">
        <f t="shared" si="26"/>
        <v>6293095</v>
      </c>
      <c r="X80" s="5">
        <f t="shared" si="27"/>
        <v>6565470</v>
      </c>
      <c r="Y80" s="5">
        <f t="shared" si="28"/>
        <v>6814106</v>
      </c>
    </row>
    <row r="81" spans="2:25" x14ac:dyDescent="0.55000000000000004">
      <c r="B81" s="11">
        <v>1</v>
      </c>
      <c r="C81" s="11">
        <v>8</v>
      </c>
      <c r="D81" s="12" t="e">
        <f t="shared" si="14"/>
        <v>#N/A</v>
      </c>
      <c r="E81" s="11" t="str">
        <f t="shared" si="15"/>
        <v>14/15</v>
      </c>
      <c r="F81" s="11" t="str">
        <f t="shared" si="16"/>
        <v>May</v>
      </c>
      <c r="G81" s="11" t="str">
        <f t="shared" si="17"/>
        <v>May'14/15</v>
      </c>
      <c r="M81" s="6" t="s">
        <v>20</v>
      </c>
      <c r="N81" s="5">
        <f t="shared" si="29"/>
        <v>74980</v>
      </c>
      <c r="O81" s="5">
        <f t="shared" si="18"/>
        <v>181803</v>
      </c>
      <c r="P81" s="5">
        <f t="shared" si="19"/>
        <v>521755</v>
      </c>
      <c r="Q81" s="5">
        <f t="shared" si="20"/>
        <v>1240641</v>
      </c>
      <c r="R81" s="5">
        <f t="shared" si="21"/>
        <v>1999650</v>
      </c>
      <c r="S81" s="5">
        <f t="shared" si="22"/>
        <v>2772343</v>
      </c>
      <c r="T81" s="5">
        <f t="shared" si="23"/>
        <v>3429434</v>
      </c>
      <c r="U81" s="5">
        <f t="shared" si="24"/>
        <v>4212705</v>
      </c>
      <c r="V81" s="5">
        <f t="shared" si="25"/>
        <v>4857431</v>
      </c>
      <c r="W81" s="5">
        <f t="shared" si="26"/>
        <v>5184248</v>
      </c>
      <c r="X81" s="5">
        <f t="shared" si="27"/>
        <v>5367832</v>
      </c>
      <c r="Y81" s="5">
        <f t="shared" si="28"/>
        <v>5504324</v>
      </c>
    </row>
    <row r="82" spans="2:25" x14ac:dyDescent="0.55000000000000004">
      <c r="B82" s="11">
        <v>1</v>
      </c>
      <c r="C82" s="11">
        <v>9</v>
      </c>
      <c r="D82" s="12" t="e">
        <f t="shared" si="14"/>
        <v>#N/A</v>
      </c>
      <c r="E82" s="11" t="str">
        <f t="shared" si="15"/>
        <v>14/15</v>
      </c>
      <c r="F82" s="11" t="str">
        <f t="shared" si="16"/>
        <v>Jun</v>
      </c>
      <c r="G82" s="11" t="str">
        <f t="shared" si="17"/>
        <v>Jun'14/15</v>
      </c>
      <c r="M82" s="6" t="s">
        <v>21</v>
      </c>
      <c r="N82" s="5">
        <f t="shared" si="29"/>
        <v>20410</v>
      </c>
      <c r="O82" s="5">
        <f t="shared" si="18"/>
        <v>75961</v>
      </c>
      <c r="P82" s="5">
        <f t="shared" si="19"/>
        <v>278424</v>
      </c>
      <c r="Q82" s="5">
        <f t="shared" si="20"/>
        <v>743900</v>
      </c>
      <c r="R82" s="5">
        <f t="shared" si="21"/>
        <v>1385648</v>
      </c>
      <c r="S82" s="5">
        <f t="shared" si="22"/>
        <v>2193154</v>
      </c>
      <c r="T82" s="5">
        <f t="shared" si="23"/>
        <v>2943034</v>
      </c>
      <c r="U82" s="5">
        <f t="shared" si="24"/>
        <v>3776487</v>
      </c>
      <c r="V82" s="5">
        <f t="shared" si="25"/>
        <v>4558637</v>
      </c>
      <c r="W82" s="5">
        <f t="shared" si="26"/>
        <v>5220074</v>
      </c>
      <c r="X82" s="5">
        <f t="shared" si="27"/>
        <v>5638149</v>
      </c>
      <c r="Y82" s="5">
        <f t="shared" si="28"/>
        <v>5873199</v>
      </c>
    </row>
    <row r="83" spans="2:25" x14ac:dyDescent="0.55000000000000004">
      <c r="B83" s="11">
        <v>1</v>
      </c>
      <c r="C83" s="11">
        <v>10</v>
      </c>
      <c r="D83" s="12" t="e">
        <f t="shared" si="14"/>
        <v>#N/A</v>
      </c>
      <c r="E83" s="11" t="str">
        <f t="shared" si="15"/>
        <v>14/15</v>
      </c>
      <c r="F83" s="11" t="str">
        <f t="shared" si="16"/>
        <v>Jul</v>
      </c>
      <c r="G83" s="11" t="str">
        <f t="shared" si="17"/>
        <v>Jul'14/15</v>
      </c>
      <c r="M83" s="6" t="s">
        <v>22</v>
      </c>
      <c r="N83" s="5">
        <f t="shared" si="29"/>
        <v>80328</v>
      </c>
      <c r="O83" s="5">
        <f t="shared" si="18"/>
        <v>184276</v>
      </c>
      <c r="P83" s="5">
        <f t="shared" si="19"/>
        <v>480815</v>
      </c>
      <c r="Q83" s="5">
        <f t="shared" si="20"/>
        <v>987277</v>
      </c>
      <c r="R83" s="5">
        <f t="shared" si="21"/>
        <v>1489798</v>
      </c>
      <c r="S83" s="5">
        <f t="shared" si="22"/>
        <v>2225044</v>
      </c>
      <c r="T83" s="5">
        <f t="shared" si="23"/>
        <v>2809107</v>
      </c>
      <c r="U83" s="5">
        <f t="shared" si="24"/>
        <v>3331954</v>
      </c>
      <c r="V83" s="5">
        <f t="shared" si="25"/>
        <v>3895363</v>
      </c>
      <c r="W83" s="5">
        <f t="shared" si="26"/>
        <v>4285980</v>
      </c>
      <c r="X83" s="5">
        <f t="shared" si="27"/>
        <v>4531215</v>
      </c>
      <c r="Y83" s="5">
        <f t="shared" si="28"/>
        <v>4700606</v>
      </c>
    </row>
    <row r="84" spans="2:25" x14ac:dyDescent="0.55000000000000004">
      <c r="B84" s="11">
        <v>1</v>
      </c>
      <c r="C84" s="11">
        <v>11</v>
      </c>
      <c r="D84" s="12" t="e">
        <f t="shared" si="14"/>
        <v>#N/A</v>
      </c>
      <c r="E84" s="11" t="str">
        <f t="shared" si="15"/>
        <v>14/15</v>
      </c>
      <c r="F84" s="11" t="str">
        <f t="shared" si="16"/>
        <v>Aug</v>
      </c>
      <c r="G84" s="11" t="str">
        <f t="shared" si="17"/>
        <v>Aug'14/15</v>
      </c>
      <c r="H84" s="11" t="s">
        <v>34</v>
      </c>
      <c r="I84" s="11" t="s">
        <v>44</v>
      </c>
      <c r="M84" s="6" t="s">
        <v>23</v>
      </c>
      <c r="N84" s="5">
        <f t="shared" si="29"/>
        <v>40841.973999999995</v>
      </c>
      <c r="O84" s="5">
        <f t="shared" si="18"/>
        <v>92864.907333333336</v>
      </c>
      <c r="P84" s="5">
        <f t="shared" si="19"/>
        <v>289169.59299999999</v>
      </c>
      <c r="Q84" s="5">
        <f t="shared" si="20"/>
        <v>809964.36600000004</v>
      </c>
      <c r="R84" s="5">
        <f t="shared" si="21"/>
        <v>1377075.2893333335</v>
      </c>
      <c r="S84" s="5">
        <f t="shared" si="22"/>
        <v>2011059.5176666668</v>
      </c>
      <c r="T84" s="5">
        <f t="shared" si="23"/>
        <v>2756204.3560000001</v>
      </c>
      <c r="U84" s="5">
        <f t="shared" si="24"/>
        <v>3582233.2943333336</v>
      </c>
      <c r="V84" s="5">
        <f t="shared" si="25"/>
        <v>4199369.4553333335</v>
      </c>
      <c r="W84" s="5">
        <f t="shared" si="26"/>
        <v>4728117.4136666665</v>
      </c>
      <c r="X84" s="5">
        <f t="shared" si="27"/>
        <v>5126991.9390000002</v>
      </c>
      <c r="Y84" s="5">
        <f t="shared" si="28"/>
        <v>5342962.6060000006</v>
      </c>
    </row>
    <row r="85" spans="2:25" x14ac:dyDescent="0.55000000000000004">
      <c r="B85" s="11">
        <v>1</v>
      </c>
      <c r="C85" s="11">
        <v>12</v>
      </c>
      <c r="D85" s="12" t="e">
        <f t="shared" si="14"/>
        <v>#N/A</v>
      </c>
      <c r="E85" s="11" t="str">
        <f t="shared" si="15"/>
        <v>14/15</v>
      </c>
      <c r="F85" s="11" t="str">
        <f t="shared" si="16"/>
        <v>Sep</v>
      </c>
      <c r="G85" s="11" t="str">
        <f t="shared" si="17"/>
        <v>Sep'14/15</v>
      </c>
      <c r="H85" s="11" t="str">
        <f>G85</f>
        <v>Sep'14/15</v>
      </c>
      <c r="I85" s="11" t="e">
        <f>SUM(D74:D85)/1000000</f>
        <v>#N/A</v>
      </c>
      <c r="M85" s="6" t="s">
        <v>24</v>
      </c>
      <c r="N85" s="5">
        <f t="shared" si="29"/>
        <v>24843.948333333337</v>
      </c>
      <c r="O85" s="5">
        <f t="shared" si="18"/>
        <v>92298.348333333328</v>
      </c>
      <c r="P85" s="5">
        <f t="shared" si="19"/>
        <v>305416.34066666663</v>
      </c>
      <c r="Q85" s="5">
        <f t="shared" si="20"/>
        <v>647782.18900000001</v>
      </c>
      <c r="R85" s="5">
        <f t="shared" si="21"/>
        <v>1226499.0656666667</v>
      </c>
      <c r="S85" s="5">
        <f t="shared" si="22"/>
        <v>1944482.0656666667</v>
      </c>
      <c r="T85" s="5">
        <f t="shared" si="23"/>
        <v>2493579.0656666667</v>
      </c>
      <c r="U85" s="5">
        <f t="shared" si="24"/>
        <v>3267145.0656666667</v>
      </c>
      <c r="V85" s="5">
        <f t="shared" si="25"/>
        <v>3814351.405666667</v>
      </c>
      <c r="W85" s="5">
        <f t="shared" si="26"/>
        <v>4282531.0720000006</v>
      </c>
      <c r="X85" s="5">
        <f t="shared" si="27"/>
        <v>4530972.0720000006</v>
      </c>
      <c r="Y85" s="5">
        <f t="shared" si="28"/>
        <v>4799715.0720000006</v>
      </c>
    </row>
    <row r="86" spans="2:25" x14ac:dyDescent="0.55000000000000004">
      <c r="B86" s="11">
        <f>B74+1</f>
        <v>2</v>
      </c>
      <c r="C86" s="11">
        <f>C74</f>
        <v>1</v>
      </c>
      <c r="D86" s="12" t="e">
        <f t="shared" si="14"/>
        <v>#N/A</v>
      </c>
      <c r="E86" s="11" t="str">
        <f t="shared" si="15"/>
        <v>15/16</v>
      </c>
      <c r="F86" s="11" t="str">
        <f t="shared" si="16"/>
        <v>Oct</v>
      </c>
      <c r="G86" s="11" t="str">
        <f t="shared" si="17"/>
        <v>Oct'15/16</v>
      </c>
      <c r="H86" s="11" t="str">
        <f t="shared" ref="H86:H149" si="30">G86</f>
        <v>Oct'15/16</v>
      </c>
      <c r="I86" s="11" t="e">
        <f t="shared" ref="I86:I149" si="31">SUM(D75:D86)/1000000</f>
        <v>#N/A</v>
      </c>
      <c r="M86" s="6" t="s">
        <v>25</v>
      </c>
      <c r="N86" s="5">
        <f t="shared" si="29"/>
        <v>17311.517333333333</v>
      </c>
      <c r="O86" s="5">
        <f t="shared" si="18"/>
        <v>46094.085333333329</v>
      </c>
      <c r="P86" s="5">
        <f t="shared" si="19"/>
        <v>132352.87133333331</v>
      </c>
      <c r="Q86" s="5">
        <f t="shared" si="20"/>
        <v>498396.81333333324</v>
      </c>
      <c r="R86" s="5">
        <f t="shared" si="21"/>
        <v>1104521.0113333333</v>
      </c>
      <c r="S86" s="5">
        <f t="shared" si="22"/>
        <v>1916991.7333333329</v>
      </c>
      <c r="T86" s="5">
        <f t="shared" si="23"/>
        <v>2468748.2246666662</v>
      </c>
      <c r="U86" s="5">
        <f t="shared" si="24"/>
        <v>3230781.0813333327</v>
      </c>
      <c r="V86" s="5">
        <f t="shared" si="25"/>
        <v>3871634.543333333</v>
      </c>
      <c r="W86" s="5">
        <f t="shared" si="26"/>
        <v>4330352.7379999999</v>
      </c>
      <c r="X86" s="5">
        <f t="shared" si="27"/>
        <v>4557073.344333333</v>
      </c>
      <c r="Y86" s="5">
        <f t="shared" si="28"/>
        <v>4752669.0919803921</v>
      </c>
    </row>
    <row r="87" spans="2:25" x14ac:dyDescent="0.55000000000000004">
      <c r="B87" s="11">
        <f t="shared" ref="B87:B150" si="32">B75+1</f>
        <v>2</v>
      </c>
      <c r="C87" s="11">
        <f t="shared" ref="C87:C150" si="33">C75</f>
        <v>2</v>
      </c>
      <c r="D87" s="12" t="e">
        <f t="shared" si="14"/>
        <v>#N/A</v>
      </c>
      <c r="E87" s="11" t="str">
        <f t="shared" si="15"/>
        <v>15/16</v>
      </c>
      <c r="F87" s="11" t="str">
        <f t="shared" si="16"/>
        <v>Nov</v>
      </c>
      <c r="G87" s="11" t="str">
        <f t="shared" si="17"/>
        <v>Nov'15/16</v>
      </c>
      <c r="H87" s="11" t="str">
        <f t="shared" si="30"/>
        <v>Nov'15/16</v>
      </c>
      <c r="I87" s="11" t="e">
        <f t="shared" si="31"/>
        <v>#N/A</v>
      </c>
      <c r="M87" s="6" t="s">
        <v>26</v>
      </c>
      <c r="N87" s="5">
        <f t="shared" si="29"/>
        <v>29951.903333333332</v>
      </c>
      <c r="O87" s="5">
        <f t="shared" si="18"/>
        <v>90175.593999999997</v>
      </c>
      <c r="P87" s="5">
        <f t="shared" si="19"/>
        <v>361887.35899999994</v>
      </c>
      <c r="Q87" s="5">
        <f t="shared" si="20"/>
        <v>1001887.3589999999</v>
      </c>
      <c r="R87" s="5">
        <f t="shared" si="21"/>
        <v>1941887.3589999999</v>
      </c>
      <c r="S87" s="5">
        <f t="shared" si="22"/>
        <v>2911887.3590000002</v>
      </c>
      <c r="T87" s="5">
        <f t="shared" si="23"/>
        <v>3591887.3590000002</v>
      </c>
      <c r="U87" s="5">
        <f t="shared" si="24"/>
        <v>4351887.3590000002</v>
      </c>
      <c r="V87" s="5">
        <f t="shared" si="25"/>
        <v>4971887.3590000002</v>
      </c>
      <c r="W87" s="5">
        <f t="shared" si="26"/>
        <v>5341887.3590000002</v>
      </c>
      <c r="X87" s="5">
        <f t="shared" si="27"/>
        <v>5581887.3590000002</v>
      </c>
      <c r="Y87" s="5" t="e">
        <f t="shared" si="28"/>
        <v>#N/A</v>
      </c>
    </row>
    <row r="88" spans="2:25" x14ac:dyDescent="0.55000000000000004">
      <c r="B88" s="11">
        <f t="shared" si="32"/>
        <v>2</v>
      </c>
      <c r="C88" s="11">
        <f t="shared" si="33"/>
        <v>3</v>
      </c>
      <c r="D88" s="12" t="e">
        <f t="shared" si="14"/>
        <v>#N/A</v>
      </c>
      <c r="E88" s="11" t="str">
        <f t="shared" si="15"/>
        <v>15/16</v>
      </c>
      <c r="F88" s="11" t="str">
        <f t="shared" si="16"/>
        <v>Dec</v>
      </c>
      <c r="G88" s="11" t="str">
        <f t="shared" si="17"/>
        <v>Dec'15/16</v>
      </c>
      <c r="H88" s="11" t="str">
        <f t="shared" si="30"/>
        <v>Dec'15/16</v>
      </c>
      <c r="I88" s="11" t="e">
        <f t="shared" si="31"/>
        <v>#N/A</v>
      </c>
      <c r="M88" s="6" t="s">
        <v>27</v>
      </c>
      <c r="N88" s="5" t="e">
        <f t="shared" si="29"/>
        <v>#N/A</v>
      </c>
      <c r="O88" s="5" t="e">
        <f t="shared" si="18"/>
        <v>#N/A</v>
      </c>
      <c r="P88" s="5" t="e">
        <f t="shared" si="19"/>
        <v>#N/A</v>
      </c>
      <c r="Q88" s="5" t="e">
        <f t="shared" si="20"/>
        <v>#N/A</v>
      </c>
      <c r="R88" s="5" t="e">
        <f t="shared" si="21"/>
        <v>#N/A</v>
      </c>
      <c r="S88" s="5" t="e">
        <f t="shared" si="22"/>
        <v>#N/A</v>
      </c>
      <c r="T88" s="5" t="e">
        <f t="shared" si="23"/>
        <v>#N/A</v>
      </c>
      <c r="U88" s="5" t="e">
        <f t="shared" si="24"/>
        <v>#N/A</v>
      </c>
      <c r="V88" s="5" t="e">
        <f t="shared" si="25"/>
        <v>#N/A</v>
      </c>
      <c r="W88" s="5" t="e">
        <f t="shared" si="26"/>
        <v>#N/A</v>
      </c>
      <c r="X88" s="5" t="e">
        <f t="shared" si="27"/>
        <v>#N/A</v>
      </c>
      <c r="Y88" s="5" t="e">
        <f t="shared" si="28"/>
        <v>#N/A</v>
      </c>
    </row>
    <row r="89" spans="2:25" x14ac:dyDescent="0.55000000000000004">
      <c r="B89" s="11">
        <f t="shared" si="32"/>
        <v>2</v>
      </c>
      <c r="C89" s="11">
        <f t="shared" si="33"/>
        <v>4</v>
      </c>
      <c r="D89" s="12" t="e">
        <f t="shared" si="14"/>
        <v>#N/A</v>
      </c>
      <c r="E89" s="11" t="str">
        <f t="shared" si="15"/>
        <v>15/16</v>
      </c>
      <c r="F89" s="11" t="str">
        <f t="shared" si="16"/>
        <v>Jan</v>
      </c>
      <c r="G89" s="11" t="str">
        <f t="shared" si="17"/>
        <v>Jan'15/16</v>
      </c>
      <c r="H89" s="11" t="str">
        <f t="shared" si="30"/>
        <v>Jan'15/16</v>
      </c>
      <c r="I89" s="11" t="e">
        <f t="shared" si="31"/>
        <v>#N/A</v>
      </c>
    </row>
    <row r="90" spans="2:25" x14ac:dyDescent="0.55000000000000004">
      <c r="B90" s="11">
        <f t="shared" si="32"/>
        <v>2</v>
      </c>
      <c r="C90" s="11">
        <f t="shared" si="33"/>
        <v>5</v>
      </c>
      <c r="D90" s="12" t="e">
        <f t="shared" si="14"/>
        <v>#N/A</v>
      </c>
      <c r="E90" s="11" t="str">
        <f t="shared" si="15"/>
        <v>15/16</v>
      </c>
      <c r="F90" s="11" t="str">
        <f t="shared" si="16"/>
        <v>Feb</v>
      </c>
      <c r="G90" s="11" t="str">
        <f t="shared" si="17"/>
        <v>Feb'15/16</v>
      </c>
      <c r="H90" s="11" t="str">
        <f t="shared" si="30"/>
        <v>Feb'15/16</v>
      </c>
      <c r="I90" s="11" t="e">
        <f t="shared" si="31"/>
        <v>#N/A</v>
      </c>
    </row>
    <row r="91" spans="2:25" x14ac:dyDescent="0.55000000000000004">
      <c r="B91" s="11">
        <f t="shared" si="32"/>
        <v>2</v>
      </c>
      <c r="C91" s="11">
        <f t="shared" si="33"/>
        <v>6</v>
      </c>
      <c r="D91" s="12" t="e">
        <f t="shared" si="14"/>
        <v>#N/A</v>
      </c>
      <c r="E91" s="11" t="str">
        <f t="shared" si="15"/>
        <v>15/16</v>
      </c>
      <c r="F91" s="11" t="str">
        <f t="shared" si="16"/>
        <v>Mar</v>
      </c>
      <c r="G91" s="11" t="str">
        <f t="shared" si="17"/>
        <v>Mar'15/16</v>
      </c>
      <c r="H91" s="11" t="str">
        <f t="shared" si="30"/>
        <v>Mar'15/16</v>
      </c>
      <c r="I91" s="11" t="e">
        <f t="shared" si="31"/>
        <v>#N/A</v>
      </c>
    </row>
    <row r="92" spans="2:25" x14ac:dyDescent="0.55000000000000004">
      <c r="B92" s="11">
        <f t="shared" si="32"/>
        <v>2</v>
      </c>
      <c r="C92" s="11">
        <f t="shared" si="33"/>
        <v>7</v>
      </c>
      <c r="D92" s="12" t="e">
        <f t="shared" si="14"/>
        <v>#N/A</v>
      </c>
      <c r="E92" s="11" t="str">
        <f t="shared" si="15"/>
        <v>15/16</v>
      </c>
      <c r="F92" s="11" t="str">
        <f t="shared" si="16"/>
        <v>Apr</v>
      </c>
      <c r="G92" s="11" t="str">
        <f t="shared" si="17"/>
        <v>Apr'15/16</v>
      </c>
      <c r="H92" s="11" t="str">
        <f t="shared" si="30"/>
        <v>Apr'15/16</v>
      </c>
      <c r="I92" s="11" t="e">
        <f t="shared" si="31"/>
        <v>#N/A</v>
      </c>
    </row>
    <row r="93" spans="2:25" x14ac:dyDescent="0.55000000000000004">
      <c r="B93" s="11">
        <f t="shared" si="32"/>
        <v>2</v>
      </c>
      <c r="C93" s="11">
        <f t="shared" si="33"/>
        <v>8</v>
      </c>
      <c r="D93" s="12" t="e">
        <f t="shared" si="14"/>
        <v>#N/A</v>
      </c>
      <c r="E93" s="11" t="str">
        <f t="shared" si="15"/>
        <v>15/16</v>
      </c>
      <c r="F93" s="11" t="str">
        <f t="shared" si="16"/>
        <v>May</v>
      </c>
      <c r="G93" s="11" t="str">
        <f t="shared" si="17"/>
        <v>May'15/16</v>
      </c>
      <c r="H93" s="11" t="str">
        <f t="shared" si="30"/>
        <v>May'15/16</v>
      </c>
      <c r="I93" s="11" t="e">
        <f t="shared" si="31"/>
        <v>#N/A</v>
      </c>
    </row>
    <row r="94" spans="2:25" x14ac:dyDescent="0.55000000000000004">
      <c r="B94" s="11">
        <f t="shared" si="32"/>
        <v>2</v>
      </c>
      <c r="C94" s="11">
        <f t="shared" si="33"/>
        <v>9</v>
      </c>
      <c r="D94" s="12" t="e">
        <f t="shared" si="14"/>
        <v>#N/A</v>
      </c>
      <c r="E94" s="11" t="str">
        <f t="shared" si="15"/>
        <v>15/16</v>
      </c>
      <c r="F94" s="11" t="str">
        <f t="shared" si="16"/>
        <v>Jun</v>
      </c>
      <c r="G94" s="11" t="str">
        <f t="shared" si="17"/>
        <v>Jun'15/16</v>
      </c>
      <c r="H94" s="11" t="str">
        <f t="shared" si="30"/>
        <v>Jun'15/16</v>
      </c>
      <c r="I94" s="11" t="e">
        <f t="shared" si="31"/>
        <v>#N/A</v>
      </c>
    </row>
    <row r="95" spans="2:25" x14ac:dyDescent="0.55000000000000004">
      <c r="B95" s="11">
        <f t="shared" si="32"/>
        <v>2</v>
      </c>
      <c r="C95" s="11">
        <f t="shared" si="33"/>
        <v>10</v>
      </c>
      <c r="D95" s="12" t="e">
        <f t="shared" si="14"/>
        <v>#N/A</v>
      </c>
      <c r="E95" s="11" t="str">
        <f t="shared" si="15"/>
        <v>15/16</v>
      </c>
      <c r="F95" s="11" t="str">
        <f t="shared" si="16"/>
        <v>Jul</v>
      </c>
      <c r="G95" s="11" t="str">
        <f t="shared" si="17"/>
        <v>Jul'15/16</v>
      </c>
      <c r="H95" s="11" t="str">
        <f t="shared" si="30"/>
        <v>Jul'15/16</v>
      </c>
      <c r="I95" s="11" t="e">
        <f t="shared" si="31"/>
        <v>#N/A</v>
      </c>
    </row>
    <row r="96" spans="2:25" x14ac:dyDescent="0.55000000000000004">
      <c r="B96" s="11">
        <f t="shared" si="32"/>
        <v>2</v>
      </c>
      <c r="C96" s="11">
        <f t="shared" si="33"/>
        <v>11</v>
      </c>
      <c r="D96" s="12" t="e">
        <f t="shared" si="14"/>
        <v>#N/A</v>
      </c>
      <c r="E96" s="11" t="str">
        <f t="shared" si="15"/>
        <v>15/16</v>
      </c>
      <c r="F96" s="11" t="str">
        <f t="shared" si="16"/>
        <v>Aug</v>
      </c>
      <c r="G96" s="11" t="str">
        <f t="shared" si="17"/>
        <v>Aug'15/16</v>
      </c>
      <c r="H96" s="11" t="str">
        <f t="shared" si="30"/>
        <v>Aug'15/16</v>
      </c>
      <c r="I96" s="11" t="e">
        <f t="shared" si="31"/>
        <v>#N/A</v>
      </c>
    </row>
    <row r="97" spans="2:9" x14ac:dyDescent="0.55000000000000004">
      <c r="B97" s="11">
        <f t="shared" si="32"/>
        <v>2</v>
      </c>
      <c r="C97" s="11">
        <f t="shared" si="33"/>
        <v>12</v>
      </c>
      <c r="D97" s="12" t="e">
        <f t="shared" si="14"/>
        <v>#N/A</v>
      </c>
      <c r="E97" s="11" t="str">
        <f t="shared" si="15"/>
        <v>15/16</v>
      </c>
      <c r="F97" s="11" t="str">
        <f t="shared" si="16"/>
        <v>Sep</v>
      </c>
      <c r="G97" s="11" t="str">
        <f t="shared" si="17"/>
        <v>Sep'15/16</v>
      </c>
      <c r="H97" s="11" t="str">
        <f t="shared" si="30"/>
        <v>Sep'15/16</v>
      </c>
      <c r="I97" s="11" t="e">
        <f t="shared" si="31"/>
        <v>#N/A</v>
      </c>
    </row>
    <row r="98" spans="2:9" x14ac:dyDescent="0.55000000000000004">
      <c r="B98" s="11">
        <f t="shared" si="32"/>
        <v>3</v>
      </c>
      <c r="C98" s="11">
        <f t="shared" si="33"/>
        <v>1</v>
      </c>
      <c r="D98" s="12" t="e">
        <f t="shared" si="14"/>
        <v>#N/A</v>
      </c>
      <c r="E98" s="11" t="str">
        <f t="shared" si="15"/>
        <v>16/17</v>
      </c>
      <c r="F98" s="11" t="str">
        <f t="shared" si="16"/>
        <v>Oct</v>
      </c>
      <c r="G98" s="11" t="str">
        <f t="shared" si="17"/>
        <v>Oct'16/17</v>
      </c>
      <c r="H98" s="11" t="str">
        <f t="shared" si="30"/>
        <v>Oct'16/17</v>
      </c>
      <c r="I98" s="11" t="e">
        <f t="shared" si="31"/>
        <v>#N/A</v>
      </c>
    </row>
    <row r="99" spans="2:9" x14ac:dyDescent="0.55000000000000004">
      <c r="B99" s="11">
        <f t="shared" si="32"/>
        <v>3</v>
      </c>
      <c r="C99" s="11">
        <f t="shared" si="33"/>
        <v>2</v>
      </c>
      <c r="D99" s="12" t="e">
        <f t="shared" si="14"/>
        <v>#N/A</v>
      </c>
      <c r="E99" s="11" t="str">
        <f t="shared" si="15"/>
        <v>16/17</v>
      </c>
      <c r="F99" s="11" t="str">
        <f t="shared" si="16"/>
        <v>Nov</v>
      </c>
      <c r="G99" s="11" t="str">
        <f t="shared" si="17"/>
        <v>Nov'16/17</v>
      </c>
      <c r="H99" s="11" t="str">
        <f t="shared" si="30"/>
        <v>Nov'16/17</v>
      </c>
      <c r="I99" s="11" t="e">
        <f t="shared" si="31"/>
        <v>#N/A</v>
      </c>
    </row>
    <row r="100" spans="2:9" x14ac:dyDescent="0.55000000000000004">
      <c r="B100" s="11">
        <f t="shared" si="32"/>
        <v>3</v>
      </c>
      <c r="C100" s="11">
        <f t="shared" si="33"/>
        <v>3</v>
      </c>
      <c r="D100" s="12" t="e">
        <f t="shared" si="14"/>
        <v>#N/A</v>
      </c>
      <c r="E100" s="11" t="str">
        <f t="shared" si="15"/>
        <v>16/17</v>
      </c>
      <c r="F100" s="11" t="str">
        <f t="shared" si="16"/>
        <v>Dec</v>
      </c>
      <c r="G100" s="11" t="str">
        <f t="shared" si="17"/>
        <v>Dec'16/17</v>
      </c>
      <c r="H100" s="11" t="str">
        <f t="shared" si="30"/>
        <v>Dec'16/17</v>
      </c>
      <c r="I100" s="11" t="e">
        <f t="shared" si="31"/>
        <v>#N/A</v>
      </c>
    </row>
    <row r="101" spans="2:9" x14ac:dyDescent="0.55000000000000004">
      <c r="B101" s="11">
        <f t="shared" si="32"/>
        <v>3</v>
      </c>
      <c r="C101" s="11">
        <f t="shared" si="33"/>
        <v>4</v>
      </c>
      <c r="D101" s="12" t="e">
        <f t="shared" si="14"/>
        <v>#N/A</v>
      </c>
      <c r="E101" s="11" t="str">
        <f t="shared" si="15"/>
        <v>16/17</v>
      </c>
      <c r="F101" s="11" t="str">
        <f t="shared" si="16"/>
        <v>Jan</v>
      </c>
      <c r="G101" s="11" t="str">
        <f t="shared" si="17"/>
        <v>Jan'16/17</v>
      </c>
      <c r="H101" s="11" t="str">
        <f t="shared" si="30"/>
        <v>Jan'16/17</v>
      </c>
      <c r="I101" s="11" t="e">
        <f t="shared" si="31"/>
        <v>#N/A</v>
      </c>
    </row>
    <row r="102" spans="2:9" x14ac:dyDescent="0.55000000000000004">
      <c r="B102" s="11">
        <f t="shared" si="32"/>
        <v>3</v>
      </c>
      <c r="C102" s="11">
        <f t="shared" si="33"/>
        <v>5</v>
      </c>
      <c r="D102" s="12" t="e">
        <f t="shared" si="14"/>
        <v>#N/A</v>
      </c>
      <c r="E102" s="11" t="str">
        <f t="shared" si="15"/>
        <v>16/17</v>
      </c>
      <c r="F102" s="11" t="str">
        <f t="shared" si="16"/>
        <v>Feb</v>
      </c>
      <c r="G102" s="11" t="str">
        <f t="shared" si="17"/>
        <v>Feb'16/17</v>
      </c>
      <c r="H102" s="11" t="str">
        <f t="shared" si="30"/>
        <v>Feb'16/17</v>
      </c>
      <c r="I102" s="11" t="e">
        <f t="shared" si="31"/>
        <v>#N/A</v>
      </c>
    </row>
    <row r="103" spans="2:9" x14ac:dyDescent="0.55000000000000004">
      <c r="B103" s="11">
        <f t="shared" si="32"/>
        <v>3</v>
      </c>
      <c r="C103" s="11">
        <f t="shared" si="33"/>
        <v>6</v>
      </c>
      <c r="D103" s="12" t="e">
        <f t="shared" si="14"/>
        <v>#N/A</v>
      </c>
      <c r="E103" s="11" t="str">
        <f t="shared" si="15"/>
        <v>16/17</v>
      </c>
      <c r="F103" s="11" t="str">
        <f t="shared" si="16"/>
        <v>Mar</v>
      </c>
      <c r="G103" s="11" t="str">
        <f t="shared" si="17"/>
        <v>Mar'16/17</v>
      </c>
      <c r="H103" s="11" t="str">
        <f t="shared" si="30"/>
        <v>Mar'16/17</v>
      </c>
      <c r="I103" s="11" t="e">
        <f t="shared" si="31"/>
        <v>#N/A</v>
      </c>
    </row>
    <row r="104" spans="2:9" x14ac:dyDescent="0.55000000000000004">
      <c r="B104" s="11">
        <f t="shared" si="32"/>
        <v>3</v>
      </c>
      <c r="C104" s="11">
        <f t="shared" si="33"/>
        <v>7</v>
      </c>
      <c r="D104" s="12" t="e">
        <f t="shared" si="14"/>
        <v>#N/A</v>
      </c>
      <c r="E104" s="11" t="str">
        <f t="shared" si="15"/>
        <v>16/17</v>
      </c>
      <c r="F104" s="11" t="str">
        <f t="shared" si="16"/>
        <v>Apr</v>
      </c>
      <c r="G104" s="11" t="str">
        <f t="shared" si="17"/>
        <v>Apr'16/17</v>
      </c>
      <c r="H104" s="11" t="str">
        <f t="shared" si="30"/>
        <v>Apr'16/17</v>
      </c>
      <c r="I104" s="11" t="e">
        <f t="shared" si="31"/>
        <v>#N/A</v>
      </c>
    </row>
    <row r="105" spans="2:9" x14ac:dyDescent="0.55000000000000004">
      <c r="B105" s="11">
        <f t="shared" si="32"/>
        <v>3</v>
      </c>
      <c r="C105" s="11">
        <f t="shared" si="33"/>
        <v>8</v>
      </c>
      <c r="D105" s="12" t="e">
        <f t="shared" si="14"/>
        <v>#N/A</v>
      </c>
      <c r="E105" s="11" t="str">
        <f t="shared" si="15"/>
        <v>16/17</v>
      </c>
      <c r="F105" s="11" t="str">
        <f t="shared" si="16"/>
        <v>May</v>
      </c>
      <c r="G105" s="11" t="str">
        <f t="shared" si="17"/>
        <v>May'16/17</v>
      </c>
      <c r="H105" s="11" t="str">
        <f t="shared" si="30"/>
        <v>May'16/17</v>
      </c>
      <c r="I105" s="11" t="e">
        <f t="shared" si="31"/>
        <v>#N/A</v>
      </c>
    </row>
    <row r="106" spans="2:9" x14ac:dyDescent="0.55000000000000004">
      <c r="B106" s="11">
        <f t="shared" si="32"/>
        <v>3</v>
      </c>
      <c r="C106" s="11">
        <f t="shared" si="33"/>
        <v>9</v>
      </c>
      <c r="D106" s="12" t="e">
        <f t="shared" si="14"/>
        <v>#N/A</v>
      </c>
      <c r="E106" s="11" t="str">
        <f t="shared" si="15"/>
        <v>16/17</v>
      </c>
      <c r="F106" s="11" t="str">
        <f t="shared" si="16"/>
        <v>Jun</v>
      </c>
      <c r="G106" s="11" t="str">
        <f t="shared" si="17"/>
        <v>Jun'16/17</v>
      </c>
      <c r="H106" s="11" t="str">
        <f t="shared" si="30"/>
        <v>Jun'16/17</v>
      </c>
      <c r="I106" s="11" t="e">
        <f t="shared" si="31"/>
        <v>#N/A</v>
      </c>
    </row>
    <row r="107" spans="2:9" x14ac:dyDescent="0.55000000000000004">
      <c r="B107" s="11">
        <f t="shared" si="32"/>
        <v>3</v>
      </c>
      <c r="C107" s="11">
        <f t="shared" si="33"/>
        <v>10</v>
      </c>
      <c r="D107" s="12" t="e">
        <f t="shared" si="14"/>
        <v>#N/A</v>
      </c>
      <c r="E107" s="11" t="str">
        <f t="shared" si="15"/>
        <v>16/17</v>
      </c>
      <c r="F107" s="11" t="str">
        <f t="shared" si="16"/>
        <v>Jul</v>
      </c>
      <c r="G107" s="11" t="str">
        <f t="shared" si="17"/>
        <v>Jul'16/17</v>
      </c>
      <c r="H107" s="11" t="str">
        <f t="shared" si="30"/>
        <v>Jul'16/17</v>
      </c>
      <c r="I107" s="11" t="e">
        <f t="shared" si="31"/>
        <v>#N/A</v>
      </c>
    </row>
    <row r="108" spans="2:9" x14ac:dyDescent="0.55000000000000004">
      <c r="B108" s="11">
        <f t="shared" si="32"/>
        <v>3</v>
      </c>
      <c r="C108" s="11">
        <f t="shared" si="33"/>
        <v>11</v>
      </c>
      <c r="D108" s="12" t="e">
        <f t="shared" si="14"/>
        <v>#N/A</v>
      </c>
      <c r="E108" s="11" t="str">
        <f t="shared" si="15"/>
        <v>16/17</v>
      </c>
      <c r="F108" s="11" t="str">
        <f t="shared" si="16"/>
        <v>Aug</v>
      </c>
      <c r="G108" s="11" t="str">
        <f t="shared" si="17"/>
        <v>Aug'16/17</v>
      </c>
      <c r="H108" s="11" t="str">
        <f t="shared" si="30"/>
        <v>Aug'16/17</v>
      </c>
      <c r="I108" s="11" t="e">
        <f t="shared" si="31"/>
        <v>#N/A</v>
      </c>
    </row>
    <row r="109" spans="2:9" x14ac:dyDescent="0.55000000000000004">
      <c r="B109" s="11">
        <f t="shared" si="32"/>
        <v>3</v>
      </c>
      <c r="C109" s="11">
        <f t="shared" si="33"/>
        <v>12</v>
      </c>
      <c r="D109" s="12" t="e">
        <f t="shared" si="14"/>
        <v>#N/A</v>
      </c>
      <c r="E109" s="11" t="str">
        <f t="shared" si="15"/>
        <v>16/17</v>
      </c>
      <c r="F109" s="11" t="str">
        <f t="shared" si="16"/>
        <v>Sep</v>
      </c>
      <c r="G109" s="11" t="str">
        <f t="shared" si="17"/>
        <v>Sep'16/17</v>
      </c>
      <c r="H109" s="11" t="str">
        <f t="shared" si="30"/>
        <v>Sep'16/17</v>
      </c>
      <c r="I109" s="11" t="e">
        <f t="shared" si="31"/>
        <v>#N/A</v>
      </c>
    </row>
    <row r="110" spans="2:9" x14ac:dyDescent="0.55000000000000004">
      <c r="B110" s="11">
        <f t="shared" si="32"/>
        <v>4</v>
      </c>
      <c r="C110" s="11">
        <f t="shared" si="33"/>
        <v>1</v>
      </c>
      <c r="D110" s="12">
        <f t="shared" si="14"/>
        <v>52017</v>
      </c>
      <c r="E110" s="11" t="str">
        <f t="shared" si="15"/>
        <v>17/18</v>
      </c>
      <c r="F110" s="11" t="str">
        <f t="shared" si="16"/>
        <v>Oct</v>
      </c>
      <c r="G110" s="11" t="str">
        <f t="shared" si="17"/>
        <v>Oct'17/18</v>
      </c>
      <c r="H110" s="11" t="str">
        <f t="shared" si="30"/>
        <v>Oct'17/18</v>
      </c>
      <c r="I110" s="11" t="e">
        <f t="shared" si="31"/>
        <v>#N/A</v>
      </c>
    </row>
    <row r="111" spans="2:9" x14ac:dyDescent="0.55000000000000004">
      <c r="B111" s="11">
        <f t="shared" si="32"/>
        <v>4</v>
      </c>
      <c r="C111" s="11">
        <f t="shared" si="33"/>
        <v>2</v>
      </c>
      <c r="D111" s="12">
        <f t="shared" si="14"/>
        <v>165808</v>
      </c>
      <c r="E111" s="11" t="str">
        <f t="shared" si="15"/>
        <v>17/18</v>
      </c>
      <c r="F111" s="11" t="str">
        <f t="shared" si="16"/>
        <v>Nov</v>
      </c>
      <c r="G111" s="11" t="str">
        <f t="shared" si="17"/>
        <v>Nov'17/18</v>
      </c>
      <c r="H111" s="11" t="str">
        <f t="shared" si="30"/>
        <v>Nov'17/18</v>
      </c>
      <c r="I111" s="11" t="e">
        <f t="shared" si="31"/>
        <v>#N/A</v>
      </c>
    </row>
    <row r="112" spans="2:9" x14ac:dyDescent="0.55000000000000004">
      <c r="B112" s="11">
        <f t="shared" si="32"/>
        <v>4</v>
      </c>
      <c r="C112" s="11">
        <f t="shared" si="33"/>
        <v>3</v>
      </c>
      <c r="D112" s="12">
        <f t="shared" si="14"/>
        <v>422141</v>
      </c>
      <c r="E112" s="11" t="str">
        <f t="shared" si="15"/>
        <v>17/18</v>
      </c>
      <c r="F112" s="11" t="str">
        <f t="shared" si="16"/>
        <v>Dec</v>
      </c>
      <c r="G112" s="11" t="str">
        <f t="shared" si="17"/>
        <v>Dec'17/18</v>
      </c>
      <c r="H112" s="11" t="str">
        <f t="shared" si="30"/>
        <v>Dec'17/18</v>
      </c>
      <c r="I112" s="11" t="e">
        <f t="shared" si="31"/>
        <v>#N/A</v>
      </c>
    </row>
    <row r="113" spans="2:9" x14ac:dyDescent="0.55000000000000004">
      <c r="B113" s="11">
        <f t="shared" si="32"/>
        <v>4</v>
      </c>
      <c r="C113" s="11">
        <f t="shared" si="33"/>
        <v>4</v>
      </c>
      <c r="D113" s="12">
        <f t="shared" si="14"/>
        <v>887643</v>
      </c>
      <c r="E113" s="11" t="str">
        <f t="shared" si="15"/>
        <v>17/18</v>
      </c>
      <c r="F113" s="11" t="str">
        <f t="shared" si="16"/>
        <v>Jan</v>
      </c>
      <c r="G113" s="11" t="str">
        <f t="shared" si="17"/>
        <v>Jan'17/18</v>
      </c>
      <c r="H113" s="11" t="str">
        <f t="shared" si="30"/>
        <v>Jan'17/18</v>
      </c>
      <c r="I113" s="11" t="e">
        <f t="shared" si="31"/>
        <v>#N/A</v>
      </c>
    </row>
    <row r="114" spans="2:9" x14ac:dyDescent="0.55000000000000004">
      <c r="B114" s="11">
        <f t="shared" si="32"/>
        <v>4</v>
      </c>
      <c r="C114" s="11">
        <f t="shared" si="33"/>
        <v>5</v>
      </c>
      <c r="D114" s="12">
        <f t="shared" si="14"/>
        <v>963774</v>
      </c>
      <c r="E114" s="11" t="str">
        <f t="shared" si="15"/>
        <v>17/18</v>
      </c>
      <c r="F114" s="11" t="str">
        <f t="shared" si="16"/>
        <v>Feb</v>
      </c>
      <c r="G114" s="11" t="str">
        <f t="shared" si="17"/>
        <v>Feb'17/18</v>
      </c>
      <c r="H114" s="11" t="str">
        <f t="shared" si="30"/>
        <v>Feb'17/18</v>
      </c>
      <c r="I114" s="11" t="e">
        <f t="shared" si="31"/>
        <v>#N/A</v>
      </c>
    </row>
    <row r="115" spans="2:9" x14ac:dyDescent="0.55000000000000004">
      <c r="B115" s="11">
        <f t="shared" si="32"/>
        <v>4</v>
      </c>
      <c r="C115" s="11">
        <f t="shared" si="33"/>
        <v>6</v>
      </c>
      <c r="D115" s="12">
        <f t="shared" si="14"/>
        <v>856773</v>
      </c>
      <c r="E115" s="11" t="str">
        <f t="shared" si="15"/>
        <v>17/18</v>
      </c>
      <c r="F115" s="11" t="str">
        <f t="shared" si="16"/>
        <v>Mar</v>
      </c>
      <c r="G115" s="11" t="str">
        <f t="shared" si="17"/>
        <v>Mar'17/18</v>
      </c>
      <c r="H115" s="11" t="str">
        <f t="shared" si="30"/>
        <v>Mar'17/18</v>
      </c>
      <c r="I115" s="11" t="e">
        <f t="shared" si="31"/>
        <v>#N/A</v>
      </c>
    </row>
    <row r="116" spans="2:9" x14ac:dyDescent="0.55000000000000004">
      <c r="B116" s="11">
        <f t="shared" si="32"/>
        <v>4</v>
      </c>
      <c r="C116" s="11">
        <f t="shared" si="33"/>
        <v>7</v>
      </c>
      <c r="D116" s="12">
        <f t="shared" si="14"/>
        <v>804573</v>
      </c>
      <c r="E116" s="11" t="str">
        <f t="shared" si="15"/>
        <v>17/18</v>
      </c>
      <c r="F116" s="11" t="str">
        <f t="shared" si="16"/>
        <v>Apr</v>
      </c>
      <c r="G116" s="11" t="str">
        <f t="shared" si="17"/>
        <v>Apr'17/18</v>
      </c>
      <c r="H116" s="11" t="str">
        <f t="shared" si="30"/>
        <v>Apr'17/18</v>
      </c>
      <c r="I116" s="11" t="e">
        <f t="shared" si="31"/>
        <v>#N/A</v>
      </c>
    </row>
    <row r="117" spans="2:9" x14ac:dyDescent="0.55000000000000004">
      <c r="B117" s="11">
        <f t="shared" si="32"/>
        <v>4</v>
      </c>
      <c r="C117" s="11">
        <f t="shared" si="33"/>
        <v>8</v>
      </c>
      <c r="D117" s="12">
        <f t="shared" si="14"/>
        <v>747591</v>
      </c>
      <c r="E117" s="11" t="str">
        <f t="shared" si="15"/>
        <v>17/18</v>
      </c>
      <c r="F117" s="11" t="str">
        <f t="shared" si="16"/>
        <v>May</v>
      </c>
      <c r="G117" s="11" t="str">
        <f t="shared" si="17"/>
        <v>May'17/18</v>
      </c>
      <c r="H117" s="11" t="str">
        <f t="shared" si="30"/>
        <v>May'17/18</v>
      </c>
      <c r="I117" s="11" t="e">
        <f t="shared" si="31"/>
        <v>#N/A</v>
      </c>
    </row>
    <row r="118" spans="2:9" x14ac:dyDescent="0.55000000000000004">
      <c r="B118" s="11">
        <f t="shared" si="32"/>
        <v>4</v>
      </c>
      <c r="C118" s="11">
        <f t="shared" si="33"/>
        <v>9</v>
      </c>
      <c r="D118" s="12">
        <f t="shared" si="14"/>
        <v>856001</v>
      </c>
      <c r="E118" s="11" t="str">
        <f t="shared" si="15"/>
        <v>17/18</v>
      </c>
      <c r="F118" s="11" t="str">
        <f t="shared" si="16"/>
        <v>Jun</v>
      </c>
      <c r="G118" s="11" t="str">
        <f t="shared" si="17"/>
        <v>Jun'17/18</v>
      </c>
      <c r="H118" s="11" t="str">
        <f t="shared" si="30"/>
        <v>Jun'17/18</v>
      </c>
      <c r="I118" s="11" t="e">
        <f t="shared" si="31"/>
        <v>#N/A</v>
      </c>
    </row>
    <row r="119" spans="2:9" x14ac:dyDescent="0.55000000000000004">
      <c r="B119" s="11">
        <f t="shared" si="32"/>
        <v>4</v>
      </c>
      <c r="C119" s="11">
        <f t="shared" si="33"/>
        <v>10</v>
      </c>
      <c r="D119" s="12">
        <f t="shared" si="14"/>
        <v>688193</v>
      </c>
      <c r="E119" s="11" t="str">
        <f t="shared" si="15"/>
        <v>17/18</v>
      </c>
      <c r="F119" s="11" t="str">
        <f t="shared" si="16"/>
        <v>Jul</v>
      </c>
      <c r="G119" s="11" t="str">
        <f t="shared" si="17"/>
        <v>Jul'17/18</v>
      </c>
      <c r="H119" s="11" t="str">
        <f t="shared" si="30"/>
        <v>Jul'17/18</v>
      </c>
      <c r="I119" s="11" t="e">
        <f t="shared" si="31"/>
        <v>#N/A</v>
      </c>
    </row>
    <row r="120" spans="2:9" x14ac:dyDescent="0.55000000000000004">
      <c r="B120" s="11">
        <f t="shared" si="32"/>
        <v>4</v>
      </c>
      <c r="C120" s="11">
        <f t="shared" si="33"/>
        <v>11</v>
      </c>
      <c r="D120" s="12">
        <f t="shared" si="14"/>
        <v>473626</v>
      </c>
      <c r="E120" s="11" t="str">
        <f t="shared" si="15"/>
        <v>17/18</v>
      </c>
      <c r="F120" s="11" t="str">
        <f t="shared" si="16"/>
        <v>Aug</v>
      </c>
      <c r="G120" s="11" t="str">
        <f t="shared" si="17"/>
        <v>Aug'17/18</v>
      </c>
      <c r="H120" s="11" t="str">
        <f t="shared" si="30"/>
        <v>Aug'17/18</v>
      </c>
      <c r="I120" s="11" t="e">
        <f t="shared" si="31"/>
        <v>#N/A</v>
      </c>
    </row>
    <row r="121" spans="2:9" x14ac:dyDescent="0.55000000000000004">
      <c r="B121" s="11">
        <f t="shared" si="32"/>
        <v>4</v>
      </c>
      <c r="C121" s="11">
        <f t="shared" si="33"/>
        <v>12</v>
      </c>
      <c r="D121" s="12">
        <f t="shared" si="14"/>
        <v>296640</v>
      </c>
      <c r="E121" s="11" t="str">
        <f t="shared" si="15"/>
        <v>17/18</v>
      </c>
      <c r="F121" s="11" t="str">
        <f t="shared" si="16"/>
        <v>Sep</v>
      </c>
      <c r="G121" s="11" t="str">
        <f t="shared" si="17"/>
        <v>Sep'17/18</v>
      </c>
      <c r="H121" s="11" t="str">
        <f t="shared" si="30"/>
        <v>Sep'17/18</v>
      </c>
      <c r="I121" s="11">
        <f t="shared" si="31"/>
        <v>7.2147800000000002</v>
      </c>
    </row>
    <row r="122" spans="2:9" x14ac:dyDescent="0.55000000000000004">
      <c r="B122" s="11">
        <f t="shared" si="32"/>
        <v>5</v>
      </c>
      <c r="C122" s="11">
        <f t="shared" si="33"/>
        <v>1</v>
      </c>
      <c r="D122" s="12">
        <f t="shared" si="14"/>
        <v>101053</v>
      </c>
      <c r="E122" s="11" t="str">
        <f t="shared" si="15"/>
        <v>18/19</v>
      </c>
      <c r="F122" s="11" t="str">
        <f t="shared" si="16"/>
        <v>Oct</v>
      </c>
      <c r="G122" s="11" t="str">
        <f t="shared" si="17"/>
        <v>Oct'18/19</v>
      </c>
      <c r="H122" s="11" t="str">
        <f t="shared" si="30"/>
        <v>Oct'18/19</v>
      </c>
      <c r="I122" s="11">
        <f t="shared" si="31"/>
        <v>7.2638160000000003</v>
      </c>
    </row>
    <row r="123" spans="2:9" x14ac:dyDescent="0.55000000000000004">
      <c r="B123" s="11">
        <f t="shared" si="32"/>
        <v>5</v>
      </c>
      <c r="C123" s="11">
        <f t="shared" si="33"/>
        <v>2</v>
      </c>
      <c r="D123" s="12">
        <f t="shared" si="14"/>
        <v>113896</v>
      </c>
      <c r="E123" s="11" t="str">
        <f t="shared" si="15"/>
        <v>18/19</v>
      </c>
      <c r="F123" s="11" t="str">
        <f t="shared" si="16"/>
        <v>Nov</v>
      </c>
      <c r="G123" s="11" t="str">
        <f t="shared" si="17"/>
        <v>Nov'18/19</v>
      </c>
      <c r="H123" s="11" t="str">
        <f t="shared" si="30"/>
        <v>Nov'18/19</v>
      </c>
      <c r="I123" s="11">
        <f t="shared" si="31"/>
        <v>7.2119039999999996</v>
      </c>
    </row>
    <row r="124" spans="2:9" x14ac:dyDescent="0.55000000000000004">
      <c r="B124" s="11">
        <f t="shared" si="32"/>
        <v>5</v>
      </c>
      <c r="C124" s="11">
        <f t="shared" si="33"/>
        <v>3</v>
      </c>
      <c r="D124" s="12">
        <f t="shared" si="14"/>
        <v>354121</v>
      </c>
      <c r="E124" s="11" t="str">
        <f t="shared" si="15"/>
        <v>18/19</v>
      </c>
      <c r="F124" s="11" t="str">
        <f t="shared" si="16"/>
        <v>Dec</v>
      </c>
      <c r="G124" s="11" t="str">
        <f t="shared" si="17"/>
        <v>Dec'18/19</v>
      </c>
      <c r="H124" s="11" t="str">
        <f t="shared" si="30"/>
        <v>Dec'18/19</v>
      </c>
      <c r="I124" s="11">
        <f t="shared" si="31"/>
        <v>7.1438839999999999</v>
      </c>
    </row>
    <row r="125" spans="2:9" x14ac:dyDescent="0.55000000000000004">
      <c r="B125" s="11">
        <f t="shared" si="32"/>
        <v>5</v>
      </c>
      <c r="C125" s="11">
        <f t="shared" si="33"/>
        <v>4</v>
      </c>
      <c r="D125" s="12">
        <f t="shared" si="14"/>
        <v>616091</v>
      </c>
      <c r="E125" s="11" t="str">
        <f t="shared" si="15"/>
        <v>18/19</v>
      </c>
      <c r="F125" s="11" t="str">
        <f t="shared" si="16"/>
        <v>Jan</v>
      </c>
      <c r="G125" s="11" t="str">
        <f t="shared" si="17"/>
        <v>Jan'18/19</v>
      </c>
      <c r="H125" s="11" t="str">
        <f t="shared" si="30"/>
        <v>Jan'18/19</v>
      </c>
      <c r="I125" s="11">
        <f t="shared" si="31"/>
        <v>6.8723320000000001</v>
      </c>
    </row>
    <row r="126" spans="2:9" x14ac:dyDescent="0.55000000000000004">
      <c r="B126" s="11">
        <f t="shared" si="32"/>
        <v>5</v>
      </c>
      <c r="C126" s="11">
        <f t="shared" si="33"/>
        <v>5</v>
      </c>
      <c r="D126" s="12">
        <f t="shared" si="14"/>
        <v>822798</v>
      </c>
      <c r="E126" s="11" t="str">
        <f t="shared" si="15"/>
        <v>18/19</v>
      </c>
      <c r="F126" s="11" t="str">
        <f t="shared" si="16"/>
        <v>Feb</v>
      </c>
      <c r="G126" s="11" t="str">
        <f t="shared" si="17"/>
        <v>Feb'18/19</v>
      </c>
      <c r="H126" s="11" t="str">
        <f t="shared" si="30"/>
        <v>Feb'18/19</v>
      </c>
      <c r="I126" s="11">
        <f t="shared" si="31"/>
        <v>6.7313559999999999</v>
      </c>
    </row>
    <row r="127" spans="2:9" x14ac:dyDescent="0.55000000000000004">
      <c r="B127" s="11">
        <f t="shared" si="32"/>
        <v>5</v>
      </c>
      <c r="C127" s="11">
        <f t="shared" si="33"/>
        <v>6</v>
      </c>
      <c r="D127" s="12">
        <f t="shared" si="14"/>
        <v>806252</v>
      </c>
      <c r="E127" s="11" t="str">
        <f t="shared" si="15"/>
        <v>18/19</v>
      </c>
      <c r="F127" s="11" t="str">
        <f t="shared" si="16"/>
        <v>Mar</v>
      </c>
      <c r="G127" s="11" t="str">
        <f t="shared" si="17"/>
        <v>Mar'18/19</v>
      </c>
      <c r="H127" s="11" t="str">
        <f t="shared" si="30"/>
        <v>Mar'18/19</v>
      </c>
      <c r="I127" s="11">
        <f t="shared" si="31"/>
        <v>6.6808350000000001</v>
      </c>
    </row>
    <row r="128" spans="2:9" x14ac:dyDescent="0.55000000000000004">
      <c r="B128" s="11">
        <f t="shared" si="32"/>
        <v>5</v>
      </c>
      <c r="C128" s="11">
        <f t="shared" si="33"/>
        <v>7</v>
      </c>
      <c r="D128" s="12">
        <f t="shared" si="14"/>
        <v>933537</v>
      </c>
      <c r="E128" s="11" t="str">
        <f t="shared" si="15"/>
        <v>18/19</v>
      </c>
      <c r="F128" s="11" t="str">
        <f t="shared" si="16"/>
        <v>Apr</v>
      </c>
      <c r="G128" s="11" t="str">
        <f t="shared" si="17"/>
        <v>Apr'18/19</v>
      </c>
      <c r="H128" s="11" t="str">
        <f t="shared" si="30"/>
        <v>Apr'18/19</v>
      </c>
      <c r="I128" s="11">
        <f t="shared" si="31"/>
        <v>6.8097989999999999</v>
      </c>
    </row>
    <row r="129" spans="2:18" x14ac:dyDescent="0.55000000000000004">
      <c r="B129" s="11">
        <f t="shared" si="32"/>
        <v>5</v>
      </c>
      <c r="C129" s="11">
        <f t="shared" si="33"/>
        <v>8</v>
      </c>
      <c r="D129" s="12">
        <f t="shared" si="14"/>
        <v>922397</v>
      </c>
      <c r="E129" s="11" t="str">
        <f t="shared" si="15"/>
        <v>18/19</v>
      </c>
      <c r="F129" s="11" t="str">
        <f t="shared" si="16"/>
        <v>May</v>
      </c>
      <c r="G129" s="11" t="str">
        <f t="shared" si="17"/>
        <v>May'18/19</v>
      </c>
      <c r="H129" s="11" t="str">
        <f t="shared" si="30"/>
        <v>May'18/19</v>
      </c>
      <c r="I129" s="11">
        <f t="shared" si="31"/>
        <v>6.9846050000000002</v>
      </c>
    </row>
    <row r="130" spans="2:18" x14ac:dyDescent="0.55000000000000004">
      <c r="B130" s="11">
        <f t="shared" si="32"/>
        <v>5</v>
      </c>
      <c r="C130" s="11">
        <f t="shared" si="33"/>
        <v>9</v>
      </c>
      <c r="D130" s="12">
        <f t="shared" si="14"/>
        <v>926291</v>
      </c>
      <c r="E130" s="11" t="str">
        <f t="shared" si="15"/>
        <v>18/19</v>
      </c>
      <c r="F130" s="11" t="str">
        <f t="shared" si="16"/>
        <v>Jun</v>
      </c>
      <c r="G130" s="11" t="str">
        <f t="shared" si="17"/>
        <v>Jun'18/19</v>
      </c>
      <c r="H130" s="11" t="str">
        <f t="shared" si="30"/>
        <v>Jun'18/19</v>
      </c>
      <c r="I130" s="11">
        <f t="shared" si="31"/>
        <v>7.0548950000000001</v>
      </c>
    </row>
    <row r="131" spans="2:18" x14ac:dyDescent="0.55000000000000004">
      <c r="B131" s="11">
        <f t="shared" si="32"/>
        <v>5</v>
      </c>
      <c r="C131" s="11">
        <f t="shared" si="33"/>
        <v>10</v>
      </c>
      <c r="D131" s="12">
        <f t="shared" si="14"/>
        <v>696659</v>
      </c>
      <c r="E131" s="11" t="str">
        <f t="shared" si="15"/>
        <v>18/19</v>
      </c>
      <c r="F131" s="11" t="str">
        <f t="shared" si="16"/>
        <v>Jul</v>
      </c>
      <c r="G131" s="11" t="str">
        <f t="shared" si="17"/>
        <v>Jul'18/19</v>
      </c>
      <c r="H131" s="11" t="str">
        <f t="shared" si="30"/>
        <v>Jul'18/19</v>
      </c>
      <c r="I131" s="11">
        <f t="shared" si="31"/>
        <v>7.0633609999999996</v>
      </c>
      <c r="P131" s="80" t="s">
        <v>83</v>
      </c>
      <c r="Q131" s="80"/>
      <c r="R131" s="80"/>
    </row>
    <row r="132" spans="2:18" x14ac:dyDescent="0.55000000000000004">
      <c r="B132" s="11">
        <f t="shared" si="32"/>
        <v>5</v>
      </c>
      <c r="C132" s="11">
        <f t="shared" si="33"/>
        <v>11</v>
      </c>
      <c r="D132" s="12">
        <f t="shared" si="14"/>
        <v>272375</v>
      </c>
      <c r="E132" s="11" t="str">
        <f t="shared" si="15"/>
        <v>18/19</v>
      </c>
      <c r="F132" s="11" t="str">
        <f t="shared" si="16"/>
        <v>Aug</v>
      </c>
      <c r="G132" s="11" t="str">
        <f t="shared" si="17"/>
        <v>Aug'18/19</v>
      </c>
      <c r="H132" s="11" t="str">
        <f t="shared" si="30"/>
        <v>Aug'18/19</v>
      </c>
      <c r="I132" s="11">
        <f t="shared" si="31"/>
        <v>6.8621100000000004</v>
      </c>
      <c r="O132" s="2"/>
      <c r="P132" s="6" t="s">
        <v>82</v>
      </c>
      <c r="Q132" s="50" t="s">
        <v>86</v>
      </c>
      <c r="R132" s="49" t="s">
        <v>85</v>
      </c>
    </row>
    <row r="133" spans="2:18" x14ac:dyDescent="0.55000000000000004">
      <c r="B133" s="11">
        <f t="shared" si="32"/>
        <v>5</v>
      </c>
      <c r="C133" s="11">
        <f t="shared" si="33"/>
        <v>12</v>
      </c>
      <c r="D133" s="12">
        <f t="shared" si="14"/>
        <v>248636</v>
      </c>
      <c r="E133" s="11" t="str">
        <f t="shared" si="15"/>
        <v>18/19</v>
      </c>
      <c r="F133" s="11" t="str">
        <f t="shared" si="16"/>
        <v>Sep</v>
      </c>
      <c r="G133" s="11" t="str">
        <f t="shared" si="17"/>
        <v>Sep'18/19</v>
      </c>
      <c r="H133" s="11" t="str">
        <f t="shared" si="30"/>
        <v>Sep'18/19</v>
      </c>
      <c r="I133" s="11">
        <f t="shared" si="31"/>
        <v>6.8141059999999998</v>
      </c>
      <c r="O133" s="3" t="s">
        <v>1</v>
      </c>
      <c r="P133" s="46">
        <v>17311.517333333333</v>
      </c>
      <c r="Q133" s="47">
        <v>17311.517333333333</v>
      </c>
      <c r="R133" s="48">
        <f>Q133-P133</f>
        <v>0</v>
      </c>
    </row>
    <row r="134" spans="2:18" x14ac:dyDescent="0.55000000000000004">
      <c r="B134" s="11">
        <f t="shared" si="32"/>
        <v>6</v>
      </c>
      <c r="C134" s="11">
        <f t="shared" si="33"/>
        <v>1</v>
      </c>
      <c r="D134" s="12">
        <f t="shared" si="14"/>
        <v>74980</v>
      </c>
      <c r="E134" s="11" t="str">
        <f t="shared" si="15"/>
        <v>19/20</v>
      </c>
      <c r="F134" s="11" t="str">
        <f t="shared" si="16"/>
        <v>Oct</v>
      </c>
      <c r="G134" s="11" t="str">
        <f t="shared" si="17"/>
        <v>Oct'19/20</v>
      </c>
      <c r="H134" s="11" t="str">
        <f t="shared" si="30"/>
        <v>Oct'19/20</v>
      </c>
      <c r="I134" s="11">
        <f t="shared" si="31"/>
        <v>6.7880330000000004</v>
      </c>
      <c r="O134" s="3" t="s">
        <v>2</v>
      </c>
      <c r="P134" s="46">
        <v>28782.568000000003</v>
      </c>
      <c r="Q134" s="47">
        <v>28782.567999999996</v>
      </c>
      <c r="R134" s="48">
        <f t="shared" ref="R134:R136" si="34">Q134-P134</f>
        <v>0</v>
      </c>
    </row>
    <row r="135" spans="2:18" x14ac:dyDescent="0.55000000000000004">
      <c r="B135" s="11">
        <f t="shared" si="32"/>
        <v>6</v>
      </c>
      <c r="C135" s="11">
        <f t="shared" si="33"/>
        <v>2</v>
      </c>
      <c r="D135" s="12">
        <f t="shared" si="14"/>
        <v>106823</v>
      </c>
      <c r="E135" s="11" t="str">
        <f t="shared" si="15"/>
        <v>19/20</v>
      </c>
      <c r="F135" s="11" t="str">
        <f t="shared" si="16"/>
        <v>Nov</v>
      </c>
      <c r="G135" s="11" t="str">
        <f t="shared" si="17"/>
        <v>Nov'19/20</v>
      </c>
      <c r="H135" s="11" t="str">
        <f t="shared" si="30"/>
        <v>Nov'19/20</v>
      </c>
      <c r="I135" s="11">
        <f t="shared" si="31"/>
        <v>6.7809600000000003</v>
      </c>
      <c r="O135" s="3" t="s">
        <v>3</v>
      </c>
      <c r="P135" s="46">
        <v>186757.01766666665</v>
      </c>
      <c r="Q135" s="47">
        <v>86258.785999999993</v>
      </c>
      <c r="R135" s="48">
        <f t="shared" si="34"/>
        <v>-100498.23166666666</v>
      </c>
    </row>
    <row r="136" spans="2:18" x14ac:dyDescent="0.55000000000000004">
      <c r="B136" s="11">
        <f t="shared" si="32"/>
        <v>6</v>
      </c>
      <c r="C136" s="11">
        <f t="shared" si="33"/>
        <v>3</v>
      </c>
      <c r="D136" s="12">
        <f t="shared" si="14"/>
        <v>339952</v>
      </c>
      <c r="E136" s="11" t="str">
        <f t="shared" si="15"/>
        <v>19/20</v>
      </c>
      <c r="F136" s="11" t="str">
        <f t="shared" si="16"/>
        <v>Dec</v>
      </c>
      <c r="G136" s="11" t="str">
        <f t="shared" si="17"/>
        <v>Dec'19/20</v>
      </c>
      <c r="H136" s="11" t="str">
        <f t="shared" si="30"/>
        <v>Dec'19/20</v>
      </c>
      <c r="I136" s="11">
        <f t="shared" si="31"/>
        <v>6.7667909999999996</v>
      </c>
      <c r="O136" s="3" t="s">
        <v>4</v>
      </c>
      <c r="P136" s="46">
        <v>641000</v>
      </c>
      <c r="Q136" s="47">
        <v>697041.89466666663</v>
      </c>
      <c r="R136" s="48">
        <f t="shared" si="34"/>
        <v>56041.894666666631</v>
      </c>
    </row>
    <row r="137" spans="2:18" x14ac:dyDescent="0.55000000000000004">
      <c r="B137" s="11">
        <f t="shared" si="32"/>
        <v>6</v>
      </c>
      <c r="C137" s="11">
        <f t="shared" si="33"/>
        <v>4</v>
      </c>
      <c r="D137" s="12">
        <f t="shared" si="14"/>
        <v>718886</v>
      </c>
      <c r="E137" s="11" t="str">
        <f t="shared" si="15"/>
        <v>19/20</v>
      </c>
      <c r="F137" s="11" t="str">
        <f t="shared" si="16"/>
        <v>Jan</v>
      </c>
      <c r="G137" s="11" t="str">
        <f t="shared" si="17"/>
        <v>Jan'19/20</v>
      </c>
      <c r="H137" s="11" t="str">
        <f t="shared" si="30"/>
        <v>Jan'19/20</v>
      </c>
      <c r="I137" s="11">
        <f t="shared" si="31"/>
        <v>6.869586</v>
      </c>
      <c r="O137" s="3" t="s">
        <v>5</v>
      </c>
      <c r="P137" s="23"/>
    </row>
    <row r="138" spans="2:18" x14ac:dyDescent="0.55000000000000004">
      <c r="B138" s="11">
        <f t="shared" si="32"/>
        <v>6</v>
      </c>
      <c r="C138" s="11">
        <f t="shared" si="33"/>
        <v>5</v>
      </c>
      <c r="D138" s="12">
        <f t="shared" si="14"/>
        <v>759009</v>
      </c>
      <c r="E138" s="11" t="str">
        <f t="shared" si="15"/>
        <v>19/20</v>
      </c>
      <c r="F138" s="11" t="str">
        <f t="shared" si="16"/>
        <v>Feb</v>
      </c>
      <c r="G138" s="11" t="str">
        <f t="shared" si="17"/>
        <v>Feb'19/20</v>
      </c>
      <c r="H138" s="11" t="str">
        <f t="shared" si="30"/>
        <v>Feb'19/20</v>
      </c>
      <c r="I138" s="11">
        <f t="shared" si="31"/>
        <v>6.8057970000000001</v>
      </c>
    </row>
    <row r="139" spans="2:18" x14ac:dyDescent="0.55000000000000004">
      <c r="B139" s="11">
        <f t="shared" si="32"/>
        <v>6</v>
      </c>
      <c r="C139" s="11">
        <f t="shared" si="33"/>
        <v>6</v>
      </c>
      <c r="D139" s="12">
        <f t="shared" ref="D139:D202" si="35">INDEX($C$7:$N$19,MATCH(B139,$A$7:$A$19),MATCH(C139,$C$4:$N$4))</f>
        <v>772693</v>
      </c>
      <c r="E139" s="11" t="str">
        <f t="shared" ref="E139:E202" si="36">_xlfn.XLOOKUP(B139,$A$7:$A$19,$B$7:$B$19)</f>
        <v>19/20</v>
      </c>
      <c r="F139" s="11" t="str">
        <f t="shared" ref="F139:F202" si="37">_xlfn.XLOOKUP(C139,$C$4:$N$4,$C$6:$N$6)</f>
        <v>Mar</v>
      </c>
      <c r="G139" s="11" t="str">
        <f t="shared" ref="G139:G202" si="38">_xlfn.CONCAT(F139,"'",E139)</f>
        <v>Mar'19/20</v>
      </c>
      <c r="H139" s="11" t="str">
        <f t="shared" si="30"/>
        <v>Mar'19/20</v>
      </c>
      <c r="I139" s="11">
        <f t="shared" si="31"/>
        <v>6.7722379999999998</v>
      </c>
      <c r="Q139" s="11" t="s">
        <v>84</v>
      </c>
      <c r="R139" s="48">
        <f>SUM(R133:R137)</f>
        <v>-44456.337000000029</v>
      </c>
    </row>
    <row r="140" spans="2:18" x14ac:dyDescent="0.55000000000000004">
      <c r="B140" s="11">
        <f t="shared" si="32"/>
        <v>6</v>
      </c>
      <c r="C140" s="11">
        <f t="shared" si="33"/>
        <v>7</v>
      </c>
      <c r="D140" s="12">
        <f t="shared" si="35"/>
        <v>657091</v>
      </c>
      <c r="E140" s="11" t="str">
        <f t="shared" si="36"/>
        <v>19/20</v>
      </c>
      <c r="F140" s="11" t="str">
        <f t="shared" si="37"/>
        <v>Apr</v>
      </c>
      <c r="G140" s="11" t="str">
        <f t="shared" si="38"/>
        <v>Apr'19/20</v>
      </c>
      <c r="H140" s="11" t="str">
        <f t="shared" si="30"/>
        <v>Apr'19/20</v>
      </c>
      <c r="I140" s="11">
        <f t="shared" si="31"/>
        <v>6.4957919999999998</v>
      </c>
    </row>
    <row r="141" spans="2:18" x14ac:dyDescent="0.55000000000000004">
      <c r="B141" s="11">
        <f t="shared" si="32"/>
        <v>6</v>
      </c>
      <c r="C141" s="11">
        <f t="shared" si="33"/>
        <v>8</v>
      </c>
      <c r="D141" s="12">
        <f t="shared" si="35"/>
        <v>783271</v>
      </c>
      <c r="E141" s="11" t="str">
        <f t="shared" si="36"/>
        <v>19/20</v>
      </c>
      <c r="F141" s="11" t="str">
        <f t="shared" si="37"/>
        <v>May</v>
      </c>
      <c r="G141" s="11" t="str">
        <f t="shared" si="38"/>
        <v>May'19/20</v>
      </c>
      <c r="H141" s="11" t="str">
        <f t="shared" si="30"/>
        <v>May'19/20</v>
      </c>
      <c r="I141" s="11">
        <f t="shared" si="31"/>
        <v>6.3566659999999997</v>
      </c>
    </row>
    <row r="142" spans="2:18" x14ac:dyDescent="0.55000000000000004">
      <c r="B142" s="11">
        <f t="shared" si="32"/>
        <v>6</v>
      </c>
      <c r="C142" s="11">
        <f t="shared" si="33"/>
        <v>9</v>
      </c>
      <c r="D142" s="12">
        <f t="shared" si="35"/>
        <v>644726</v>
      </c>
      <c r="E142" s="11" t="str">
        <f t="shared" si="36"/>
        <v>19/20</v>
      </c>
      <c r="F142" s="11" t="str">
        <f t="shared" si="37"/>
        <v>Jun</v>
      </c>
      <c r="G142" s="11" t="str">
        <f t="shared" si="38"/>
        <v>Jun'19/20</v>
      </c>
      <c r="H142" s="11" t="str">
        <f t="shared" si="30"/>
        <v>Jun'19/20</v>
      </c>
      <c r="I142" s="11">
        <f t="shared" si="31"/>
        <v>6.0751010000000001</v>
      </c>
    </row>
    <row r="143" spans="2:18" x14ac:dyDescent="0.55000000000000004">
      <c r="B143" s="11">
        <f t="shared" si="32"/>
        <v>6</v>
      </c>
      <c r="C143" s="11">
        <f t="shared" si="33"/>
        <v>10</v>
      </c>
      <c r="D143" s="12">
        <f t="shared" si="35"/>
        <v>326817</v>
      </c>
      <c r="E143" s="11" t="str">
        <f t="shared" si="36"/>
        <v>19/20</v>
      </c>
      <c r="F143" s="11" t="str">
        <f t="shared" si="37"/>
        <v>Jul</v>
      </c>
      <c r="G143" s="11" t="str">
        <f t="shared" si="38"/>
        <v>Jul'19/20</v>
      </c>
      <c r="H143" s="11" t="str">
        <f t="shared" si="30"/>
        <v>Jul'19/20</v>
      </c>
      <c r="I143" s="11">
        <f t="shared" si="31"/>
        <v>5.7052589999999999</v>
      </c>
    </row>
    <row r="144" spans="2:18" x14ac:dyDescent="0.55000000000000004">
      <c r="B144" s="11">
        <f t="shared" si="32"/>
        <v>6</v>
      </c>
      <c r="C144" s="11">
        <f t="shared" si="33"/>
        <v>11</v>
      </c>
      <c r="D144" s="12">
        <f t="shared" si="35"/>
        <v>183584</v>
      </c>
      <c r="E144" s="11" t="str">
        <f t="shared" si="36"/>
        <v>19/20</v>
      </c>
      <c r="F144" s="11" t="str">
        <f t="shared" si="37"/>
        <v>Aug</v>
      </c>
      <c r="G144" s="11" t="str">
        <f t="shared" si="38"/>
        <v>Aug'19/20</v>
      </c>
      <c r="H144" s="11" t="str">
        <f t="shared" si="30"/>
        <v>Aug'19/20</v>
      </c>
      <c r="I144" s="11">
        <f t="shared" si="31"/>
        <v>5.6164680000000002</v>
      </c>
    </row>
    <row r="145" spans="2:9" x14ac:dyDescent="0.55000000000000004">
      <c r="B145" s="11">
        <f t="shared" si="32"/>
        <v>6</v>
      </c>
      <c r="C145" s="11">
        <f t="shared" si="33"/>
        <v>12</v>
      </c>
      <c r="D145" s="12">
        <f t="shared" si="35"/>
        <v>136492</v>
      </c>
      <c r="E145" s="11" t="str">
        <f t="shared" si="36"/>
        <v>19/20</v>
      </c>
      <c r="F145" s="11" t="str">
        <f t="shared" si="37"/>
        <v>Sep</v>
      </c>
      <c r="G145" s="11" t="str">
        <f t="shared" si="38"/>
        <v>Sep'19/20</v>
      </c>
      <c r="H145" s="11" t="str">
        <f t="shared" si="30"/>
        <v>Sep'19/20</v>
      </c>
      <c r="I145" s="11">
        <f t="shared" si="31"/>
        <v>5.5043240000000004</v>
      </c>
    </row>
    <row r="146" spans="2:9" x14ac:dyDescent="0.55000000000000004">
      <c r="B146" s="11">
        <f t="shared" si="32"/>
        <v>7</v>
      </c>
      <c r="C146" s="11">
        <f t="shared" si="33"/>
        <v>1</v>
      </c>
      <c r="D146" s="12">
        <f t="shared" si="35"/>
        <v>20410</v>
      </c>
      <c r="E146" s="11" t="str">
        <f t="shared" si="36"/>
        <v>20/21</v>
      </c>
      <c r="F146" s="11" t="str">
        <f t="shared" si="37"/>
        <v>Oct</v>
      </c>
      <c r="G146" s="11" t="str">
        <f t="shared" si="38"/>
        <v>Oct'20/21</v>
      </c>
      <c r="H146" s="11" t="str">
        <f t="shared" si="30"/>
        <v>Oct'20/21</v>
      </c>
      <c r="I146" s="11">
        <f t="shared" si="31"/>
        <v>5.4497540000000004</v>
      </c>
    </row>
    <row r="147" spans="2:9" x14ac:dyDescent="0.55000000000000004">
      <c r="B147" s="11">
        <f t="shared" si="32"/>
        <v>7</v>
      </c>
      <c r="C147" s="11">
        <f t="shared" si="33"/>
        <v>2</v>
      </c>
      <c r="D147" s="12">
        <f t="shared" si="35"/>
        <v>55551</v>
      </c>
      <c r="E147" s="11" t="str">
        <f t="shared" si="36"/>
        <v>20/21</v>
      </c>
      <c r="F147" s="11" t="str">
        <f t="shared" si="37"/>
        <v>Nov</v>
      </c>
      <c r="G147" s="11" t="str">
        <f t="shared" si="38"/>
        <v>Nov'20/21</v>
      </c>
      <c r="H147" s="11" t="str">
        <f t="shared" si="30"/>
        <v>Nov'20/21</v>
      </c>
      <c r="I147" s="11">
        <f t="shared" si="31"/>
        <v>5.3984819999999996</v>
      </c>
    </row>
    <row r="148" spans="2:9" x14ac:dyDescent="0.55000000000000004">
      <c r="B148" s="11">
        <f t="shared" si="32"/>
        <v>7</v>
      </c>
      <c r="C148" s="11">
        <f t="shared" si="33"/>
        <v>3</v>
      </c>
      <c r="D148" s="12">
        <f t="shared" si="35"/>
        <v>202463</v>
      </c>
      <c r="E148" s="11" t="str">
        <f t="shared" si="36"/>
        <v>20/21</v>
      </c>
      <c r="F148" s="11" t="str">
        <f t="shared" si="37"/>
        <v>Dec</v>
      </c>
      <c r="G148" s="11" t="str">
        <f t="shared" si="38"/>
        <v>Dec'20/21</v>
      </c>
      <c r="H148" s="11" t="str">
        <f t="shared" si="30"/>
        <v>Dec'20/21</v>
      </c>
      <c r="I148" s="11">
        <f t="shared" si="31"/>
        <v>5.260993</v>
      </c>
    </row>
    <row r="149" spans="2:9" x14ac:dyDescent="0.55000000000000004">
      <c r="B149" s="11">
        <f t="shared" si="32"/>
        <v>7</v>
      </c>
      <c r="C149" s="11">
        <f t="shared" si="33"/>
        <v>4</v>
      </c>
      <c r="D149" s="12">
        <f t="shared" si="35"/>
        <v>465476</v>
      </c>
      <c r="E149" s="11" t="str">
        <f t="shared" si="36"/>
        <v>20/21</v>
      </c>
      <c r="F149" s="11" t="str">
        <f t="shared" si="37"/>
        <v>Jan</v>
      </c>
      <c r="G149" s="11" t="str">
        <f t="shared" si="38"/>
        <v>Jan'20/21</v>
      </c>
      <c r="H149" s="11" t="str">
        <f t="shared" si="30"/>
        <v>Jan'20/21</v>
      </c>
      <c r="I149" s="11">
        <f t="shared" si="31"/>
        <v>5.0075830000000003</v>
      </c>
    </row>
    <row r="150" spans="2:9" x14ac:dyDescent="0.55000000000000004">
      <c r="B150" s="11">
        <f t="shared" si="32"/>
        <v>7</v>
      </c>
      <c r="C150" s="11">
        <f t="shared" si="33"/>
        <v>5</v>
      </c>
      <c r="D150" s="12">
        <f t="shared" si="35"/>
        <v>641748</v>
      </c>
      <c r="E150" s="11" t="str">
        <f t="shared" si="36"/>
        <v>20/21</v>
      </c>
      <c r="F150" s="11" t="str">
        <f t="shared" si="37"/>
        <v>Feb</v>
      </c>
      <c r="G150" s="11" t="str">
        <f t="shared" si="38"/>
        <v>Feb'20/21</v>
      </c>
      <c r="H150" s="11" t="str">
        <f t="shared" ref="H150:H213" si="39">G150</f>
        <v>Feb'20/21</v>
      </c>
      <c r="I150" s="11">
        <f t="shared" ref="I150:I213" si="40">SUM(D139:D150)/1000000</f>
        <v>4.8903220000000003</v>
      </c>
    </row>
    <row r="151" spans="2:9" x14ac:dyDescent="0.55000000000000004">
      <c r="B151" s="11">
        <f t="shared" ref="B151:B214" si="41">B139+1</f>
        <v>7</v>
      </c>
      <c r="C151" s="11">
        <f t="shared" ref="C151:C214" si="42">C139</f>
        <v>6</v>
      </c>
      <c r="D151" s="12">
        <f t="shared" si="35"/>
        <v>807506</v>
      </c>
      <c r="E151" s="11" t="str">
        <f t="shared" si="36"/>
        <v>20/21</v>
      </c>
      <c r="F151" s="11" t="str">
        <f t="shared" si="37"/>
        <v>Mar</v>
      </c>
      <c r="G151" s="11" t="str">
        <f t="shared" si="38"/>
        <v>Mar'20/21</v>
      </c>
      <c r="H151" s="11" t="str">
        <f t="shared" si="39"/>
        <v>Mar'20/21</v>
      </c>
      <c r="I151" s="11">
        <f t="shared" si="40"/>
        <v>4.925135</v>
      </c>
    </row>
    <row r="152" spans="2:9" x14ac:dyDescent="0.55000000000000004">
      <c r="B152" s="11">
        <f t="shared" si="41"/>
        <v>7</v>
      </c>
      <c r="C152" s="11">
        <f t="shared" si="42"/>
        <v>7</v>
      </c>
      <c r="D152" s="12">
        <f t="shared" si="35"/>
        <v>749880</v>
      </c>
      <c r="E152" s="11" t="str">
        <f t="shared" si="36"/>
        <v>20/21</v>
      </c>
      <c r="F152" s="11" t="str">
        <f t="shared" si="37"/>
        <v>Apr</v>
      </c>
      <c r="G152" s="11" t="str">
        <f t="shared" si="38"/>
        <v>Apr'20/21</v>
      </c>
      <c r="H152" s="11" t="str">
        <f t="shared" si="39"/>
        <v>Apr'20/21</v>
      </c>
      <c r="I152" s="11">
        <f t="shared" si="40"/>
        <v>5.0179239999999998</v>
      </c>
    </row>
    <row r="153" spans="2:9" x14ac:dyDescent="0.55000000000000004">
      <c r="B153" s="11">
        <f t="shared" si="41"/>
        <v>7</v>
      </c>
      <c r="C153" s="11">
        <f t="shared" si="42"/>
        <v>8</v>
      </c>
      <c r="D153" s="12">
        <f t="shared" si="35"/>
        <v>833453</v>
      </c>
      <c r="E153" s="11" t="str">
        <f t="shared" si="36"/>
        <v>20/21</v>
      </c>
      <c r="F153" s="11" t="str">
        <f t="shared" si="37"/>
        <v>May</v>
      </c>
      <c r="G153" s="11" t="str">
        <f t="shared" si="38"/>
        <v>May'20/21</v>
      </c>
      <c r="H153" s="11" t="str">
        <f t="shared" si="39"/>
        <v>May'20/21</v>
      </c>
      <c r="I153" s="11">
        <f t="shared" si="40"/>
        <v>5.0681060000000002</v>
      </c>
    </row>
    <row r="154" spans="2:9" x14ac:dyDescent="0.55000000000000004">
      <c r="B154" s="11">
        <f t="shared" si="41"/>
        <v>7</v>
      </c>
      <c r="C154" s="11">
        <f t="shared" si="42"/>
        <v>9</v>
      </c>
      <c r="D154" s="12">
        <f t="shared" si="35"/>
        <v>782150</v>
      </c>
      <c r="E154" s="11" t="str">
        <f t="shared" si="36"/>
        <v>20/21</v>
      </c>
      <c r="F154" s="11" t="str">
        <f t="shared" si="37"/>
        <v>Jun</v>
      </c>
      <c r="G154" s="11" t="str">
        <f t="shared" si="38"/>
        <v>Jun'20/21</v>
      </c>
      <c r="H154" s="11" t="str">
        <f t="shared" si="39"/>
        <v>Jun'20/21</v>
      </c>
      <c r="I154" s="11">
        <f t="shared" si="40"/>
        <v>5.2055300000000004</v>
      </c>
    </row>
    <row r="155" spans="2:9" x14ac:dyDescent="0.55000000000000004">
      <c r="B155" s="11">
        <f t="shared" si="41"/>
        <v>7</v>
      </c>
      <c r="C155" s="11">
        <f t="shared" si="42"/>
        <v>10</v>
      </c>
      <c r="D155" s="12">
        <f t="shared" si="35"/>
        <v>661437</v>
      </c>
      <c r="E155" s="11" t="str">
        <f t="shared" si="36"/>
        <v>20/21</v>
      </c>
      <c r="F155" s="11" t="str">
        <f t="shared" si="37"/>
        <v>Jul</v>
      </c>
      <c r="G155" s="11" t="str">
        <f t="shared" si="38"/>
        <v>Jul'20/21</v>
      </c>
      <c r="H155" s="11" t="str">
        <f t="shared" si="39"/>
        <v>Jul'20/21</v>
      </c>
      <c r="I155" s="11">
        <f t="shared" si="40"/>
        <v>5.5401499999999997</v>
      </c>
    </row>
    <row r="156" spans="2:9" x14ac:dyDescent="0.55000000000000004">
      <c r="B156" s="11">
        <f t="shared" si="41"/>
        <v>7</v>
      </c>
      <c r="C156" s="11">
        <f t="shared" si="42"/>
        <v>11</v>
      </c>
      <c r="D156" s="12">
        <f t="shared" si="35"/>
        <v>418075</v>
      </c>
      <c r="E156" s="11" t="str">
        <f t="shared" si="36"/>
        <v>20/21</v>
      </c>
      <c r="F156" s="11" t="str">
        <f t="shared" si="37"/>
        <v>Aug</v>
      </c>
      <c r="G156" s="11" t="str">
        <f t="shared" si="38"/>
        <v>Aug'20/21</v>
      </c>
      <c r="H156" s="11" t="str">
        <f t="shared" si="39"/>
        <v>Aug'20/21</v>
      </c>
      <c r="I156" s="11">
        <f t="shared" si="40"/>
        <v>5.7746409999999999</v>
      </c>
    </row>
    <row r="157" spans="2:9" x14ac:dyDescent="0.55000000000000004">
      <c r="B157" s="11">
        <f t="shared" si="41"/>
        <v>7</v>
      </c>
      <c r="C157" s="11">
        <f t="shared" si="42"/>
        <v>12</v>
      </c>
      <c r="D157" s="12">
        <f t="shared" si="35"/>
        <v>235050</v>
      </c>
      <c r="E157" s="11" t="str">
        <f t="shared" si="36"/>
        <v>20/21</v>
      </c>
      <c r="F157" s="11" t="str">
        <f t="shared" si="37"/>
        <v>Sep</v>
      </c>
      <c r="G157" s="11" t="str">
        <f t="shared" si="38"/>
        <v>Sep'20/21</v>
      </c>
      <c r="H157" s="11" t="str">
        <f t="shared" si="39"/>
        <v>Sep'20/21</v>
      </c>
      <c r="I157" s="11">
        <f t="shared" si="40"/>
        <v>5.8731989999999996</v>
      </c>
    </row>
    <row r="158" spans="2:9" x14ac:dyDescent="0.55000000000000004">
      <c r="B158" s="11">
        <f t="shared" si="41"/>
        <v>8</v>
      </c>
      <c r="C158" s="11">
        <f t="shared" si="42"/>
        <v>1</v>
      </c>
      <c r="D158" s="12">
        <f t="shared" si="35"/>
        <v>80328</v>
      </c>
      <c r="E158" s="11" t="str">
        <f t="shared" si="36"/>
        <v>21/22</v>
      </c>
      <c r="F158" s="11" t="str">
        <f t="shared" si="37"/>
        <v>Oct</v>
      </c>
      <c r="G158" s="11" t="str">
        <f t="shared" si="38"/>
        <v>Oct'21/22</v>
      </c>
      <c r="H158" s="11" t="str">
        <f t="shared" si="39"/>
        <v>Oct'21/22</v>
      </c>
      <c r="I158" s="11">
        <f t="shared" si="40"/>
        <v>5.9331170000000002</v>
      </c>
    </row>
    <row r="159" spans="2:9" x14ac:dyDescent="0.55000000000000004">
      <c r="B159" s="11">
        <f t="shared" si="41"/>
        <v>8</v>
      </c>
      <c r="C159" s="11">
        <f t="shared" si="42"/>
        <v>2</v>
      </c>
      <c r="D159" s="12">
        <f t="shared" si="35"/>
        <v>103948</v>
      </c>
      <c r="E159" s="11" t="str">
        <f t="shared" si="36"/>
        <v>21/22</v>
      </c>
      <c r="F159" s="11" t="str">
        <f t="shared" si="37"/>
        <v>Nov</v>
      </c>
      <c r="G159" s="11" t="str">
        <f t="shared" si="38"/>
        <v>Nov'21/22</v>
      </c>
      <c r="H159" s="11" t="str">
        <f t="shared" si="39"/>
        <v>Nov'21/22</v>
      </c>
      <c r="I159" s="11">
        <f t="shared" si="40"/>
        <v>5.9815139999999998</v>
      </c>
    </row>
    <row r="160" spans="2:9" x14ac:dyDescent="0.55000000000000004">
      <c r="B160" s="11">
        <f t="shared" si="41"/>
        <v>8</v>
      </c>
      <c r="C160" s="11">
        <f t="shared" si="42"/>
        <v>3</v>
      </c>
      <c r="D160" s="12">
        <f t="shared" si="35"/>
        <v>296539</v>
      </c>
      <c r="E160" s="11" t="str">
        <f t="shared" si="36"/>
        <v>21/22</v>
      </c>
      <c r="F160" s="11" t="str">
        <f t="shared" si="37"/>
        <v>Dec</v>
      </c>
      <c r="G160" s="11" t="str">
        <f t="shared" si="38"/>
        <v>Dec'21/22</v>
      </c>
      <c r="H160" s="11" t="str">
        <f t="shared" si="39"/>
        <v>Dec'21/22</v>
      </c>
      <c r="I160" s="11">
        <f t="shared" si="40"/>
        <v>6.07559</v>
      </c>
    </row>
    <row r="161" spans="2:9" x14ac:dyDescent="0.55000000000000004">
      <c r="B161" s="11">
        <f t="shared" si="41"/>
        <v>8</v>
      </c>
      <c r="C161" s="11">
        <f t="shared" si="42"/>
        <v>4</v>
      </c>
      <c r="D161" s="12">
        <f t="shared" si="35"/>
        <v>506462</v>
      </c>
      <c r="E161" s="11" t="str">
        <f t="shared" si="36"/>
        <v>21/22</v>
      </c>
      <c r="F161" s="11" t="str">
        <f t="shared" si="37"/>
        <v>Jan</v>
      </c>
      <c r="G161" s="11" t="str">
        <f t="shared" si="38"/>
        <v>Jan'21/22</v>
      </c>
      <c r="H161" s="11" t="str">
        <f t="shared" si="39"/>
        <v>Jan'21/22</v>
      </c>
      <c r="I161" s="11">
        <f t="shared" si="40"/>
        <v>6.1165760000000002</v>
      </c>
    </row>
    <row r="162" spans="2:9" x14ac:dyDescent="0.55000000000000004">
      <c r="B162" s="11">
        <f t="shared" si="41"/>
        <v>8</v>
      </c>
      <c r="C162" s="11">
        <f t="shared" si="42"/>
        <v>5</v>
      </c>
      <c r="D162" s="12">
        <f t="shared" si="35"/>
        <v>502521</v>
      </c>
      <c r="E162" s="11" t="str">
        <f t="shared" si="36"/>
        <v>21/22</v>
      </c>
      <c r="F162" s="11" t="str">
        <f t="shared" si="37"/>
        <v>Feb</v>
      </c>
      <c r="G162" s="11" t="str">
        <f t="shared" si="38"/>
        <v>Feb'21/22</v>
      </c>
      <c r="H162" s="11" t="str">
        <f t="shared" si="39"/>
        <v>Feb'21/22</v>
      </c>
      <c r="I162" s="11">
        <f t="shared" si="40"/>
        <v>5.9773490000000002</v>
      </c>
    </row>
    <row r="163" spans="2:9" x14ac:dyDescent="0.55000000000000004">
      <c r="B163" s="11">
        <f t="shared" si="41"/>
        <v>8</v>
      </c>
      <c r="C163" s="11">
        <f t="shared" si="42"/>
        <v>6</v>
      </c>
      <c r="D163" s="12">
        <f t="shared" si="35"/>
        <v>735246</v>
      </c>
      <c r="E163" s="11" t="str">
        <f t="shared" si="36"/>
        <v>21/22</v>
      </c>
      <c r="F163" s="11" t="str">
        <f t="shared" si="37"/>
        <v>Mar</v>
      </c>
      <c r="G163" s="11" t="str">
        <f t="shared" si="38"/>
        <v>Mar'21/22</v>
      </c>
      <c r="H163" s="11" t="str">
        <f t="shared" si="39"/>
        <v>Mar'21/22</v>
      </c>
      <c r="I163" s="11">
        <f t="shared" si="40"/>
        <v>5.9050890000000003</v>
      </c>
    </row>
    <row r="164" spans="2:9" x14ac:dyDescent="0.55000000000000004">
      <c r="B164" s="11">
        <f t="shared" si="41"/>
        <v>8</v>
      </c>
      <c r="C164" s="11">
        <f t="shared" si="42"/>
        <v>7</v>
      </c>
      <c r="D164" s="12">
        <f t="shared" si="35"/>
        <v>584063</v>
      </c>
      <c r="E164" s="11" t="str">
        <f t="shared" si="36"/>
        <v>21/22</v>
      </c>
      <c r="F164" s="11" t="str">
        <f t="shared" si="37"/>
        <v>Apr</v>
      </c>
      <c r="G164" s="11" t="str">
        <f t="shared" si="38"/>
        <v>Apr'21/22</v>
      </c>
      <c r="H164" s="11" t="str">
        <f t="shared" si="39"/>
        <v>Apr'21/22</v>
      </c>
      <c r="I164" s="11">
        <f t="shared" si="40"/>
        <v>5.7392719999999997</v>
      </c>
    </row>
    <row r="165" spans="2:9" x14ac:dyDescent="0.55000000000000004">
      <c r="B165" s="11">
        <f t="shared" si="41"/>
        <v>8</v>
      </c>
      <c r="C165" s="11">
        <f t="shared" si="42"/>
        <v>8</v>
      </c>
      <c r="D165" s="12">
        <f t="shared" si="35"/>
        <v>522847</v>
      </c>
      <c r="E165" s="11" t="str">
        <f t="shared" si="36"/>
        <v>21/22</v>
      </c>
      <c r="F165" s="11" t="str">
        <f t="shared" si="37"/>
        <v>May</v>
      </c>
      <c r="G165" s="11" t="str">
        <f t="shared" si="38"/>
        <v>May'21/22</v>
      </c>
      <c r="H165" s="11" t="str">
        <f t="shared" si="39"/>
        <v>May'21/22</v>
      </c>
      <c r="I165" s="11">
        <f t="shared" si="40"/>
        <v>5.4286659999999998</v>
      </c>
    </row>
    <row r="166" spans="2:9" x14ac:dyDescent="0.55000000000000004">
      <c r="B166" s="11">
        <f t="shared" si="41"/>
        <v>8</v>
      </c>
      <c r="C166" s="11">
        <f t="shared" si="42"/>
        <v>9</v>
      </c>
      <c r="D166" s="12">
        <f t="shared" si="35"/>
        <v>563409</v>
      </c>
      <c r="E166" s="11" t="str">
        <f t="shared" si="36"/>
        <v>21/22</v>
      </c>
      <c r="F166" s="11" t="str">
        <f t="shared" si="37"/>
        <v>Jun</v>
      </c>
      <c r="G166" s="11" t="str">
        <f t="shared" si="38"/>
        <v>Jun'21/22</v>
      </c>
      <c r="H166" s="11" t="str">
        <f t="shared" si="39"/>
        <v>Jun'21/22</v>
      </c>
      <c r="I166" s="11">
        <f t="shared" si="40"/>
        <v>5.2099250000000001</v>
      </c>
    </row>
    <row r="167" spans="2:9" x14ac:dyDescent="0.55000000000000004">
      <c r="B167" s="11">
        <f t="shared" si="41"/>
        <v>8</v>
      </c>
      <c r="C167" s="11">
        <f t="shared" si="42"/>
        <v>10</v>
      </c>
      <c r="D167" s="12">
        <f t="shared" si="35"/>
        <v>390617</v>
      </c>
      <c r="E167" s="11" t="str">
        <f t="shared" si="36"/>
        <v>21/22</v>
      </c>
      <c r="F167" s="11" t="str">
        <f t="shared" si="37"/>
        <v>Jul</v>
      </c>
      <c r="G167" s="11" t="str">
        <f t="shared" si="38"/>
        <v>Jul'21/22</v>
      </c>
      <c r="H167" s="11" t="str">
        <f t="shared" si="39"/>
        <v>Jul'21/22</v>
      </c>
      <c r="I167" s="11">
        <f t="shared" si="40"/>
        <v>4.9391049999999996</v>
      </c>
    </row>
    <row r="168" spans="2:9" x14ac:dyDescent="0.55000000000000004">
      <c r="B168" s="11">
        <f t="shared" si="41"/>
        <v>8</v>
      </c>
      <c r="C168" s="11">
        <f t="shared" si="42"/>
        <v>11</v>
      </c>
      <c r="D168" s="12">
        <f t="shared" si="35"/>
        <v>245235</v>
      </c>
      <c r="E168" s="11" t="str">
        <f t="shared" si="36"/>
        <v>21/22</v>
      </c>
      <c r="F168" s="11" t="str">
        <f t="shared" si="37"/>
        <v>Aug</v>
      </c>
      <c r="G168" s="11" t="str">
        <f t="shared" si="38"/>
        <v>Aug'21/22</v>
      </c>
      <c r="H168" s="11" t="str">
        <f t="shared" si="39"/>
        <v>Aug'21/22</v>
      </c>
      <c r="I168" s="11">
        <f t="shared" si="40"/>
        <v>4.7662649999999998</v>
      </c>
    </row>
    <row r="169" spans="2:9" x14ac:dyDescent="0.55000000000000004">
      <c r="B169" s="11">
        <f t="shared" si="41"/>
        <v>8</v>
      </c>
      <c r="C169" s="11">
        <f t="shared" si="42"/>
        <v>12</v>
      </c>
      <c r="D169" s="12">
        <f t="shared" si="35"/>
        <v>169391</v>
      </c>
      <c r="E169" s="11" t="str">
        <f t="shared" si="36"/>
        <v>21/22</v>
      </c>
      <c r="F169" s="11" t="str">
        <f t="shared" si="37"/>
        <v>Sep</v>
      </c>
      <c r="G169" s="11" t="str">
        <f t="shared" si="38"/>
        <v>Sep'21/22</v>
      </c>
      <c r="H169" s="11" t="str">
        <f t="shared" si="39"/>
        <v>Sep'21/22</v>
      </c>
      <c r="I169" s="11">
        <f t="shared" si="40"/>
        <v>4.7006059999999996</v>
      </c>
    </row>
    <row r="170" spans="2:9" x14ac:dyDescent="0.55000000000000004">
      <c r="B170" s="11">
        <f t="shared" si="41"/>
        <v>9</v>
      </c>
      <c r="C170" s="11">
        <f t="shared" si="42"/>
        <v>1</v>
      </c>
      <c r="D170" s="12">
        <f t="shared" si="35"/>
        <v>40841.973999999995</v>
      </c>
      <c r="E170" s="11" t="str">
        <f t="shared" si="36"/>
        <v>22/23</v>
      </c>
      <c r="F170" s="11" t="str">
        <f t="shared" si="37"/>
        <v>Oct</v>
      </c>
      <c r="G170" s="11" t="str">
        <f t="shared" si="38"/>
        <v>Oct'22/23</v>
      </c>
      <c r="H170" s="11" t="str">
        <f t="shared" si="39"/>
        <v>Oct'22/23</v>
      </c>
      <c r="I170" s="11">
        <f t="shared" si="40"/>
        <v>4.661119974</v>
      </c>
    </row>
    <row r="171" spans="2:9" x14ac:dyDescent="0.55000000000000004">
      <c r="B171" s="11">
        <f t="shared" si="41"/>
        <v>9</v>
      </c>
      <c r="C171" s="11">
        <f t="shared" si="42"/>
        <v>2</v>
      </c>
      <c r="D171" s="12">
        <f t="shared" si="35"/>
        <v>52022.933333333334</v>
      </c>
      <c r="E171" s="11" t="str">
        <f t="shared" si="36"/>
        <v>22/23</v>
      </c>
      <c r="F171" s="11" t="str">
        <f t="shared" si="37"/>
        <v>Nov</v>
      </c>
      <c r="G171" s="11" t="str">
        <f t="shared" si="38"/>
        <v>Nov'22/23</v>
      </c>
      <c r="H171" s="11" t="str">
        <f t="shared" si="39"/>
        <v>Nov'22/23</v>
      </c>
      <c r="I171" s="11">
        <f t="shared" si="40"/>
        <v>4.6091949073333343</v>
      </c>
    </row>
    <row r="172" spans="2:9" x14ac:dyDescent="0.55000000000000004">
      <c r="B172" s="11">
        <f t="shared" si="41"/>
        <v>9</v>
      </c>
      <c r="C172" s="11">
        <f t="shared" si="42"/>
        <v>3</v>
      </c>
      <c r="D172" s="12">
        <f t="shared" si="35"/>
        <v>196304.68566666666</v>
      </c>
      <c r="E172" s="11" t="str">
        <f t="shared" si="36"/>
        <v>22/23</v>
      </c>
      <c r="F172" s="11" t="str">
        <f t="shared" si="37"/>
        <v>Dec</v>
      </c>
      <c r="G172" s="11" t="str">
        <f t="shared" si="38"/>
        <v>Dec'22/23</v>
      </c>
      <c r="H172" s="11" t="str">
        <f t="shared" si="39"/>
        <v>Dec'22/23</v>
      </c>
      <c r="I172" s="11">
        <f t="shared" si="40"/>
        <v>4.5089605930000003</v>
      </c>
    </row>
    <row r="173" spans="2:9" x14ac:dyDescent="0.55000000000000004">
      <c r="B173" s="11">
        <f t="shared" si="41"/>
        <v>9</v>
      </c>
      <c r="C173" s="11">
        <f t="shared" si="42"/>
        <v>4</v>
      </c>
      <c r="D173" s="12">
        <f t="shared" si="35"/>
        <v>520794.77300000004</v>
      </c>
      <c r="E173" s="11" t="str">
        <f t="shared" si="36"/>
        <v>22/23</v>
      </c>
      <c r="F173" s="11" t="str">
        <f t="shared" si="37"/>
        <v>Jan</v>
      </c>
      <c r="G173" s="11" t="str">
        <f t="shared" si="38"/>
        <v>Jan'22/23</v>
      </c>
      <c r="H173" s="11" t="str">
        <f t="shared" si="39"/>
        <v>Jan'22/23</v>
      </c>
      <c r="I173" s="11">
        <f t="shared" si="40"/>
        <v>4.5232933660000008</v>
      </c>
    </row>
    <row r="174" spans="2:9" x14ac:dyDescent="0.55000000000000004">
      <c r="B174" s="11">
        <f t="shared" si="41"/>
        <v>9</v>
      </c>
      <c r="C174" s="11">
        <f t="shared" si="42"/>
        <v>5</v>
      </c>
      <c r="D174" s="12">
        <f t="shared" si="35"/>
        <v>567110.92333333346</v>
      </c>
      <c r="E174" s="11" t="str">
        <f t="shared" si="36"/>
        <v>22/23</v>
      </c>
      <c r="F174" s="11" t="str">
        <f t="shared" si="37"/>
        <v>Feb</v>
      </c>
      <c r="G174" s="11" t="str">
        <f t="shared" si="38"/>
        <v>Feb'22/23</v>
      </c>
      <c r="H174" s="11" t="str">
        <f t="shared" si="39"/>
        <v>Feb'22/23</v>
      </c>
      <c r="I174" s="11">
        <f t="shared" si="40"/>
        <v>4.587883289333333</v>
      </c>
    </row>
    <row r="175" spans="2:9" x14ac:dyDescent="0.55000000000000004">
      <c r="B175" s="11">
        <f t="shared" si="41"/>
        <v>9</v>
      </c>
      <c r="C175" s="11">
        <f t="shared" si="42"/>
        <v>6</v>
      </c>
      <c r="D175" s="12">
        <f t="shared" si="35"/>
        <v>633984.22833333339</v>
      </c>
      <c r="E175" s="11" t="str">
        <f t="shared" si="36"/>
        <v>22/23</v>
      </c>
      <c r="F175" s="11" t="str">
        <f t="shared" si="37"/>
        <v>Mar</v>
      </c>
      <c r="G175" s="11" t="str">
        <f t="shared" si="38"/>
        <v>Mar'22/23</v>
      </c>
      <c r="H175" s="11" t="str">
        <f t="shared" si="39"/>
        <v>Mar'22/23</v>
      </c>
      <c r="I175" s="11">
        <f t="shared" si="40"/>
        <v>4.4866215176666664</v>
      </c>
    </row>
    <row r="176" spans="2:9" x14ac:dyDescent="0.55000000000000004">
      <c r="B176" s="11">
        <f t="shared" si="41"/>
        <v>9</v>
      </c>
      <c r="C176" s="11">
        <f t="shared" si="42"/>
        <v>7</v>
      </c>
      <c r="D176" s="12">
        <f t="shared" si="35"/>
        <v>745144.83833333338</v>
      </c>
      <c r="E176" s="11" t="str">
        <f t="shared" si="36"/>
        <v>22/23</v>
      </c>
      <c r="F176" s="11" t="str">
        <f t="shared" si="37"/>
        <v>Apr</v>
      </c>
      <c r="G176" s="11" t="str">
        <f t="shared" si="38"/>
        <v>Apr'22/23</v>
      </c>
      <c r="H176" s="11" t="str">
        <f t="shared" si="39"/>
        <v>Apr'22/23</v>
      </c>
      <c r="I176" s="11">
        <f t="shared" si="40"/>
        <v>4.647703356000001</v>
      </c>
    </row>
    <row r="177" spans="2:9" x14ac:dyDescent="0.55000000000000004">
      <c r="B177" s="11">
        <f t="shared" si="41"/>
        <v>9</v>
      </c>
      <c r="C177" s="11">
        <f t="shared" si="42"/>
        <v>8</v>
      </c>
      <c r="D177" s="12">
        <f t="shared" si="35"/>
        <v>826028.93833333335</v>
      </c>
      <c r="E177" s="11" t="str">
        <f t="shared" si="36"/>
        <v>22/23</v>
      </c>
      <c r="F177" s="11" t="str">
        <f t="shared" si="37"/>
        <v>May</v>
      </c>
      <c r="G177" s="11" t="str">
        <f t="shared" si="38"/>
        <v>May'22/23</v>
      </c>
      <c r="H177" s="11" t="str">
        <f t="shared" si="39"/>
        <v>May'22/23</v>
      </c>
      <c r="I177" s="11">
        <f t="shared" si="40"/>
        <v>4.9508852943333332</v>
      </c>
    </row>
    <row r="178" spans="2:9" x14ac:dyDescent="0.55000000000000004">
      <c r="B178" s="11">
        <f t="shared" si="41"/>
        <v>9</v>
      </c>
      <c r="C178" s="11">
        <f t="shared" si="42"/>
        <v>9</v>
      </c>
      <c r="D178" s="12">
        <f t="shared" si="35"/>
        <v>617136.16099999996</v>
      </c>
      <c r="E178" s="11" t="str">
        <f t="shared" si="36"/>
        <v>22/23</v>
      </c>
      <c r="F178" s="11" t="str">
        <f t="shared" si="37"/>
        <v>Jun</v>
      </c>
      <c r="G178" s="11" t="str">
        <f t="shared" si="38"/>
        <v>Jun'22/23</v>
      </c>
      <c r="H178" s="11" t="str">
        <f t="shared" si="39"/>
        <v>Jun'22/23</v>
      </c>
      <c r="I178" s="11">
        <f t="shared" si="40"/>
        <v>5.0046124553333344</v>
      </c>
    </row>
    <row r="179" spans="2:9" x14ac:dyDescent="0.55000000000000004">
      <c r="B179" s="11">
        <f t="shared" si="41"/>
        <v>9</v>
      </c>
      <c r="C179" s="11">
        <f t="shared" si="42"/>
        <v>10</v>
      </c>
      <c r="D179" s="12">
        <f t="shared" si="35"/>
        <v>528747.95833333314</v>
      </c>
      <c r="E179" s="11" t="str">
        <f t="shared" si="36"/>
        <v>22/23</v>
      </c>
      <c r="F179" s="11" t="str">
        <f t="shared" si="37"/>
        <v>Jul</v>
      </c>
      <c r="G179" s="11" t="str">
        <f t="shared" si="38"/>
        <v>Jul'22/23</v>
      </c>
      <c r="H179" s="11" t="str">
        <f t="shared" si="39"/>
        <v>Jul'22/23</v>
      </c>
      <c r="I179" s="11">
        <f t="shared" si="40"/>
        <v>5.1427434136666665</v>
      </c>
    </row>
    <row r="180" spans="2:9" x14ac:dyDescent="0.55000000000000004">
      <c r="B180" s="11">
        <f t="shared" si="41"/>
        <v>9</v>
      </c>
      <c r="C180" s="11">
        <f t="shared" si="42"/>
        <v>11</v>
      </c>
      <c r="D180" s="12">
        <f t="shared" si="35"/>
        <v>398874.52533333341</v>
      </c>
      <c r="E180" s="11" t="str">
        <f t="shared" si="36"/>
        <v>22/23</v>
      </c>
      <c r="F180" s="11" t="str">
        <f t="shared" si="37"/>
        <v>Aug</v>
      </c>
      <c r="G180" s="11" t="str">
        <f t="shared" si="38"/>
        <v>Aug'22/23</v>
      </c>
      <c r="H180" s="11" t="str">
        <f t="shared" si="39"/>
        <v>Aug'22/23</v>
      </c>
      <c r="I180" s="11">
        <f t="shared" si="40"/>
        <v>5.2963829389999999</v>
      </c>
    </row>
    <row r="181" spans="2:9" x14ac:dyDescent="0.55000000000000004">
      <c r="B181" s="11">
        <f t="shared" si="41"/>
        <v>9</v>
      </c>
      <c r="C181" s="11">
        <f t="shared" si="42"/>
        <v>12</v>
      </c>
      <c r="D181" s="12">
        <f t="shared" si="35"/>
        <v>215970.66699999999</v>
      </c>
      <c r="E181" s="11" t="str">
        <f t="shared" si="36"/>
        <v>22/23</v>
      </c>
      <c r="F181" s="11" t="str">
        <f t="shared" si="37"/>
        <v>Sep</v>
      </c>
      <c r="G181" s="11" t="str">
        <f t="shared" si="38"/>
        <v>Sep'22/23</v>
      </c>
      <c r="H181" s="11" t="str">
        <f t="shared" si="39"/>
        <v>Sep'22/23</v>
      </c>
      <c r="I181" s="11">
        <f t="shared" si="40"/>
        <v>5.3429626060000004</v>
      </c>
    </row>
    <row r="182" spans="2:9" x14ac:dyDescent="0.55000000000000004">
      <c r="B182" s="11">
        <f t="shared" si="41"/>
        <v>10</v>
      </c>
      <c r="C182" s="11">
        <f t="shared" si="42"/>
        <v>1</v>
      </c>
      <c r="D182" s="12">
        <f t="shared" si="35"/>
        <v>24843.948333333337</v>
      </c>
      <c r="E182" s="11" t="str">
        <f t="shared" si="36"/>
        <v>23/24</v>
      </c>
      <c r="F182" s="11" t="str">
        <f t="shared" si="37"/>
        <v>Oct</v>
      </c>
      <c r="G182" s="11" t="str">
        <f t="shared" si="38"/>
        <v>Oct'23/24</v>
      </c>
      <c r="H182" s="11" t="str">
        <f t="shared" si="39"/>
        <v>Oct'23/24</v>
      </c>
      <c r="I182" s="11">
        <f t="shared" si="40"/>
        <v>5.3269645803333345</v>
      </c>
    </row>
    <row r="183" spans="2:9" x14ac:dyDescent="0.55000000000000004">
      <c r="B183" s="11">
        <f t="shared" si="41"/>
        <v>10</v>
      </c>
      <c r="C183" s="11">
        <f t="shared" si="42"/>
        <v>2</v>
      </c>
      <c r="D183" s="12">
        <f t="shared" si="35"/>
        <v>67454.399999999994</v>
      </c>
      <c r="E183" s="11" t="str">
        <f t="shared" si="36"/>
        <v>23/24</v>
      </c>
      <c r="F183" s="11" t="str">
        <f t="shared" si="37"/>
        <v>Nov</v>
      </c>
      <c r="G183" s="11" t="str">
        <f t="shared" si="38"/>
        <v>Nov'23/24</v>
      </c>
      <c r="H183" s="11" t="str">
        <f t="shared" si="39"/>
        <v>Nov'23/24</v>
      </c>
      <c r="I183" s="11">
        <f t="shared" si="40"/>
        <v>5.3423960470000011</v>
      </c>
    </row>
    <row r="184" spans="2:9" x14ac:dyDescent="0.55000000000000004">
      <c r="B184" s="11">
        <f t="shared" si="41"/>
        <v>10</v>
      </c>
      <c r="C184" s="11">
        <f t="shared" si="42"/>
        <v>3</v>
      </c>
      <c r="D184" s="12">
        <f t="shared" si="35"/>
        <v>213117.99233333333</v>
      </c>
      <c r="E184" s="11" t="str">
        <f t="shared" si="36"/>
        <v>23/24</v>
      </c>
      <c r="F184" s="11" t="str">
        <f t="shared" si="37"/>
        <v>Dec</v>
      </c>
      <c r="G184" s="11" t="str">
        <f t="shared" si="38"/>
        <v>Dec'23/24</v>
      </c>
      <c r="H184" s="11" t="str">
        <f t="shared" si="39"/>
        <v>Dec'23/24</v>
      </c>
      <c r="I184" s="11">
        <f t="shared" si="40"/>
        <v>5.3592093536666674</v>
      </c>
    </row>
    <row r="185" spans="2:9" x14ac:dyDescent="0.55000000000000004">
      <c r="B185" s="11">
        <f t="shared" si="41"/>
        <v>10</v>
      </c>
      <c r="C185" s="11">
        <f t="shared" si="42"/>
        <v>4</v>
      </c>
      <c r="D185" s="12">
        <f t="shared" si="35"/>
        <v>342365.84833333333</v>
      </c>
      <c r="E185" s="11" t="str">
        <f t="shared" si="36"/>
        <v>23/24</v>
      </c>
      <c r="F185" s="11" t="str">
        <f t="shared" si="37"/>
        <v>Jan</v>
      </c>
      <c r="G185" s="11" t="str">
        <f t="shared" si="38"/>
        <v>Jan'23/24</v>
      </c>
      <c r="H185" s="11" t="str">
        <f t="shared" si="39"/>
        <v>Jan'23/24</v>
      </c>
      <c r="I185" s="11">
        <f t="shared" si="40"/>
        <v>5.1807804290000004</v>
      </c>
    </row>
    <row r="186" spans="2:9" x14ac:dyDescent="0.55000000000000004">
      <c r="B186" s="11">
        <f t="shared" si="41"/>
        <v>10</v>
      </c>
      <c r="C186" s="11">
        <f t="shared" si="42"/>
        <v>5</v>
      </c>
      <c r="D186" s="12">
        <f t="shared" si="35"/>
        <v>578716.87666666671</v>
      </c>
      <c r="E186" s="11" t="str">
        <f t="shared" si="36"/>
        <v>23/24</v>
      </c>
      <c r="F186" s="11" t="str">
        <f t="shared" si="37"/>
        <v>Feb</v>
      </c>
      <c r="G186" s="11" t="str">
        <f t="shared" si="38"/>
        <v>Feb'23/24</v>
      </c>
      <c r="H186" s="11" t="str">
        <f t="shared" si="39"/>
        <v>Feb'23/24</v>
      </c>
      <c r="I186" s="11">
        <f t="shared" si="40"/>
        <v>5.1923863823333338</v>
      </c>
    </row>
    <row r="187" spans="2:9" x14ac:dyDescent="0.55000000000000004">
      <c r="B187" s="11">
        <f t="shared" si="41"/>
        <v>10</v>
      </c>
      <c r="C187" s="11">
        <f t="shared" si="42"/>
        <v>6</v>
      </c>
      <c r="D187" s="12">
        <f t="shared" si="35"/>
        <v>717983</v>
      </c>
      <c r="E187" s="11" t="str">
        <f t="shared" si="36"/>
        <v>23/24</v>
      </c>
      <c r="F187" s="11" t="str">
        <f t="shared" si="37"/>
        <v>Mar</v>
      </c>
      <c r="G187" s="11" t="str">
        <f t="shared" si="38"/>
        <v>Mar'23/24</v>
      </c>
      <c r="H187" s="11" t="str">
        <f t="shared" si="39"/>
        <v>Mar'23/24</v>
      </c>
      <c r="I187" s="11">
        <f t="shared" si="40"/>
        <v>5.2763851539999989</v>
      </c>
    </row>
    <row r="188" spans="2:9" x14ac:dyDescent="0.55000000000000004">
      <c r="B188" s="11">
        <f t="shared" si="41"/>
        <v>10</v>
      </c>
      <c r="C188" s="11">
        <f t="shared" si="42"/>
        <v>7</v>
      </c>
      <c r="D188" s="12">
        <f t="shared" si="35"/>
        <v>549097</v>
      </c>
      <c r="E188" s="11" t="str">
        <f t="shared" si="36"/>
        <v>23/24</v>
      </c>
      <c r="F188" s="11" t="str">
        <f t="shared" si="37"/>
        <v>Apr</v>
      </c>
      <c r="G188" s="11" t="str">
        <f t="shared" si="38"/>
        <v>Apr'23/24</v>
      </c>
      <c r="H188" s="11" t="str">
        <f t="shared" si="39"/>
        <v>Apr'23/24</v>
      </c>
      <c r="I188" s="11">
        <f t="shared" si="40"/>
        <v>5.0803373156666662</v>
      </c>
    </row>
    <row r="189" spans="2:9" x14ac:dyDescent="0.55000000000000004">
      <c r="B189" s="11">
        <f t="shared" si="41"/>
        <v>10</v>
      </c>
      <c r="C189" s="11">
        <f t="shared" si="42"/>
        <v>8</v>
      </c>
      <c r="D189" s="12">
        <f t="shared" si="35"/>
        <v>773566</v>
      </c>
      <c r="E189" s="11" t="str">
        <f t="shared" si="36"/>
        <v>23/24</v>
      </c>
      <c r="F189" s="11" t="str">
        <f t="shared" si="37"/>
        <v>May</v>
      </c>
      <c r="G189" s="11" t="str">
        <f t="shared" si="38"/>
        <v>May'23/24</v>
      </c>
      <c r="H189" s="11" t="str">
        <f t="shared" si="39"/>
        <v>May'23/24</v>
      </c>
      <c r="I189" s="11">
        <f t="shared" si="40"/>
        <v>5.0278743773333332</v>
      </c>
    </row>
    <row r="190" spans="2:9" x14ac:dyDescent="0.55000000000000004">
      <c r="B190" s="11">
        <f t="shared" si="41"/>
        <v>10</v>
      </c>
      <c r="C190" s="11">
        <f t="shared" si="42"/>
        <v>9</v>
      </c>
      <c r="D190" s="12">
        <f t="shared" si="35"/>
        <v>547206.34000000032</v>
      </c>
      <c r="E190" s="11" t="str">
        <f t="shared" si="36"/>
        <v>23/24</v>
      </c>
      <c r="F190" s="11" t="str">
        <f t="shared" si="37"/>
        <v>Jun</v>
      </c>
      <c r="G190" s="11" t="str">
        <f t="shared" si="38"/>
        <v>Jun'23/24</v>
      </c>
      <c r="H190" s="11" t="str">
        <f t="shared" si="39"/>
        <v>Jun'23/24</v>
      </c>
      <c r="I190" s="11">
        <f t="shared" si="40"/>
        <v>4.9579445563333335</v>
      </c>
    </row>
    <row r="191" spans="2:9" x14ac:dyDescent="0.55000000000000004">
      <c r="B191" s="11">
        <f t="shared" si="41"/>
        <v>10</v>
      </c>
      <c r="C191" s="11">
        <f t="shared" si="42"/>
        <v>10</v>
      </c>
      <c r="D191" s="12">
        <f t="shared" si="35"/>
        <v>468179.66633333336</v>
      </c>
      <c r="E191" s="11" t="str">
        <f t="shared" si="36"/>
        <v>23/24</v>
      </c>
      <c r="F191" s="11" t="str">
        <f t="shared" si="37"/>
        <v>Jul</v>
      </c>
      <c r="G191" s="11" t="str">
        <f t="shared" si="38"/>
        <v>Jul'23/24</v>
      </c>
      <c r="H191" s="11" t="str">
        <f t="shared" si="39"/>
        <v>Jul'23/24</v>
      </c>
      <c r="I191" s="11">
        <f t="shared" si="40"/>
        <v>4.8973762643333352</v>
      </c>
    </row>
    <row r="192" spans="2:9" x14ac:dyDescent="0.55000000000000004">
      <c r="B192" s="11">
        <f t="shared" si="41"/>
        <v>10</v>
      </c>
      <c r="C192" s="11">
        <f t="shared" si="42"/>
        <v>11</v>
      </c>
      <c r="D192" s="12">
        <f t="shared" si="35"/>
        <v>248441</v>
      </c>
      <c r="E192" s="11" t="str">
        <f t="shared" si="36"/>
        <v>23/24</v>
      </c>
      <c r="F192" s="11" t="str">
        <f t="shared" si="37"/>
        <v>Aug</v>
      </c>
      <c r="G192" s="11" t="str">
        <f t="shared" si="38"/>
        <v>Aug'23/24</v>
      </c>
      <c r="H192" s="11" t="str">
        <f t="shared" si="39"/>
        <v>Aug'23/24</v>
      </c>
      <c r="I192" s="11">
        <f t="shared" si="40"/>
        <v>4.7469427389999996</v>
      </c>
    </row>
    <row r="193" spans="2:9" x14ac:dyDescent="0.55000000000000004">
      <c r="B193" s="11">
        <f t="shared" si="41"/>
        <v>10</v>
      </c>
      <c r="C193" s="11">
        <f t="shared" si="42"/>
        <v>12</v>
      </c>
      <c r="D193" s="12">
        <f t="shared" si="35"/>
        <v>268743</v>
      </c>
      <c r="E193" s="11" t="str">
        <f t="shared" si="36"/>
        <v>23/24</v>
      </c>
      <c r="F193" s="11" t="str">
        <f t="shared" si="37"/>
        <v>Sep</v>
      </c>
      <c r="G193" s="11" t="str">
        <f t="shared" si="38"/>
        <v>Sep'23/24</v>
      </c>
      <c r="H193" s="11" t="str">
        <f t="shared" si="39"/>
        <v>Sep'23/24</v>
      </c>
      <c r="I193" s="11">
        <f t="shared" si="40"/>
        <v>4.7997150720000006</v>
      </c>
    </row>
    <row r="194" spans="2:9" x14ac:dyDescent="0.55000000000000004">
      <c r="B194" s="11">
        <f t="shared" si="41"/>
        <v>11</v>
      </c>
      <c r="C194" s="11">
        <f t="shared" si="42"/>
        <v>1</v>
      </c>
      <c r="D194" s="12">
        <f t="shared" si="35"/>
        <v>17311.517333333333</v>
      </c>
      <c r="E194" s="11" t="str">
        <f t="shared" si="36"/>
        <v>24/25</v>
      </c>
      <c r="F194" s="11" t="str">
        <f t="shared" si="37"/>
        <v>Oct</v>
      </c>
      <c r="G194" s="11" t="str">
        <f t="shared" si="38"/>
        <v>Oct'24/25</v>
      </c>
      <c r="H194" s="11" t="str">
        <f t="shared" si="39"/>
        <v>Oct'24/25</v>
      </c>
      <c r="I194" s="11">
        <f t="shared" si="40"/>
        <v>4.792182641000001</v>
      </c>
    </row>
    <row r="195" spans="2:9" x14ac:dyDescent="0.55000000000000004">
      <c r="B195" s="11">
        <f t="shared" si="41"/>
        <v>11</v>
      </c>
      <c r="C195" s="11">
        <f t="shared" si="42"/>
        <v>2</v>
      </c>
      <c r="D195" s="12">
        <f t="shared" si="35"/>
        <v>28782.567999999996</v>
      </c>
      <c r="E195" s="11" t="str">
        <f t="shared" si="36"/>
        <v>24/25</v>
      </c>
      <c r="F195" s="11" t="str">
        <f t="shared" si="37"/>
        <v>Nov</v>
      </c>
      <c r="G195" s="11" t="str">
        <f t="shared" si="38"/>
        <v>Nov'24/25</v>
      </c>
      <c r="H195" s="11" t="str">
        <f t="shared" si="39"/>
        <v>Nov'24/25</v>
      </c>
      <c r="I195" s="11">
        <f t="shared" si="40"/>
        <v>4.7535108090000007</v>
      </c>
    </row>
    <row r="196" spans="2:9" x14ac:dyDescent="0.55000000000000004">
      <c r="B196" s="11">
        <f t="shared" si="41"/>
        <v>11</v>
      </c>
      <c r="C196" s="11">
        <f t="shared" si="42"/>
        <v>3</v>
      </c>
      <c r="D196" s="12">
        <f t="shared" si="35"/>
        <v>86258.785999999993</v>
      </c>
      <c r="E196" s="11" t="str">
        <f t="shared" si="36"/>
        <v>24/25</v>
      </c>
      <c r="F196" s="11" t="str">
        <f t="shared" si="37"/>
        <v>Dec</v>
      </c>
      <c r="G196" s="11" t="str">
        <f t="shared" si="38"/>
        <v>Dec'24/25</v>
      </c>
      <c r="H196" s="11" t="str">
        <f t="shared" si="39"/>
        <v>Dec'24/25</v>
      </c>
      <c r="I196" s="11">
        <f t="shared" si="40"/>
        <v>4.6266516026666675</v>
      </c>
    </row>
    <row r="197" spans="2:9" x14ac:dyDescent="0.55000000000000004">
      <c r="B197" s="11">
        <f t="shared" si="41"/>
        <v>11</v>
      </c>
      <c r="C197" s="11">
        <f t="shared" si="42"/>
        <v>4</v>
      </c>
      <c r="D197" s="12">
        <f t="shared" si="35"/>
        <v>366043.94199999992</v>
      </c>
      <c r="E197" s="11" t="str">
        <f t="shared" si="36"/>
        <v>24/25</v>
      </c>
      <c r="F197" s="11" t="str">
        <f t="shared" si="37"/>
        <v>Jan</v>
      </c>
      <c r="G197" s="11" t="str">
        <f t="shared" si="38"/>
        <v>Jan'24/25</v>
      </c>
      <c r="H197" s="11" t="str">
        <f t="shared" si="39"/>
        <v>Jan'24/25</v>
      </c>
      <c r="I197" s="11">
        <f t="shared" si="40"/>
        <v>4.6503296963333343</v>
      </c>
    </row>
    <row r="198" spans="2:9" x14ac:dyDescent="0.55000000000000004">
      <c r="B198" s="11">
        <f t="shared" si="41"/>
        <v>11</v>
      </c>
      <c r="C198" s="11">
        <f t="shared" si="42"/>
        <v>5</v>
      </c>
      <c r="D198" s="12">
        <f t="shared" si="35"/>
        <v>606124.19799999997</v>
      </c>
      <c r="E198" s="11" t="str">
        <f t="shared" si="36"/>
        <v>24/25</v>
      </c>
      <c r="F198" s="11" t="str">
        <f t="shared" si="37"/>
        <v>Feb</v>
      </c>
      <c r="G198" s="11" t="str">
        <f t="shared" si="38"/>
        <v>Feb'24/25</v>
      </c>
      <c r="H198" s="11" t="str">
        <f t="shared" si="39"/>
        <v>Feb'24/25</v>
      </c>
      <c r="I198" s="11">
        <f t="shared" si="40"/>
        <v>4.6777370176666668</v>
      </c>
    </row>
    <row r="199" spans="2:9" x14ac:dyDescent="0.55000000000000004">
      <c r="B199" s="11">
        <f t="shared" si="41"/>
        <v>11</v>
      </c>
      <c r="C199" s="11">
        <f t="shared" si="42"/>
        <v>6</v>
      </c>
      <c r="D199" s="12">
        <f t="shared" si="35"/>
        <v>812470.7219999996</v>
      </c>
      <c r="E199" s="11" t="str">
        <f t="shared" si="36"/>
        <v>24/25</v>
      </c>
      <c r="F199" s="11" t="str">
        <f t="shared" si="37"/>
        <v>Mar</v>
      </c>
      <c r="G199" s="11" t="str">
        <f t="shared" si="38"/>
        <v>Mar'24/25</v>
      </c>
      <c r="H199" s="11" t="str">
        <f t="shared" si="39"/>
        <v>Mar'24/25</v>
      </c>
      <c r="I199" s="11">
        <f t="shared" si="40"/>
        <v>4.7722247396666662</v>
      </c>
    </row>
    <row r="200" spans="2:9" x14ac:dyDescent="0.55000000000000004">
      <c r="B200" s="11">
        <f t="shared" si="41"/>
        <v>11</v>
      </c>
      <c r="C200" s="11">
        <f t="shared" si="42"/>
        <v>7</v>
      </c>
      <c r="D200" s="12">
        <f t="shared" si="35"/>
        <v>551756.49133333331</v>
      </c>
      <c r="E200" s="11" t="str">
        <f t="shared" si="36"/>
        <v>24/25</v>
      </c>
      <c r="F200" s="11" t="str">
        <f t="shared" si="37"/>
        <v>Apr</v>
      </c>
      <c r="G200" s="11" t="str">
        <f t="shared" si="38"/>
        <v>Apr'24/25</v>
      </c>
      <c r="H200" s="11" t="str">
        <f t="shared" si="39"/>
        <v>Apr'24/25</v>
      </c>
      <c r="I200" s="11">
        <f t="shared" si="40"/>
        <v>4.7748842309999988</v>
      </c>
    </row>
    <row r="201" spans="2:9" x14ac:dyDescent="0.55000000000000004">
      <c r="B201" s="11">
        <f t="shared" si="41"/>
        <v>11</v>
      </c>
      <c r="C201" s="11">
        <f t="shared" si="42"/>
        <v>8</v>
      </c>
      <c r="D201" s="12">
        <f t="shared" si="35"/>
        <v>762032.85666666669</v>
      </c>
      <c r="E201" s="11" t="str">
        <f t="shared" si="36"/>
        <v>24/25</v>
      </c>
      <c r="F201" s="11" t="str">
        <f t="shared" si="37"/>
        <v>May</v>
      </c>
      <c r="G201" s="11" t="str">
        <f t="shared" si="38"/>
        <v>May'24/25</v>
      </c>
      <c r="H201" s="11" t="str">
        <f t="shared" si="39"/>
        <v>May'24/25</v>
      </c>
      <c r="I201" s="11">
        <f t="shared" si="40"/>
        <v>4.763351087666666</v>
      </c>
    </row>
    <row r="202" spans="2:9" x14ac:dyDescent="0.55000000000000004">
      <c r="B202" s="11">
        <f t="shared" si="41"/>
        <v>11</v>
      </c>
      <c r="C202" s="11">
        <f t="shared" si="42"/>
        <v>9</v>
      </c>
      <c r="D202" s="12">
        <f t="shared" si="35"/>
        <v>640853.46200000006</v>
      </c>
      <c r="E202" s="11" t="str">
        <f t="shared" si="36"/>
        <v>24/25</v>
      </c>
      <c r="F202" s="11" t="str">
        <f t="shared" si="37"/>
        <v>Jun</v>
      </c>
      <c r="G202" s="11" t="str">
        <f t="shared" si="38"/>
        <v>Jun'24/25</v>
      </c>
      <c r="H202" s="11" t="str">
        <f t="shared" si="39"/>
        <v>Jun'24/25</v>
      </c>
      <c r="I202" s="11">
        <f t="shared" si="40"/>
        <v>4.8569982096666662</v>
      </c>
    </row>
    <row r="203" spans="2:9" x14ac:dyDescent="0.55000000000000004">
      <c r="B203" s="11">
        <f t="shared" si="41"/>
        <v>11</v>
      </c>
      <c r="C203" s="11">
        <f t="shared" si="42"/>
        <v>10</v>
      </c>
      <c r="D203" s="12">
        <f t="shared" ref="D203:D229" si="43">INDEX($C$7:$N$19,MATCH(B203,$A$7:$A$19),MATCH(C203,$C$4:$N$4))</f>
        <v>458718.19466666668</v>
      </c>
      <c r="E203" s="11" t="str">
        <f t="shared" ref="E203:E229" si="44">_xlfn.XLOOKUP(B203,$A$7:$A$19,$B$7:$B$19)</f>
        <v>24/25</v>
      </c>
      <c r="F203" s="11" t="str">
        <f t="shared" ref="F203:F229" si="45">_xlfn.XLOOKUP(C203,$C$4:$N$4,$C$6:$N$6)</f>
        <v>Jul</v>
      </c>
      <c r="G203" s="11" t="str">
        <f t="shared" ref="G203:G229" si="46">_xlfn.CONCAT(F203,"'",E203)</f>
        <v>Jul'24/25</v>
      </c>
      <c r="H203" s="11" t="str">
        <f t="shared" si="39"/>
        <v>Jul'24/25</v>
      </c>
      <c r="I203" s="11">
        <f t="shared" si="40"/>
        <v>4.8475367379999996</v>
      </c>
    </row>
    <row r="204" spans="2:9" x14ac:dyDescent="0.55000000000000004">
      <c r="B204" s="11">
        <f t="shared" si="41"/>
        <v>11</v>
      </c>
      <c r="C204" s="11">
        <f t="shared" si="42"/>
        <v>11</v>
      </c>
      <c r="D204" s="12">
        <f t="shared" si="43"/>
        <v>226720.60633333336</v>
      </c>
      <c r="E204" s="11" t="str">
        <f t="shared" si="44"/>
        <v>24/25</v>
      </c>
      <c r="F204" s="11" t="str">
        <f t="shared" si="45"/>
        <v>Aug</v>
      </c>
      <c r="G204" s="11" t="str">
        <f t="shared" si="46"/>
        <v>Aug'24/25</v>
      </c>
      <c r="H204" s="11" t="str">
        <f t="shared" si="39"/>
        <v>Aug'24/25</v>
      </c>
      <c r="I204" s="11">
        <f t="shared" si="40"/>
        <v>4.8258163443333331</v>
      </c>
    </row>
    <row r="205" spans="2:9" x14ac:dyDescent="0.55000000000000004">
      <c r="B205" s="11">
        <f t="shared" si="41"/>
        <v>11</v>
      </c>
      <c r="C205" s="11">
        <f t="shared" si="42"/>
        <v>12</v>
      </c>
      <c r="D205" s="12">
        <f t="shared" si="43"/>
        <v>195595.74764705883</v>
      </c>
      <c r="E205" s="11" t="str">
        <f t="shared" si="44"/>
        <v>24/25</v>
      </c>
      <c r="F205" s="11" t="str">
        <f t="shared" si="45"/>
        <v>Sep</v>
      </c>
      <c r="G205" s="11" t="str">
        <f t="shared" si="46"/>
        <v>Sep'24/25</v>
      </c>
      <c r="H205" s="11" t="str">
        <f t="shared" si="39"/>
        <v>Sep'24/25</v>
      </c>
      <c r="I205" s="11">
        <f t="shared" si="40"/>
        <v>4.7526690919803922</v>
      </c>
    </row>
    <row r="206" spans="2:9" x14ac:dyDescent="0.55000000000000004">
      <c r="B206" s="11">
        <f t="shared" si="41"/>
        <v>12</v>
      </c>
      <c r="C206" s="11">
        <f t="shared" si="42"/>
        <v>1</v>
      </c>
      <c r="D206" s="12">
        <f t="shared" si="43"/>
        <v>29951.903333333332</v>
      </c>
      <c r="E206" s="11" t="str">
        <f t="shared" si="44"/>
        <v>25/26</v>
      </c>
      <c r="F206" s="11" t="str">
        <f t="shared" si="45"/>
        <v>Oct</v>
      </c>
      <c r="G206" s="11" t="str">
        <f t="shared" si="46"/>
        <v>Oct'25/26</v>
      </c>
      <c r="H206" s="11" t="str">
        <f t="shared" si="39"/>
        <v>Oct'25/26</v>
      </c>
      <c r="I206" s="11">
        <f t="shared" si="40"/>
        <v>4.7653094779803924</v>
      </c>
    </row>
    <row r="207" spans="2:9" x14ac:dyDescent="0.55000000000000004">
      <c r="B207" s="11">
        <f t="shared" si="41"/>
        <v>12</v>
      </c>
      <c r="C207" s="11">
        <f t="shared" si="42"/>
        <v>2</v>
      </c>
      <c r="D207" s="12">
        <f t="shared" si="43"/>
        <v>60223.690666666669</v>
      </c>
      <c r="E207" s="11" t="str">
        <f t="shared" si="44"/>
        <v>25/26</v>
      </c>
      <c r="F207" s="11" t="str">
        <f t="shared" si="45"/>
        <v>Nov</v>
      </c>
      <c r="G207" s="11" t="str">
        <f t="shared" si="46"/>
        <v>Nov'25/26</v>
      </c>
      <c r="H207" s="11" t="str">
        <f t="shared" si="39"/>
        <v>Nov'25/26</v>
      </c>
      <c r="I207" s="11">
        <f t="shared" si="40"/>
        <v>4.7967506006470586</v>
      </c>
    </row>
    <row r="208" spans="2:9" x14ac:dyDescent="0.55000000000000004">
      <c r="B208" s="11">
        <f t="shared" si="41"/>
        <v>12</v>
      </c>
      <c r="C208" s="11">
        <f t="shared" si="42"/>
        <v>3</v>
      </c>
      <c r="D208" s="12">
        <f t="shared" si="43"/>
        <v>271711.76499999996</v>
      </c>
      <c r="E208" s="11" t="str">
        <f t="shared" si="44"/>
        <v>25/26</v>
      </c>
      <c r="F208" s="11" t="str">
        <f t="shared" si="45"/>
        <v>Dec</v>
      </c>
      <c r="G208" s="11" t="str">
        <f t="shared" si="46"/>
        <v>Dec'25/26</v>
      </c>
      <c r="H208" s="11" t="str">
        <f t="shared" si="39"/>
        <v>Dec'25/26</v>
      </c>
      <c r="I208" s="11">
        <f t="shared" si="40"/>
        <v>4.9822035796470576</v>
      </c>
    </row>
    <row r="209" spans="2:9" x14ac:dyDescent="0.55000000000000004">
      <c r="B209" s="11">
        <f t="shared" si="41"/>
        <v>12</v>
      </c>
      <c r="C209" s="11">
        <f t="shared" si="42"/>
        <v>4</v>
      </c>
      <c r="D209" s="12">
        <f t="shared" si="43"/>
        <v>640000</v>
      </c>
      <c r="E209" s="11" t="str">
        <f t="shared" si="44"/>
        <v>25/26</v>
      </c>
      <c r="F209" s="11" t="str">
        <f t="shared" si="45"/>
        <v>Jan</v>
      </c>
      <c r="G209" s="11" t="str">
        <f t="shared" si="46"/>
        <v>Jan'25/26</v>
      </c>
      <c r="H209" s="11" t="str">
        <f t="shared" si="39"/>
        <v>Jan'25/26</v>
      </c>
      <c r="I209" s="11">
        <f t="shared" si="40"/>
        <v>5.2561596376470581</v>
      </c>
    </row>
    <row r="210" spans="2:9" x14ac:dyDescent="0.55000000000000004">
      <c r="B210" s="11">
        <f t="shared" si="41"/>
        <v>12</v>
      </c>
      <c r="C210" s="11">
        <f t="shared" si="42"/>
        <v>5</v>
      </c>
      <c r="D210" s="12">
        <f t="shared" si="43"/>
        <v>940000</v>
      </c>
      <c r="E210" s="11" t="str">
        <f t="shared" si="44"/>
        <v>25/26</v>
      </c>
      <c r="F210" s="11" t="str">
        <f t="shared" si="45"/>
        <v>Feb</v>
      </c>
      <c r="G210" s="11" t="str">
        <f t="shared" si="46"/>
        <v>Feb'25/26</v>
      </c>
      <c r="H210" s="11" t="str">
        <f t="shared" si="39"/>
        <v>Feb'25/26</v>
      </c>
      <c r="I210" s="11">
        <f t="shared" si="40"/>
        <v>5.5900354396470586</v>
      </c>
    </row>
    <row r="211" spans="2:9" x14ac:dyDescent="0.55000000000000004">
      <c r="B211" s="11">
        <f t="shared" si="41"/>
        <v>12</v>
      </c>
      <c r="C211" s="11">
        <f t="shared" si="42"/>
        <v>6</v>
      </c>
      <c r="D211" s="12">
        <f t="shared" si="43"/>
        <v>970000</v>
      </c>
      <c r="E211" s="11" t="str">
        <f t="shared" si="44"/>
        <v>25/26</v>
      </c>
      <c r="F211" s="11" t="str">
        <f t="shared" si="45"/>
        <v>Mar</v>
      </c>
      <c r="G211" s="11" t="str">
        <f t="shared" si="46"/>
        <v>Mar'25/26</v>
      </c>
      <c r="H211" s="11" t="str">
        <f t="shared" si="39"/>
        <v>Mar'25/26</v>
      </c>
      <c r="I211" s="11">
        <f t="shared" si="40"/>
        <v>5.7475647176470588</v>
      </c>
    </row>
    <row r="212" spans="2:9" x14ac:dyDescent="0.55000000000000004">
      <c r="B212" s="11">
        <f t="shared" si="41"/>
        <v>12</v>
      </c>
      <c r="C212" s="11">
        <f t="shared" si="42"/>
        <v>7</v>
      </c>
      <c r="D212" s="12">
        <f t="shared" si="43"/>
        <v>680000</v>
      </c>
      <c r="E212" s="11" t="str">
        <f t="shared" si="44"/>
        <v>25/26</v>
      </c>
      <c r="F212" s="11" t="str">
        <f t="shared" si="45"/>
        <v>Apr</v>
      </c>
      <c r="G212" s="11" t="str">
        <f t="shared" si="46"/>
        <v>Apr'25/26</v>
      </c>
      <c r="H212" s="11" t="str">
        <f t="shared" si="39"/>
        <v>Apr'25/26</v>
      </c>
      <c r="I212" s="11">
        <f t="shared" si="40"/>
        <v>5.8758082263137252</v>
      </c>
    </row>
    <row r="213" spans="2:9" x14ac:dyDescent="0.55000000000000004">
      <c r="B213" s="11">
        <f t="shared" si="41"/>
        <v>12</v>
      </c>
      <c r="C213" s="11">
        <f t="shared" si="42"/>
        <v>8</v>
      </c>
      <c r="D213" s="12">
        <f t="shared" si="43"/>
        <v>760000</v>
      </c>
      <c r="E213" s="11" t="str">
        <f t="shared" si="44"/>
        <v>25/26</v>
      </c>
      <c r="F213" s="11" t="str">
        <f t="shared" si="45"/>
        <v>May</v>
      </c>
      <c r="G213" s="11" t="str">
        <f t="shared" si="46"/>
        <v>May'25/26</v>
      </c>
      <c r="H213" s="11" t="str">
        <f t="shared" si="39"/>
        <v>May'25/26</v>
      </c>
      <c r="I213" s="11">
        <f t="shared" si="40"/>
        <v>5.8737753696470589</v>
      </c>
    </row>
    <row r="214" spans="2:9" x14ac:dyDescent="0.55000000000000004">
      <c r="B214" s="11">
        <f t="shared" si="41"/>
        <v>12</v>
      </c>
      <c r="C214" s="11">
        <f t="shared" si="42"/>
        <v>9</v>
      </c>
      <c r="D214" s="12">
        <f t="shared" si="43"/>
        <v>620000</v>
      </c>
      <c r="E214" s="11" t="str">
        <f t="shared" si="44"/>
        <v>25/26</v>
      </c>
      <c r="F214" s="11" t="str">
        <f t="shared" si="45"/>
        <v>Jun</v>
      </c>
      <c r="G214" s="11" t="str">
        <f t="shared" si="46"/>
        <v>Jun'25/26</v>
      </c>
      <c r="H214" s="11" t="str">
        <f t="shared" ref="H214:H229" si="47">G214</f>
        <v>Jun'25/26</v>
      </c>
      <c r="I214" s="11">
        <f t="shared" ref="I214:I229" si="48">SUM(D203:D214)/1000000</f>
        <v>5.8529219076470582</v>
      </c>
    </row>
    <row r="215" spans="2:9" x14ac:dyDescent="0.55000000000000004">
      <c r="B215" s="11">
        <f t="shared" ref="B215:B229" si="49">B203+1</f>
        <v>12</v>
      </c>
      <c r="C215" s="11">
        <f t="shared" ref="C215:C229" si="50">C203</f>
        <v>10</v>
      </c>
      <c r="D215" s="12">
        <f t="shared" si="43"/>
        <v>370000</v>
      </c>
      <c r="E215" s="11" t="str">
        <f t="shared" si="44"/>
        <v>25/26</v>
      </c>
      <c r="F215" s="11" t="str">
        <f t="shared" si="45"/>
        <v>Jul</v>
      </c>
      <c r="G215" s="11" t="str">
        <f t="shared" si="46"/>
        <v>Jul'25/26</v>
      </c>
      <c r="H215" s="11" t="str">
        <f t="shared" si="47"/>
        <v>Jul'25/26</v>
      </c>
      <c r="I215" s="11">
        <f t="shared" si="48"/>
        <v>5.7642037129803922</v>
      </c>
    </row>
    <row r="216" spans="2:9" x14ac:dyDescent="0.55000000000000004">
      <c r="B216" s="11">
        <f t="shared" si="49"/>
        <v>12</v>
      </c>
      <c r="C216" s="11">
        <f t="shared" si="50"/>
        <v>11</v>
      </c>
      <c r="D216" s="12">
        <f t="shared" si="43"/>
        <v>240000</v>
      </c>
      <c r="E216" s="11" t="str">
        <f t="shared" si="44"/>
        <v>25/26</v>
      </c>
      <c r="F216" s="11" t="str">
        <f t="shared" si="45"/>
        <v>Aug</v>
      </c>
      <c r="G216" s="11" t="str">
        <f t="shared" si="46"/>
        <v>Aug'25/26</v>
      </c>
      <c r="H216" s="11" t="str">
        <f t="shared" si="47"/>
        <v>Aug'25/26</v>
      </c>
      <c r="I216" s="11">
        <f t="shared" si="48"/>
        <v>5.7774831066470593</v>
      </c>
    </row>
    <row r="217" spans="2:9" x14ac:dyDescent="0.55000000000000004">
      <c r="B217" s="11">
        <f t="shared" si="49"/>
        <v>12</v>
      </c>
      <c r="C217" s="11">
        <f t="shared" si="50"/>
        <v>12</v>
      </c>
      <c r="D217" s="12" t="e">
        <f t="shared" si="43"/>
        <v>#N/A</v>
      </c>
      <c r="E217" s="11" t="str">
        <f t="shared" si="44"/>
        <v>25/26</v>
      </c>
      <c r="F217" s="11" t="str">
        <f t="shared" si="45"/>
        <v>Sep</v>
      </c>
      <c r="G217" s="11" t="str">
        <f t="shared" si="46"/>
        <v>Sep'25/26</v>
      </c>
      <c r="H217" s="11" t="str">
        <f t="shared" si="47"/>
        <v>Sep'25/26</v>
      </c>
      <c r="I217" s="11" t="e">
        <f t="shared" si="48"/>
        <v>#N/A</v>
      </c>
    </row>
    <row r="218" spans="2:9" x14ac:dyDescent="0.55000000000000004">
      <c r="B218" s="11">
        <f t="shared" si="49"/>
        <v>13</v>
      </c>
      <c r="C218" s="11">
        <f t="shared" si="50"/>
        <v>1</v>
      </c>
      <c r="D218" s="12" t="e">
        <f t="shared" si="43"/>
        <v>#N/A</v>
      </c>
      <c r="E218" s="11" t="str">
        <f t="shared" si="44"/>
        <v>26/27</v>
      </c>
      <c r="F218" s="11" t="str">
        <f t="shared" si="45"/>
        <v>Oct</v>
      </c>
      <c r="G218" s="11" t="str">
        <f t="shared" si="46"/>
        <v>Oct'26/27</v>
      </c>
      <c r="H218" s="11" t="str">
        <f t="shared" si="47"/>
        <v>Oct'26/27</v>
      </c>
      <c r="I218" s="11" t="e">
        <f t="shared" si="48"/>
        <v>#N/A</v>
      </c>
    </row>
    <row r="219" spans="2:9" x14ac:dyDescent="0.55000000000000004">
      <c r="B219" s="11">
        <f t="shared" si="49"/>
        <v>13</v>
      </c>
      <c r="C219" s="11">
        <f t="shared" si="50"/>
        <v>2</v>
      </c>
      <c r="D219" s="12" t="e">
        <f t="shared" si="43"/>
        <v>#N/A</v>
      </c>
      <c r="E219" s="11" t="str">
        <f t="shared" si="44"/>
        <v>26/27</v>
      </c>
      <c r="F219" s="11" t="str">
        <f t="shared" si="45"/>
        <v>Nov</v>
      </c>
      <c r="G219" s="11" t="str">
        <f t="shared" si="46"/>
        <v>Nov'26/27</v>
      </c>
      <c r="H219" s="11" t="str">
        <f t="shared" si="47"/>
        <v>Nov'26/27</v>
      </c>
      <c r="I219" s="11" t="e">
        <f t="shared" si="48"/>
        <v>#N/A</v>
      </c>
    </row>
    <row r="220" spans="2:9" x14ac:dyDescent="0.55000000000000004">
      <c r="B220" s="11">
        <f t="shared" si="49"/>
        <v>13</v>
      </c>
      <c r="C220" s="11">
        <f t="shared" si="50"/>
        <v>3</v>
      </c>
      <c r="D220" s="12" t="e">
        <f t="shared" si="43"/>
        <v>#N/A</v>
      </c>
      <c r="E220" s="11" t="str">
        <f t="shared" si="44"/>
        <v>26/27</v>
      </c>
      <c r="F220" s="11" t="str">
        <f t="shared" si="45"/>
        <v>Dec</v>
      </c>
      <c r="G220" s="11" t="str">
        <f t="shared" si="46"/>
        <v>Dec'26/27</v>
      </c>
      <c r="H220" s="11" t="str">
        <f t="shared" si="47"/>
        <v>Dec'26/27</v>
      </c>
      <c r="I220" s="11" t="e">
        <f t="shared" si="48"/>
        <v>#N/A</v>
      </c>
    </row>
    <row r="221" spans="2:9" x14ac:dyDescent="0.55000000000000004">
      <c r="B221" s="11">
        <f t="shared" si="49"/>
        <v>13</v>
      </c>
      <c r="C221" s="11">
        <f t="shared" si="50"/>
        <v>4</v>
      </c>
      <c r="D221" s="12" t="e">
        <f t="shared" si="43"/>
        <v>#N/A</v>
      </c>
      <c r="E221" s="11" t="str">
        <f t="shared" si="44"/>
        <v>26/27</v>
      </c>
      <c r="F221" s="11" t="str">
        <f t="shared" si="45"/>
        <v>Jan</v>
      </c>
      <c r="G221" s="11" t="str">
        <f t="shared" si="46"/>
        <v>Jan'26/27</v>
      </c>
      <c r="H221" s="11" t="str">
        <f t="shared" si="47"/>
        <v>Jan'26/27</v>
      </c>
      <c r="I221" s="11" t="e">
        <f t="shared" si="48"/>
        <v>#N/A</v>
      </c>
    </row>
    <row r="222" spans="2:9" x14ac:dyDescent="0.55000000000000004">
      <c r="B222" s="11">
        <f t="shared" si="49"/>
        <v>13</v>
      </c>
      <c r="C222" s="11">
        <f t="shared" si="50"/>
        <v>5</v>
      </c>
      <c r="D222" s="12" t="e">
        <f t="shared" si="43"/>
        <v>#N/A</v>
      </c>
      <c r="E222" s="11" t="str">
        <f t="shared" si="44"/>
        <v>26/27</v>
      </c>
      <c r="F222" s="11" t="str">
        <f t="shared" si="45"/>
        <v>Feb</v>
      </c>
      <c r="G222" s="11" t="str">
        <f t="shared" si="46"/>
        <v>Feb'26/27</v>
      </c>
      <c r="H222" s="11" t="str">
        <f t="shared" si="47"/>
        <v>Feb'26/27</v>
      </c>
      <c r="I222" s="11" t="e">
        <f t="shared" si="48"/>
        <v>#N/A</v>
      </c>
    </row>
    <row r="223" spans="2:9" x14ac:dyDescent="0.55000000000000004">
      <c r="B223" s="11">
        <f t="shared" si="49"/>
        <v>13</v>
      </c>
      <c r="C223" s="11">
        <f t="shared" si="50"/>
        <v>6</v>
      </c>
      <c r="D223" s="12" t="e">
        <f t="shared" si="43"/>
        <v>#N/A</v>
      </c>
      <c r="E223" s="11" t="str">
        <f t="shared" si="44"/>
        <v>26/27</v>
      </c>
      <c r="F223" s="11" t="str">
        <f t="shared" si="45"/>
        <v>Mar</v>
      </c>
      <c r="G223" s="11" t="str">
        <f t="shared" si="46"/>
        <v>Mar'26/27</v>
      </c>
      <c r="H223" s="11" t="str">
        <f t="shared" si="47"/>
        <v>Mar'26/27</v>
      </c>
      <c r="I223" s="11" t="e">
        <f t="shared" si="48"/>
        <v>#N/A</v>
      </c>
    </row>
    <row r="224" spans="2:9" x14ac:dyDescent="0.55000000000000004">
      <c r="B224" s="11">
        <f t="shared" si="49"/>
        <v>13</v>
      </c>
      <c r="C224" s="11">
        <f t="shared" si="50"/>
        <v>7</v>
      </c>
      <c r="D224" s="12" t="e">
        <f t="shared" si="43"/>
        <v>#N/A</v>
      </c>
      <c r="E224" s="11" t="str">
        <f t="shared" si="44"/>
        <v>26/27</v>
      </c>
      <c r="F224" s="11" t="str">
        <f t="shared" si="45"/>
        <v>Apr</v>
      </c>
      <c r="G224" s="11" t="str">
        <f t="shared" si="46"/>
        <v>Apr'26/27</v>
      </c>
      <c r="H224" s="11" t="str">
        <f t="shared" si="47"/>
        <v>Apr'26/27</v>
      </c>
      <c r="I224" s="11" t="e">
        <f t="shared" si="48"/>
        <v>#N/A</v>
      </c>
    </row>
    <row r="225" spans="2:9" x14ac:dyDescent="0.55000000000000004">
      <c r="B225" s="11">
        <f t="shared" si="49"/>
        <v>13</v>
      </c>
      <c r="C225" s="11">
        <f t="shared" si="50"/>
        <v>8</v>
      </c>
      <c r="D225" s="12" t="e">
        <f t="shared" si="43"/>
        <v>#N/A</v>
      </c>
      <c r="E225" s="11" t="str">
        <f t="shared" si="44"/>
        <v>26/27</v>
      </c>
      <c r="F225" s="11" t="str">
        <f t="shared" si="45"/>
        <v>May</v>
      </c>
      <c r="G225" s="11" t="str">
        <f t="shared" si="46"/>
        <v>May'26/27</v>
      </c>
      <c r="H225" s="11" t="str">
        <f t="shared" si="47"/>
        <v>May'26/27</v>
      </c>
      <c r="I225" s="11" t="e">
        <f t="shared" si="48"/>
        <v>#N/A</v>
      </c>
    </row>
    <row r="226" spans="2:9" x14ac:dyDescent="0.55000000000000004">
      <c r="B226" s="11">
        <f t="shared" si="49"/>
        <v>13</v>
      </c>
      <c r="C226" s="11">
        <f t="shared" si="50"/>
        <v>9</v>
      </c>
      <c r="D226" s="12" t="e">
        <f t="shared" si="43"/>
        <v>#N/A</v>
      </c>
      <c r="E226" s="11" t="str">
        <f t="shared" si="44"/>
        <v>26/27</v>
      </c>
      <c r="F226" s="11" t="str">
        <f t="shared" si="45"/>
        <v>Jun</v>
      </c>
      <c r="G226" s="11" t="str">
        <f t="shared" si="46"/>
        <v>Jun'26/27</v>
      </c>
      <c r="H226" s="11" t="str">
        <f t="shared" si="47"/>
        <v>Jun'26/27</v>
      </c>
      <c r="I226" s="11" t="e">
        <f t="shared" si="48"/>
        <v>#N/A</v>
      </c>
    </row>
    <row r="227" spans="2:9" x14ac:dyDescent="0.55000000000000004">
      <c r="B227" s="11">
        <f t="shared" si="49"/>
        <v>13</v>
      </c>
      <c r="C227" s="11">
        <f t="shared" si="50"/>
        <v>10</v>
      </c>
      <c r="D227" s="12" t="e">
        <f t="shared" si="43"/>
        <v>#N/A</v>
      </c>
      <c r="E227" s="11" t="str">
        <f t="shared" si="44"/>
        <v>26/27</v>
      </c>
      <c r="F227" s="11" t="str">
        <f t="shared" si="45"/>
        <v>Jul</v>
      </c>
      <c r="G227" s="11" t="str">
        <f t="shared" si="46"/>
        <v>Jul'26/27</v>
      </c>
      <c r="H227" s="11" t="str">
        <f t="shared" si="47"/>
        <v>Jul'26/27</v>
      </c>
      <c r="I227" s="11" t="e">
        <f t="shared" si="48"/>
        <v>#N/A</v>
      </c>
    </row>
    <row r="228" spans="2:9" x14ac:dyDescent="0.55000000000000004">
      <c r="B228" s="11">
        <f t="shared" si="49"/>
        <v>13</v>
      </c>
      <c r="C228" s="11">
        <f t="shared" si="50"/>
        <v>11</v>
      </c>
      <c r="D228" s="12" t="e">
        <f t="shared" si="43"/>
        <v>#N/A</v>
      </c>
      <c r="E228" s="11" t="str">
        <f t="shared" si="44"/>
        <v>26/27</v>
      </c>
      <c r="F228" s="11" t="str">
        <f t="shared" si="45"/>
        <v>Aug</v>
      </c>
      <c r="G228" s="11" t="str">
        <f t="shared" si="46"/>
        <v>Aug'26/27</v>
      </c>
      <c r="H228" s="11" t="str">
        <f t="shared" si="47"/>
        <v>Aug'26/27</v>
      </c>
      <c r="I228" s="11" t="e">
        <f t="shared" si="48"/>
        <v>#N/A</v>
      </c>
    </row>
    <row r="229" spans="2:9" x14ac:dyDescent="0.55000000000000004">
      <c r="B229" s="11">
        <f t="shared" si="49"/>
        <v>13</v>
      </c>
      <c r="C229" s="11">
        <f t="shared" si="50"/>
        <v>12</v>
      </c>
      <c r="D229" s="12" t="e">
        <f t="shared" si="43"/>
        <v>#N/A</v>
      </c>
      <c r="E229" s="11" t="str">
        <f t="shared" si="44"/>
        <v>26/27</v>
      </c>
      <c r="F229" s="11" t="str">
        <f t="shared" si="45"/>
        <v>Sep</v>
      </c>
      <c r="G229" s="11" t="str">
        <f t="shared" si="46"/>
        <v>Sep'26/27</v>
      </c>
      <c r="H229" s="11" t="str">
        <f t="shared" si="47"/>
        <v>Sep'26/27</v>
      </c>
      <c r="I229" s="11" t="e">
        <f t="shared" si="48"/>
        <v>#N/A</v>
      </c>
    </row>
  </sheetData>
  <mergeCells count="5">
    <mergeCell ref="A1:Y2"/>
    <mergeCell ref="C5:N5"/>
    <mergeCell ref="S6:U6"/>
    <mergeCell ref="N74:Y74"/>
    <mergeCell ref="P131:R131"/>
  </mergeCells>
  <conditionalFormatting sqref="C7:N19">
    <cfRule type="cellIs" dxfId="12" priority="5" operator="greaterThanOrEqual">
      <formula>0</formula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137">
    <cfRule type="cellIs" dxfId="11" priority="3" operator="greaterThanOr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Q8:Q1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{9C9017BB-8168-4E36-A9DA-54BA16ABBBB0}</x14:id>
        </ext>
      </extLst>
    </cfRule>
  </conditionalFormatting>
  <conditionalFormatting sqref="Q1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{06D1B490-2939-485E-8DC6-7AB2886B0F77}</x14:id>
        </ext>
      </extLst>
    </cfRule>
  </conditionalFormatting>
  <conditionalFormatting sqref="T7:T18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7:T19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10:T1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{C5873D25-BA79-4B4A-ADF7-A5857FB9830D}</x14:id>
        </ext>
      </extLst>
    </cfRule>
  </conditionalFormatting>
  <conditionalFormatting sqref="U1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{EDF06B5A-9378-440C-87EF-469C62EC33DB}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9017BB-8168-4E36-A9DA-54BA16ABBB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Q8:Q18</xm:sqref>
        </x14:conditionalFormatting>
        <x14:conditionalFormatting xmlns:xm="http://schemas.microsoft.com/office/excel/2006/main">
          <x14:cfRule type="dataBar" id="{06D1B490-2939-485E-8DC6-7AB2886B0F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5873D25-BA79-4B4A-ADF7-A5857FB983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EDF06B5A-9378-440C-87EF-469C62EC33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E6C7-419D-47D7-B405-6E5FCD9570C7}">
  <sheetPr codeName="Sheet5"/>
  <dimension ref="A1:AI229"/>
  <sheetViews>
    <sheetView showGridLines="0" zoomScale="85" zoomScaleNormal="85" workbookViewId="0">
      <selection activeCell="B6" sqref="B6:N18"/>
    </sheetView>
  </sheetViews>
  <sheetFormatPr defaultColWidth="8.83984375" defaultRowHeight="14.4" x14ac:dyDescent="0.55000000000000004"/>
  <cols>
    <col min="1" max="15" width="8.83984375" style="11"/>
    <col min="16" max="16" width="13" style="11" customWidth="1"/>
    <col min="17" max="19" width="8.83984375" style="11"/>
    <col min="20" max="20" width="10.83984375" style="11" customWidth="1"/>
    <col min="21" max="21" width="11.15625" style="11" customWidth="1"/>
    <col min="22" max="16384" width="8.83984375" style="11"/>
  </cols>
  <sheetData>
    <row r="1" spans="1:35" s="17" customFormat="1" ht="25.8" x14ac:dyDescent="0.55000000000000004">
      <c r="A1" s="73" t="s">
        <v>47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Oct-May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Ethiopia : Arabica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Oct-May</v>
      </c>
      <c r="T6" s="75"/>
      <c r="U6" s="75"/>
    </row>
    <row r="7" spans="1:35" x14ac:dyDescent="0.55000000000000004">
      <c r="A7" s="14">
        <v>1</v>
      </c>
      <c r="B7" s="6" t="s">
        <v>15</v>
      </c>
      <c r="C7" s="24">
        <v>262825.72750000004</v>
      </c>
      <c r="D7" s="24">
        <v>181919.37</v>
      </c>
      <c r="E7" s="24">
        <v>345283.9933333334</v>
      </c>
      <c r="F7" s="24">
        <v>89769.722333333339</v>
      </c>
      <c r="G7" s="24">
        <v>203923.38833333334</v>
      </c>
      <c r="H7" s="24">
        <v>305775.4408333333</v>
      </c>
      <c r="I7" s="24">
        <v>392680.61150000006</v>
      </c>
      <c r="J7" s="24">
        <v>383173.58150000003</v>
      </c>
      <c r="K7" s="24">
        <v>478321.03690500004</v>
      </c>
      <c r="L7" s="24">
        <v>341526.56103333336</v>
      </c>
      <c r="M7" s="24">
        <v>282757.94245000003</v>
      </c>
      <c r="N7" s="24">
        <v>252556.35666666675</v>
      </c>
      <c r="O7" s="6" t="s">
        <v>15</v>
      </c>
      <c r="P7" s="20">
        <f t="shared" ref="P7:P19" si="0">IF(COUNT(C7:N7)=12,SUM(C7:N7),"")</f>
        <v>3520513.7323883334</v>
      </c>
      <c r="Q7" s="2"/>
      <c r="R7" s="2"/>
      <c r="S7" s="6" t="s">
        <v>15</v>
      </c>
      <c r="T7" s="20">
        <f t="shared" ref="T7:T19" ca="1" si="1">IFERROR(IF(SUM(OFFSET(C7,0,0,1,$C$56))=0,"",SUM(OFFSET(C7,0,0,1,$C$56))),"")</f>
        <v>2165351.8353333334</v>
      </c>
      <c r="U7" s="2"/>
    </row>
    <row r="8" spans="1:35" x14ac:dyDescent="0.55000000000000004">
      <c r="A8" s="14">
        <v>2</v>
      </c>
      <c r="B8" s="6" t="s">
        <v>16</v>
      </c>
      <c r="C8" s="24">
        <v>275210.12416666676</v>
      </c>
      <c r="D8" s="24">
        <v>249314.15316666671</v>
      </c>
      <c r="E8" s="24">
        <v>217533.41380833334</v>
      </c>
      <c r="F8" s="24">
        <v>172684.52833333332</v>
      </c>
      <c r="G8" s="24">
        <v>240670.77566666671</v>
      </c>
      <c r="H8" s="24">
        <v>308738.80100000009</v>
      </c>
      <c r="I8" s="24">
        <v>309486.36775000009</v>
      </c>
      <c r="J8" s="24">
        <v>410365.65208333335</v>
      </c>
      <c r="K8" s="24">
        <v>443128.38533333334</v>
      </c>
      <c r="L8" s="24">
        <v>319078.05713333341</v>
      </c>
      <c r="M8" s="24">
        <v>298904.78858333337</v>
      </c>
      <c r="N8" s="24">
        <v>256372.36691666665</v>
      </c>
      <c r="O8" s="6" t="s">
        <v>16</v>
      </c>
      <c r="P8" s="20">
        <f t="shared" si="0"/>
        <v>3501487.4139416665</v>
      </c>
      <c r="Q8" s="7">
        <f t="shared" ref="Q8:Q17" si="2">IFERROR(P8/P7-1,"")</f>
        <v>-5.4044153475746315E-3</v>
      </c>
      <c r="R8" s="2"/>
      <c r="S8" s="6" t="s">
        <v>16</v>
      </c>
      <c r="T8" s="20">
        <f t="shared" ca="1" si="1"/>
        <v>2184003.8159750002</v>
      </c>
      <c r="U8" s="7">
        <f t="shared" ref="U8:U18" ca="1" si="3">IFERROR(T8/T7-1,"")</f>
        <v>8.6138337139078924E-3</v>
      </c>
    </row>
    <row r="9" spans="1:35" x14ac:dyDescent="0.55000000000000004">
      <c r="A9" s="14">
        <v>3</v>
      </c>
      <c r="B9" s="6" t="s">
        <v>17</v>
      </c>
      <c r="C9" s="24">
        <v>220080.36833333332</v>
      </c>
      <c r="D9" s="24">
        <v>236826.76375000001</v>
      </c>
      <c r="E9" s="24">
        <v>206062.21000000002</v>
      </c>
      <c r="F9" s="24">
        <v>184018.45666666667</v>
      </c>
      <c r="G9" s="24">
        <v>243564.15300000002</v>
      </c>
      <c r="H9" s="24">
        <v>425598.48133333336</v>
      </c>
      <c r="I9" s="24">
        <v>504733.58333333331</v>
      </c>
      <c r="J9" s="24">
        <v>505595.26020833332</v>
      </c>
      <c r="K9" s="24">
        <v>554298.59120833338</v>
      </c>
      <c r="L9" s="24">
        <v>343344.73333333334</v>
      </c>
      <c r="M9" s="24">
        <v>334113.51050000003</v>
      </c>
      <c r="N9" s="24">
        <v>294207.57158333337</v>
      </c>
      <c r="O9" s="6" t="s">
        <v>17</v>
      </c>
      <c r="P9" s="20">
        <f t="shared" si="0"/>
        <v>4052443.6832499998</v>
      </c>
      <c r="Q9" s="7">
        <f t="shared" si="2"/>
        <v>0.15734920740100988</v>
      </c>
      <c r="R9" s="2"/>
      <c r="S9" s="6" t="s">
        <v>17</v>
      </c>
      <c r="T9" s="20">
        <f t="shared" ca="1" si="1"/>
        <v>2526479.2766249999</v>
      </c>
      <c r="U9" s="7">
        <f t="shared" ca="1" si="3"/>
        <v>0.15681083436986087</v>
      </c>
    </row>
    <row r="10" spans="1:35" x14ac:dyDescent="0.55000000000000004">
      <c r="A10" s="14">
        <v>4</v>
      </c>
      <c r="B10" s="6" t="s">
        <v>18</v>
      </c>
      <c r="C10" s="24">
        <v>303913.66741666669</v>
      </c>
      <c r="D10" s="24">
        <v>324333.90271333337</v>
      </c>
      <c r="E10" s="24">
        <v>311326.32665833342</v>
      </c>
      <c r="F10" s="24">
        <v>202246.61250000002</v>
      </c>
      <c r="G10" s="24">
        <v>303186.01575833338</v>
      </c>
      <c r="H10" s="24">
        <v>69743.040208333347</v>
      </c>
      <c r="I10" s="24">
        <v>455500.49023333337</v>
      </c>
      <c r="J10" s="24">
        <v>459656.91887500009</v>
      </c>
      <c r="K10" s="24">
        <v>436685.09134166664</v>
      </c>
      <c r="L10" s="24">
        <v>372197.75655666675</v>
      </c>
      <c r="M10" s="24">
        <v>387922.59298000002</v>
      </c>
      <c r="N10" s="24">
        <v>289574.05174999998</v>
      </c>
      <c r="O10" s="6" t="s">
        <v>18</v>
      </c>
      <c r="P10" s="20">
        <f t="shared" si="0"/>
        <v>3916286.4669916676</v>
      </c>
      <c r="Q10" s="7">
        <f t="shared" si="2"/>
        <v>-3.3598792950809364E-2</v>
      </c>
      <c r="R10" s="2"/>
      <c r="S10" s="6" t="s">
        <v>18</v>
      </c>
      <c r="T10" s="20">
        <f t="shared" ca="1" si="1"/>
        <v>2429906.974363334</v>
      </c>
      <c r="U10" s="7">
        <f t="shared" ca="1" si="3"/>
        <v>-3.8224062692757244E-2</v>
      </c>
    </row>
    <row r="11" spans="1:35" x14ac:dyDescent="0.55000000000000004">
      <c r="A11" s="14">
        <v>5</v>
      </c>
      <c r="B11" s="6" t="s">
        <v>19</v>
      </c>
      <c r="C11" s="24">
        <v>317967.64272500004</v>
      </c>
      <c r="D11" s="24">
        <v>288869.13979166665</v>
      </c>
      <c r="E11" s="24">
        <v>221547.89524999997</v>
      </c>
      <c r="F11" s="24">
        <v>197245.59793666669</v>
      </c>
      <c r="G11" s="24">
        <v>246321.36260000002</v>
      </c>
      <c r="H11" s="24">
        <v>356131.01562499994</v>
      </c>
      <c r="I11" s="24">
        <v>377594.88133333344</v>
      </c>
      <c r="J11" s="24">
        <v>535344.50266666675</v>
      </c>
      <c r="K11" s="24">
        <v>446520.77929166675</v>
      </c>
      <c r="L11" s="24">
        <v>513133.67570833338</v>
      </c>
      <c r="M11" s="24">
        <v>491786.12901666661</v>
      </c>
      <c r="N11" s="24">
        <v>392564.34583333344</v>
      </c>
      <c r="O11" s="6" t="s">
        <v>19</v>
      </c>
      <c r="P11" s="20">
        <f t="shared" si="0"/>
        <v>4385026.9677783335</v>
      </c>
      <c r="Q11" s="7">
        <f t="shared" si="2"/>
        <v>0.11969004431556129</v>
      </c>
      <c r="R11" s="2"/>
      <c r="S11" s="6" t="s">
        <v>19</v>
      </c>
      <c r="T11" s="20">
        <f t="shared" ca="1" si="1"/>
        <v>2541022.0379283335</v>
      </c>
      <c r="U11" s="7">
        <f t="shared" ca="1" si="3"/>
        <v>4.57281141777508E-2</v>
      </c>
    </row>
    <row r="12" spans="1:35" x14ac:dyDescent="0.55000000000000004">
      <c r="A12" s="14">
        <v>6</v>
      </c>
      <c r="B12" s="6" t="s">
        <v>20</v>
      </c>
      <c r="C12" s="24">
        <v>384383.8949666667</v>
      </c>
      <c r="D12" s="24">
        <v>343100.56999999995</v>
      </c>
      <c r="E12" s="24">
        <v>268278.00291666668</v>
      </c>
      <c r="F12" s="24">
        <v>265632.78409333335</v>
      </c>
      <c r="G12" s="24">
        <v>316358.41338333342</v>
      </c>
      <c r="H12" s="24">
        <v>445262.3977083335</v>
      </c>
      <c r="I12" s="24">
        <v>445704.0373333334</v>
      </c>
      <c r="J12" s="24">
        <v>448553.27683333331</v>
      </c>
      <c r="K12" s="24">
        <v>487813.41716666677</v>
      </c>
      <c r="L12" s="24">
        <v>365417.00422500004</v>
      </c>
      <c r="M12" s="24">
        <v>296168.21774166665</v>
      </c>
      <c r="N12" s="24">
        <v>275233.95433333341</v>
      </c>
      <c r="O12" s="6" t="s">
        <v>20</v>
      </c>
      <c r="P12" s="20">
        <f t="shared" si="0"/>
        <v>4341905.9707016675</v>
      </c>
      <c r="Q12" s="7">
        <f t="shared" si="2"/>
        <v>-9.83369028138803E-3</v>
      </c>
      <c r="R12" s="2"/>
      <c r="S12" s="6" t="s">
        <v>20</v>
      </c>
      <c r="T12" s="20">
        <f t="shared" ca="1" si="1"/>
        <v>2917273.377235</v>
      </c>
      <c r="U12" s="7">
        <f t="shared" ca="1" si="3"/>
        <v>0.14807086821388604</v>
      </c>
    </row>
    <row r="13" spans="1:35" x14ac:dyDescent="0.55000000000000004">
      <c r="A13" s="14">
        <v>7</v>
      </c>
      <c r="B13" s="6" t="s">
        <v>21</v>
      </c>
      <c r="C13" s="24">
        <v>260519.19343333336</v>
      </c>
      <c r="D13" s="24">
        <v>240579.56199999998</v>
      </c>
      <c r="E13" s="24">
        <v>215648.73162500001</v>
      </c>
      <c r="F13" s="24">
        <v>185235.87615833333</v>
      </c>
      <c r="G13" s="24">
        <v>251442.07583333337</v>
      </c>
      <c r="H13" s="24">
        <v>420680.98441666667</v>
      </c>
      <c r="I13" s="24">
        <v>532429.58583333343</v>
      </c>
      <c r="J13" s="24">
        <v>554637.22516666679</v>
      </c>
      <c r="K13" s="24">
        <v>702815.55324166676</v>
      </c>
      <c r="L13" s="24">
        <v>590243.39109166677</v>
      </c>
      <c r="M13" s="24">
        <v>506498.86800000013</v>
      </c>
      <c r="N13" s="24">
        <v>457426.87100000004</v>
      </c>
      <c r="O13" s="6" t="s">
        <v>21</v>
      </c>
      <c r="P13" s="20">
        <f t="shared" si="0"/>
        <v>4918157.9178000009</v>
      </c>
      <c r="Q13" s="7">
        <f t="shared" si="2"/>
        <v>0.13271866111029773</v>
      </c>
      <c r="R13" s="2"/>
      <c r="S13" s="6" t="s">
        <v>21</v>
      </c>
      <c r="T13" s="20">
        <f t="shared" ca="1" si="1"/>
        <v>2661173.2344666668</v>
      </c>
      <c r="U13" s="7">
        <f t="shared" ca="1" si="3"/>
        <v>-8.7787502113040095E-2</v>
      </c>
    </row>
    <row r="14" spans="1:35" x14ac:dyDescent="0.55000000000000004">
      <c r="A14" s="14">
        <v>8</v>
      </c>
      <c r="B14" s="6" t="s">
        <v>22</v>
      </c>
      <c r="C14" s="24">
        <v>374367.72562500014</v>
      </c>
      <c r="D14" s="24">
        <v>408703.38972499996</v>
      </c>
      <c r="E14" s="24">
        <v>346964.20533333335</v>
      </c>
      <c r="F14" s="24">
        <v>233724.64324999999</v>
      </c>
      <c r="G14" s="24">
        <v>291172.25706333329</v>
      </c>
      <c r="H14" s="24">
        <v>475487.96781833324</v>
      </c>
      <c r="I14" s="24">
        <v>451860.4696833333</v>
      </c>
      <c r="J14" s="24">
        <v>506522.97771666665</v>
      </c>
      <c r="K14" s="24">
        <v>581891.54049999989</v>
      </c>
      <c r="L14" s="24">
        <v>606587.96103333309</v>
      </c>
      <c r="M14" s="24">
        <v>455477.44433333329</v>
      </c>
      <c r="N14" s="24">
        <v>345080.23366666667</v>
      </c>
      <c r="O14" s="6" t="s">
        <v>22</v>
      </c>
      <c r="P14" s="20">
        <f t="shared" si="0"/>
        <v>5077840.815748333</v>
      </c>
      <c r="Q14" s="7">
        <f t="shared" si="2"/>
        <v>3.2468029822792177E-2</v>
      </c>
      <c r="R14" s="2"/>
      <c r="S14" s="6" t="s">
        <v>22</v>
      </c>
      <c r="T14" s="20">
        <f t="shared" ca="1" si="1"/>
        <v>3088803.6362149999</v>
      </c>
      <c r="U14" s="7">
        <f t="shared" ca="1" si="3"/>
        <v>0.16069243302532898</v>
      </c>
    </row>
    <row r="15" spans="1:35" x14ac:dyDescent="0.55000000000000004">
      <c r="A15" s="14">
        <v>9</v>
      </c>
      <c r="B15" s="6" t="s">
        <v>23</v>
      </c>
      <c r="C15" s="24">
        <v>352960.74426666682</v>
      </c>
      <c r="D15" s="24">
        <v>313914.70183333335</v>
      </c>
      <c r="E15" s="24">
        <v>188482.8512083333</v>
      </c>
      <c r="F15" s="24">
        <v>132991.4194466667</v>
      </c>
      <c r="G15" s="24">
        <v>254698.62294166666</v>
      </c>
      <c r="H15" s="24">
        <v>354397.70031666663</v>
      </c>
      <c r="I15" s="24">
        <v>340150.44466666668</v>
      </c>
      <c r="J15" s="24">
        <v>442953.15233333333</v>
      </c>
      <c r="K15" s="24">
        <v>533786.76904166664</v>
      </c>
      <c r="L15" s="24">
        <v>466477.17291666678</v>
      </c>
      <c r="M15" s="24">
        <v>421368.52874999994</v>
      </c>
      <c r="N15" s="24">
        <v>311336.73988333339</v>
      </c>
      <c r="O15" s="6" t="s">
        <v>23</v>
      </c>
      <c r="P15" s="20">
        <f t="shared" si="0"/>
        <v>4113518.8476050003</v>
      </c>
      <c r="Q15" s="7">
        <f t="shared" si="2"/>
        <v>-0.1899078768189425</v>
      </c>
      <c r="R15" s="2"/>
      <c r="S15" s="6" t="s">
        <v>23</v>
      </c>
      <c r="T15" s="20">
        <f t="shared" ca="1" si="1"/>
        <v>2380549.6370133334</v>
      </c>
      <c r="U15" s="7">
        <f t="shared" ca="1" si="3"/>
        <v>-0.22929719160443507</v>
      </c>
    </row>
    <row r="16" spans="1:35" x14ac:dyDescent="0.55000000000000004">
      <c r="A16" s="14">
        <v>10</v>
      </c>
      <c r="B16" s="6" t="s">
        <v>24</v>
      </c>
      <c r="C16" s="24">
        <v>360453.73706666677</v>
      </c>
      <c r="D16" s="24">
        <v>302398.71216666664</v>
      </c>
      <c r="E16" s="24">
        <v>252290.43070000003</v>
      </c>
      <c r="F16" s="24">
        <v>215003.64350000003</v>
      </c>
      <c r="G16" s="24">
        <v>321740.86825</v>
      </c>
      <c r="H16" s="24">
        <v>398293.6241666667</v>
      </c>
      <c r="I16" s="24">
        <v>600354.61762500019</v>
      </c>
      <c r="J16" s="24">
        <v>725307.72642499988</v>
      </c>
      <c r="K16" s="24">
        <v>757506.68666666676</v>
      </c>
      <c r="L16" s="24">
        <v>761758.56338333362</v>
      </c>
      <c r="M16" s="24">
        <v>640817.96462499991</v>
      </c>
      <c r="N16" s="24">
        <v>576746.28574999992</v>
      </c>
      <c r="O16" s="6" t="s">
        <v>24</v>
      </c>
      <c r="P16" s="20">
        <f t="shared" si="0"/>
        <v>5912672.8603250002</v>
      </c>
      <c r="Q16" s="7">
        <f t="shared" si="2"/>
        <v>0.43737590111383962</v>
      </c>
      <c r="R16" s="2"/>
      <c r="S16" s="6" t="s">
        <v>24</v>
      </c>
      <c r="T16" s="20">
        <f t="shared" ca="1" si="1"/>
        <v>3175843.3599000005</v>
      </c>
      <c r="U16" s="7">
        <f t="shared" ca="1" si="3"/>
        <v>0.33407987404306017</v>
      </c>
    </row>
    <row r="17" spans="1:21" x14ac:dyDescent="0.55000000000000004">
      <c r="A17" s="14">
        <v>11</v>
      </c>
      <c r="B17" s="6" t="s">
        <v>25</v>
      </c>
      <c r="C17" s="24">
        <v>615643.94782500004</v>
      </c>
      <c r="D17" s="24">
        <v>511985.18040000007</v>
      </c>
      <c r="E17" s="24">
        <v>496538.89433333348</v>
      </c>
      <c r="F17" s="24">
        <v>345167.64532500005</v>
      </c>
      <c r="G17" s="24">
        <v>462975.67166666669</v>
      </c>
      <c r="H17" s="24">
        <v>710116</v>
      </c>
      <c r="I17" s="24">
        <f>49117/0.06</f>
        <v>818616.66666666674</v>
      </c>
      <c r="J17" s="24">
        <f>58963/0.06</f>
        <v>982716.66666666674</v>
      </c>
      <c r="K17" s="24">
        <f>49873/0.06</f>
        <v>831216.66666666674</v>
      </c>
      <c r="L17" s="24">
        <f>48903/0.06</f>
        <v>815050</v>
      </c>
      <c r="M17" s="24">
        <f>35663/0.06</f>
        <v>594383.33333333337</v>
      </c>
      <c r="N17" s="24">
        <f>26287/0.06</f>
        <v>438116.66666666669</v>
      </c>
      <c r="O17" s="6" t="s">
        <v>25</v>
      </c>
      <c r="P17" s="5">
        <f t="shared" si="0"/>
        <v>7622527.3395500015</v>
      </c>
      <c r="Q17" s="7">
        <f t="shared" si="2"/>
        <v>0.28918469186726092</v>
      </c>
      <c r="R17" s="2"/>
      <c r="S17" s="6" t="s">
        <v>25</v>
      </c>
      <c r="T17" s="20">
        <f t="shared" ca="1" si="1"/>
        <v>4943760.6728833346</v>
      </c>
      <c r="U17" s="7">
        <f t="shared" ca="1" si="3"/>
        <v>0.55667648326301622</v>
      </c>
    </row>
    <row r="18" spans="1:21" x14ac:dyDescent="0.55000000000000004">
      <c r="A18" s="14">
        <v>12</v>
      </c>
      <c r="B18" s="6" t="s">
        <v>26</v>
      </c>
      <c r="C18" s="24">
        <f>37322/0.06</f>
        <v>622033.33333333337</v>
      </c>
      <c r="D18" s="24">
        <f>27790/0.06</f>
        <v>463166.66666666669</v>
      </c>
      <c r="E18" s="24">
        <f>26167/0.06</f>
        <v>436116.66666666669</v>
      </c>
      <c r="F18" s="24">
        <f>17227/0.06</f>
        <v>287116.66666666669</v>
      </c>
      <c r="G18" s="24">
        <f>19553/0.06</f>
        <v>325883.33333333337</v>
      </c>
      <c r="H18" s="24">
        <f>26562/0.06</f>
        <v>442700</v>
      </c>
      <c r="I18" s="24">
        <f>42158/0.06</f>
        <v>702633.33333333337</v>
      </c>
      <c r="J18" s="24">
        <f>41649/0.06</f>
        <v>694150</v>
      </c>
      <c r="K18" s="24" t="e">
        <f>NA()</f>
        <v>#N/A</v>
      </c>
      <c r="L18" s="24" t="e">
        <f>NA()</f>
        <v>#N/A</v>
      </c>
      <c r="M18" s="24" t="e">
        <f>NA()</f>
        <v>#N/A</v>
      </c>
      <c r="N18" s="24" t="e">
        <f>NA()</f>
        <v>#N/A</v>
      </c>
      <c r="O18" s="6" t="s">
        <v>26</v>
      </c>
      <c r="P18" s="5" t="str">
        <f t="shared" si="0"/>
        <v/>
      </c>
      <c r="Q18" s="7"/>
      <c r="R18" s="2"/>
      <c r="S18" s="6" t="s">
        <v>26</v>
      </c>
      <c r="T18" s="20">
        <f t="shared" ca="1" si="1"/>
        <v>3973800.0000000005</v>
      </c>
      <c r="U18" s="7">
        <f t="shared" ca="1" si="3"/>
        <v>-0.19619895400754239</v>
      </c>
    </row>
    <row r="19" spans="1:21" x14ac:dyDescent="0.55000000000000004">
      <c r="A19" s="14">
        <v>13</v>
      </c>
      <c r="B19" s="6" t="s">
        <v>27</v>
      </c>
      <c r="C19" s="24" t="e">
        <f>NA()</f>
        <v>#N/A</v>
      </c>
      <c r="D19" s="24" t="e">
        <f>NA()</f>
        <v>#N/A</v>
      </c>
      <c r="E19" s="24" t="e">
        <f>NA()</f>
        <v>#N/A</v>
      </c>
      <c r="F19" s="24" t="e">
        <f>NA()</f>
        <v>#N/A</v>
      </c>
      <c r="G19" s="24" t="e">
        <f>NA()</f>
        <v>#N/A</v>
      </c>
      <c r="H19" s="24" t="e">
        <f>NA()</f>
        <v>#N/A</v>
      </c>
      <c r="I19" s="24" t="e">
        <f>NA()</f>
        <v>#N/A</v>
      </c>
      <c r="J19" s="24" t="e">
        <f>NA()</f>
        <v>#N/A</v>
      </c>
      <c r="K19" s="24" t="e">
        <f>NA()</f>
        <v>#N/A</v>
      </c>
      <c r="L19" s="24" t="e">
        <f>NA()</f>
        <v>#N/A</v>
      </c>
      <c r="M19" s="24" t="e">
        <f>NA()</f>
        <v>#N/A</v>
      </c>
      <c r="N19" s="24" t="e">
        <f>NA()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t="shared" ca="1" si="1"/>
        <v/>
      </c>
      <c r="U19" s="7"/>
    </row>
    <row r="20" spans="1:21" x14ac:dyDescent="0.55000000000000004">
      <c r="B20" s="8" t="s">
        <v>28</v>
      </c>
      <c r="C20" s="54">
        <f>IFERROR(C18/C17-1,"")</f>
        <v>1.0378377844704412E-2</v>
      </c>
      <c r="D20" s="54">
        <f t="shared" ref="D20:N20" si="4">IFERROR(D18/D17-1,"")</f>
        <v>-9.5351419537559323E-2</v>
      </c>
      <c r="E20" s="54">
        <f t="shared" si="4"/>
        <v>-0.12168679705905272</v>
      </c>
      <c r="F20" s="54">
        <f t="shared" si="4"/>
        <v>-0.16818198184153155</v>
      </c>
      <c r="G20" s="54">
        <f t="shared" si="4"/>
        <v>-0.29611132230731352</v>
      </c>
      <c r="H20" s="54">
        <f t="shared" si="4"/>
        <v>-0.37658072765576334</v>
      </c>
      <c r="I20" s="54">
        <f t="shared" si="4"/>
        <v>-0.14168210599181552</v>
      </c>
      <c r="J20" s="54">
        <f t="shared" si="4"/>
        <v>-0.29364177535064373</v>
      </c>
      <c r="K20" s="54" t="str">
        <f t="shared" si="4"/>
        <v/>
      </c>
      <c r="L20" s="54" t="str">
        <f t="shared" si="4"/>
        <v/>
      </c>
      <c r="M20" s="54" t="str">
        <f t="shared" si="4"/>
        <v/>
      </c>
      <c r="N20" s="54" t="str">
        <f t="shared" si="4"/>
        <v/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Ethiopia : Arabica Exports | YTD : Oct-May</v>
      </c>
      <c r="Q27" s="13" t="str">
        <f>_xlfn.CONCAT(A1," | ","Cumulative")</f>
        <v>Ethiopia : Arabica Exports | Cumulative</v>
      </c>
    </row>
    <row r="56" spans="2:6" x14ac:dyDescent="0.55000000000000004">
      <c r="B56" s="9" t="s">
        <v>29</v>
      </c>
      <c r="C56" s="9">
        <f>COUNT(C18:N18)</f>
        <v>8</v>
      </c>
      <c r="D56" s="25" t="str">
        <f ca="1">OFFSET(B6,0,$C$56,1,1)</f>
        <v>May</v>
      </c>
      <c r="E56" s="11" t="str">
        <f>B18</f>
        <v>25/26</v>
      </c>
      <c r="F56" s="11" t="str">
        <f ca="1">_xlfn.CONCAT(D56,"'",E56)</f>
        <v>May'25/26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622033.33333333337</v>
      </c>
      <c r="C66" s="12">
        <f t="shared" ref="C66:M66" si="5">D18</f>
        <v>463166.66666666669</v>
      </c>
      <c r="D66" s="12">
        <f t="shared" si="5"/>
        <v>436116.66666666669</v>
      </c>
      <c r="E66" s="12">
        <f t="shared" si="5"/>
        <v>287116.66666666669</v>
      </c>
      <c r="F66" s="12">
        <f t="shared" si="5"/>
        <v>325883.33333333337</v>
      </c>
      <c r="G66" s="12">
        <f t="shared" si="5"/>
        <v>442700</v>
      </c>
      <c r="H66" s="12">
        <f t="shared" si="5"/>
        <v>702633.33333333337</v>
      </c>
      <c r="I66" s="12">
        <f t="shared" si="5"/>
        <v>694150</v>
      </c>
      <c r="J66" s="12" t="e">
        <f t="shared" si="5"/>
        <v>#N/A</v>
      </c>
      <c r="K66" s="12" t="e">
        <f t="shared" si="5"/>
        <v>#N/A</v>
      </c>
      <c r="L66" s="12" t="e">
        <f t="shared" si="5"/>
        <v>#N/A</v>
      </c>
      <c r="M66" s="12" t="e">
        <f t="shared" si="5"/>
        <v>#N/A</v>
      </c>
    </row>
    <row r="67" spans="1:25" x14ac:dyDescent="0.55000000000000004">
      <c r="A67" s="11" t="s">
        <v>30</v>
      </c>
      <c r="B67" s="12">
        <f>MIN(C7:C17)</f>
        <v>220080.36833333332</v>
      </c>
      <c r="C67" s="12">
        <f t="shared" ref="C67:M67" si="6">MIN(D7:D17)</f>
        <v>181919.37</v>
      </c>
      <c r="D67" s="12">
        <f t="shared" si="6"/>
        <v>188482.8512083333</v>
      </c>
      <c r="E67" s="12">
        <f t="shared" si="6"/>
        <v>89769.722333333339</v>
      </c>
      <c r="F67" s="12">
        <f t="shared" si="6"/>
        <v>203923.38833333334</v>
      </c>
      <c r="G67" s="12">
        <f t="shared" si="6"/>
        <v>69743.040208333347</v>
      </c>
      <c r="H67" s="12">
        <f t="shared" si="6"/>
        <v>309486.36775000009</v>
      </c>
      <c r="I67" s="12">
        <f t="shared" si="6"/>
        <v>383173.58150000003</v>
      </c>
      <c r="J67" s="12">
        <f t="shared" si="6"/>
        <v>436685.09134166664</v>
      </c>
      <c r="K67" s="12">
        <f t="shared" si="6"/>
        <v>319078.05713333341</v>
      </c>
      <c r="L67" s="12">
        <f t="shared" si="6"/>
        <v>282757.94245000003</v>
      </c>
      <c r="M67" s="12">
        <f t="shared" si="6"/>
        <v>252556.35666666675</v>
      </c>
      <c r="N67" s="12"/>
    </row>
    <row r="68" spans="1:25" x14ac:dyDescent="0.55000000000000004">
      <c r="A68" s="11" t="s">
        <v>31</v>
      </c>
      <c r="B68" s="12">
        <f>MAX(C7:C17)</f>
        <v>615643.94782500004</v>
      </c>
      <c r="C68" s="12">
        <f t="shared" ref="C68:M68" si="7">MAX(D7:D17)</f>
        <v>511985.18040000007</v>
      </c>
      <c r="D68" s="12">
        <f t="shared" si="7"/>
        <v>496538.89433333348</v>
      </c>
      <c r="E68" s="12">
        <f t="shared" si="7"/>
        <v>345167.64532500005</v>
      </c>
      <c r="F68" s="12">
        <f t="shared" si="7"/>
        <v>462975.67166666669</v>
      </c>
      <c r="G68" s="12">
        <f t="shared" si="7"/>
        <v>710116</v>
      </c>
      <c r="H68" s="12">
        <f t="shared" si="7"/>
        <v>818616.66666666674</v>
      </c>
      <c r="I68" s="12">
        <f t="shared" si="7"/>
        <v>982716.66666666674</v>
      </c>
      <c r="J68" s="12">
        <f t="shared" si="7"/>
        <v>831216.66666666674</v>
      </c>
      <c r="K68" s="12">
        <f t="shared" si="7"/>
        <v>815050</v>
      </c>
      <c r="L68" s="12">
        <f t="shared" si="7"/>
        <v>640817.96462499991</v>
      </c>
      <c r="M68" s="12">
        <f t="shared" si="7"/>
        <v>576746.28574999992</v>
      </c>
      <c r="N68" s="12"/>
    </row>
    <row r="69" spans="1:25" x14ac:dyDescent="0.55000000000000004">
      <c r="A69" s="11" t="s">
        <v>32</v>
      </c>
      <c r="B69" s="12">
        <f t="shared" ref="B69" si="8">AVERAGE(C12:C16)</f>
        <v>346537.05907166679</v>
      </c>
      <c r="C69" s="12">
        <f t="shared" ref="C69" si="9">AVERAGE(D12:D16)</f>
        <v>321739.38714499993</v>
      </c>
      <c r="D69" s="12">
        <f t="shared" ref="D69" si="10">AVERAGE(E12:E16)</f>
        <v>254332.8443566667</v>
      </c>
      <c r="E69" s="12">
        <f t="shared" ref="E69" si="11">AVERAGE(F12:F16)</f>
        <v>206517.67328966668</v>
      </c>
      <c r="F69" s="12">
        <f t="shared" ref="F69" si="12">AVERAGE(G12:G16)</f>
        <v>287082.44749433338</v>
      </c>
      <c r="G69" s="12">
        <f t="shared" ref="G69" si="13">AVERAGE(H12:H16)</f>
        <v>418824.53488533339</v>
      </c>
      <c r="H69" s="12">
        <f t="shared" ref="H69" si="14">AVERAGE(I12:I16)</f>
        <v>474099.8310283334</v>
      </c>
      <c r="I69" s="12">
        <f t="shared" ref="I69" si="15">AVERAGE(J12:J16)</f>
        <v>535594.87169499998</v>
      </c>
      <c r="J69" s="12">
        <f t="shared" ref="J69" si="16">AVERAGE(K12:K16)</f>
        <v>612762.79332333338</v>
      </c>
      <c r="K69" s="12">
        <f t="shared" ref="K69" si="17">AVERAGE(L12:L16)</f>
        <v>558096.81853000005</v>
      </c>
      <c r="L69" s="12">
        <f t="shared" ref="L69" si="18">AVERAGE(M12:M16)</f>
        <v>464066.20469000004</v>
      </c>
      <c r="M69" s="12">
        <f t="shared" ref="M69" si="19">AVERAGE(N12:N16)</f>
        <v>393164.81692666671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262825.72750000004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20">INDEX($C$7:$N$19,MATCH(B75,$A$7:$A$19),MATCH(C75,$C$4:$N$4))</f>
        <v>181919.37</v>
      </c>
      <c r="E75" s="11" t="str">
        <f t="shared" ref="E75:E138" si="21">_xlfn.XLOOKUP(B75,$A$7:$A$19,$B$7:$B$19)</f>
        <v>14/15</v>
      </c>
      <c r="F75" s="11" t="str">
        <f t="shared" ref="F75:F138" si="22">_xlfn.XLOOKUP(C75,$C$4:$N$4,$C$6:$N$6)</f>
        <v>Nov</v>
      </c>
      <c r="G75" s="11" t="str">
        <f t="shared" ref="G75:G138" si="23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20"/>
        <v>345283.9933333334</v>
      </c>
      <c r="E76" s="11" t="str">
        <f t="shared" si="21"/>
        <v>14/15</v>
      </c>
      <c r="F76" s="11" t="str">
        <f t="shared" si="22"/>
        <v>Dec</v>
      </c>
      <c r="G76" s="11" t="str">
        <f t="shared" si="23"/>
        <v>Dec'14/15</v>
      </c>
      <c r="M76" s="6" t="s">
        <v>15</v>
      </c>
      <c r="N76" s="5">
        <f>C7</f>
        <v>262825.72750000004</v>
      </c>
      <c r="O76" s="5">
        <f t="shared" ref="O76:O88" si="24">N76+D7</f>
        <v>444745.09750000003</v>
      </c>
      <c r="P76" s="5">
        <f t="shared" ref="P76:P88" si="25">O76+E7</f>
        <v>790029.09083333344</v>
      </c>
      <c r="Q76" s="5">
        <f t="shared" ref="Q76:Q88" si="26">P76+F7</f>
        <v>879798.81316666678</v>
      </c>
      <c r="R76" s="5">
        <f t="shared" ref="R76:R88" si="27">Q76+G7</f>
        <v>1083722.2015000002</v>
      </c>
      <c r="S76" s="5">
        <f t="shared" ref="S76:S88" si="28">R76+H7</f>
        <v>1389497.6423333334</v>
      </c>
      <c r="T76" s="5">
        <f t="shared" ref="T76:T88" si="29">S76+I7</f>
        <v>1782178.2538333335</v>
      </c>
      <c r="U76" s="5">
        <f t="shared" ref="U76:U88" si="30">T76+J7</f>
        <v>2165351.8353333334</v>
      </c>
      <c r="V76" s="5">
        <f t="shared" ref="V76:V88" si="31">U76+K7</f>
        <v>2643672.8722383333</v>
      </c>
      <c r="W76" s="5">
        <f t="shared" ref="W76:W88" si="32">V76+L7</f>
        <v>2985199.4332716665</v>
      </c>
      <c r="X76" s="5">
        <f t="shared" ref="X76:X88" si="33">W76+M7</f>
        <v>3267957.3757216665</v>
      </c>
      <c r="Y76" s="5">
        <f t="shared" ref="Y76:Y88" si="34">X76+N7</f>
        <v>3520513.7323883334</v>
      </c>
    </row>
    <row r="77" spans="1:25" x14ac:dyDescent="0.55000000000000004">
      <c r="B77" s="11">
        <v>1</v>
      </c>
      <c r="C77" s="11">
        <v>4</v>
      </c>
      <c r="D77" s="12">
        <f t="shared" si="20"/>
        <v>89769.722333333339</v>
      </c>
      <c r="E77" s="11" t="str">
        <f t="shared" si="21"/>
        <v>14/15</v>
      </c>
      <c r="F77" s="11" t="str">
        <f t="shared" si="22"/>
        <v>Jan</v>
      </c>
      <c r="G77" s="11" t="str">
        <f t="shared" si="23"/>
        <v>Jan'14/15</v>
      </c>
      <c r="M77" s="6" t="s">
        <v>16</v>
      </c>
      <c r="N77" s="5">
        <f t="shared" ref="N77:N88" si="35">C8</f>
        <v>275210.12416666676</v>
      </c>
      <c r="O77" s="5">
        <f t="shared" si="24"/>
        <v>524524.27733333351</v>
      </c>
      <c r="P77" s="5">
        <f t="shared" si="25"/>
        <v>742057.69114166684</v>
      </c>
      <c r="Q77" s="5">
        <f t="shared" si="26"/>
        <v>914742.21947500017</v>
      </c>
      <c r="R77" s="5">
        <f t="shared" si="27"/>
        <v>1155412.9951416668</v>
      </c>
      <c r="S77" s="5">
        <f t="shared" si="28"/>
        <v>1464151.7961416668</v>
      </c>
      <c r="T77" s="5">
        <f t="shared" si="29"/>
        <v>1773638.163891667</v>
      </c>
      <c r="U77" s="5">
        <f t="shared" si="30"/>
        <v>2184003.8159750002</v>
      </c>
      <c r="V77" s="5">
        <f t="shared" si="31"/>
        <v>2627132.2013083333</v>
      </c>
      <c r="W77" s="5">
        <f t="shared" si="32"/>
        <v>2946210.2584416666</v>
      </c>
      <c r="X77" s="5">
        <f t="shared" si="33"/>
        <v>3245115.0470249997</v>
      </c>
      <c r="Y77" s="5">
        <f t="shared" si="34"/>
        <v>3501487.4139416665</v>
      </c>
    </row>
    <row r="78" spans="1:25" x14ac:dyDescent="0.55000000000000004">
      <c r="B78" s="11">
        <v>1</v>
      </c>
      <c r="C78" s="11">
        <v>5</v>
      </c>
      <c r="D78" s="12">
        <f t="shared" si="20"/>
        <v>203923.38833333334</v>
      </c>
      <c r="E78" s="11" t="str">
        <f t="shared" si="21"/>
        <v>14/15</v>
      </c>
      <c r="F78" s="11" t="str">
        <f t="shared" si="22"/>
        <v>Feb</v>
      </c>
      <c r="G78" s="11" t="str">
        <f t="shared" si="23"/>
        <v>Feb'14/15</v>
      </c>
      <c r="M78" s="6" t="s">
        <v>17</v>
      </c>
      <c r="N78" s="5">
        <f t="shared" si="35"/>
        <v>220080.36833333332</v>
      </c>
      <c r="O78" s="5">
        <f t="shared" si="24"/>
        <v>456907.13208333333</v>
      </c>
      <c r="P78" s="5">
        <f t="shared" si="25"/>
        <v>662969.34208333329</v>
      </c>
      <c r="Q78" s="5">
        <f t="shared" si="26"/>
        <v>846987.79874999996</v>
      </c>
      <c r="R78" s="5">
        <f t="shared" si="27"/>
        <v>1090551.95175</v>
      </c>
      <c r="S78" s="5">
        <f t="shared" si="28"/>
        <v>1516150.4330833333</v>
      </c>
      <c r="T78" s="5">
        <f t="shared" si="29"/>
        <v>2020884.0164166666</v>
      </c>
      <c r="U78" s="5">
        <f t="shared" si="30"/>
        <v>2526479.2766249999</v>
      </c>
      <c r="V78" s="5">
        <f t="shared" si="31"/>
        <v>3080777.8678333331</v>
      </c>
      <c r="W78" s="5">
        <f t="shared" si="32"/>
        <v>3424122.6011666665</v>
      </c>
      <c r="X78" s="5">
        <f t="shared" si="33"/>
        <v>3758236.1116666663</v>
      </c>
      <c r="Y78" s="5">
        <f t="shared" si="34"/>
        <v>4052443.6832499998</v>
      </c>
    </row>
    <row r="79" spans="1:25" x14ac:dyDescent="0.55000000000000004">
      <c r="B79" s="11">
        <v>1</v>
      </c>
      <c r="C79" s="11">
        <v>6</v>
      </c>
      <c r="D79" s="12">
        <f t="shared" si="20"/>
        <v>305775.4408333333</v>
      </c>
      <c r="E79" s="11" t="str">
        <f t="shared" si="21"/>
        <v>14/15</v>
      </c>
      <c r="F79" s="11" t="str">
        <f t="shared" si="22"/>
        <v>Mar</v>
      </c>
      <c r="G79" s="11" t="str">
        <f t="shared" si="23"/>
        <v>Mar'14/15</v>
      </c>
      <c r="M79" s="6" t="s">
        <v>18</v>
      </c>
      <c r="N79" s="5">
        <f t="shared" si="35"/>
        <v>303913.66741666669</v>
      </c>
      <c r="O79" s="5">
        <f t="shared" si="24"/>
        <v>628247.57013000012</v>
      </c>
      <c r="P79" s="5">
        <f t="shared" si="25"/>
        <v>939573.89678833354</v>
      </c>
      <c r="Q79" s="5">
        <f t="shared" si="26"/>
        <v>1141820.5092883336</v>
      </c>
      <c r="R79" s="5">
        <f t="shared" si="27"/>
        <v>1445006.5250466671</v>
      </c>
      <c r="S79" s="5">
        <f t="shared" si="28"/>
        <v>1514749.5652550005</v>
      </c>
      <c r="T79" s="5">
        <f t="shared" si="29"/>
        <v>1970250.0554883338</v>
      </c>
      <c r="U79" s="5">
        <f t="shared" si="30"/>
        <v>2429906.974363334</v>
      </c>
      <c r="V79" s="5">
        <f t="shared" si="31"/>
        <v>2866592.0657050004</v>
      </c>
      <c r="W79" s="5">
        <f t="shared" si="32"/>
        <v>3238789.8222616673</v>
      </c>
      <c r="X79" s="5">
        <f t="shared" si="33"/>
        <v>3626712.4152416675</v>
      </c>
      <c r="Y79" s="5">
        <f t="shared" si="34"/>
        <v>3916286.4669916676</v>
      </c>
    </row>
    <row r="80" spans="1:25" x14ac:dyDescent="0.55000000000000004">
      <c r="B80" s="11">
        <v>1</v>
      </c>
      <c r="C80" s="11">
        <v>7</v>
      </c>
      <c r="D80" s="12">
        <f t="shared" si="20"/>
        <v>392680.61150000006</v>
      </c>
      <c r="E80" s="11" t="str">
        <f t="shared" si="21"/>
        <v>14/15</v>
      </c>
      <c r="F80" s="11" t="str">
        <f t="shared" si="22"/>
        <v>Apr</v>
      </c>
      <c r="G80" s="11" t="str">
        <f t="shared" si="23"/>
        <v>Apr'14/15</v>
      </c>
      <c r="M80" s="6" t="s">
        <v>19</v>
      </c>
      <c r="N80" s="5">
        <f t="shared" si="35"/>
        <v>317967.64272500004</v>
      </c>
      <c r="O80" s="5">
        <f t="shared" si="24"/>
        <v>606836.78251666669</v>
      </c>
      <c r="P80" s="5">
        <f t="shared" si="25"/>
        <v>828384.67776666663</v>
      </c>
      <c r="Q80" s="5">
        <f t="shared" si="26"/>
        <v>1025630.2757033333</v>
      </c>
      <c r="R80" s="5">
        <f t="shared" si="27"/>
        <v>1271951.6383033334</v>
      </c>
      <c r="S80" s="5">
        <f t="shared" si="28"/>
        <v>1628082.6539283334</v>
      </c>
      <c r="T80" s="5">
        <f t="shared" si="29"/>
        <v>2005677.5352616669</v>
      </c>
      <c r="U80" s="5">
        <f t="shared" si="30"/>
        <v>2541022.0379283335</v>
      </c>
      <c r="V80" s="5">
        <f t="shared" si="31"/>
        <v>2987542.8172200001</v>
      </c>
      <c r="W80" s="5">
        <f t="shared" si="32"/>
        <v>3500676.4929283336</v>
      </c>
      <c r="X80" s="5">
        <f t="shared" si="33"/>
        <v>3992462.6219450003</v>
      </c>
      <c r="Y80" s="5">
        <f t="shared" si="34"/>
        <v>4385026.9677783335</v>
      </c>
    </row>
    <row r="81" spans="2:25" x14ac:dyDescent="0.55000000000000004">
      <c r="B81" s="11">
        <v>1</v>
      </c>
      <c r="C81" s="11">
        <v>8</v>
      </c>
      <c r="D81" s="12">
        <f t="shared" si="20"/>
        <v>383173.58150000003</v>
      </c>
      <c r="E81" s="11" t="str">
        <f t="shared" si="21"/>
        <v>14/15</v>
      </c>
      <c r="F81" s="11" t="str">
        <f t="shared" si="22"/>
        <v>May</v>
      </c>
      <c r="G81" s="11" t="str">
        <f t="shared" si="23"/>
        <v>May'14/15</v>
      </c>
      <c r="M81" s="6" t="s">
        <v>20</v>
      </c>
      <c r="N81" s="5">
        <f t="shared" si="35"/>
        <v>384383.8949666667</v>
      </c>
      <c r="O81" s="5">
        <f t="shared" si="24"/>
        <v>727484.46496666665</v>
      </c>
      <c r="P81" s="5">
        <f t="shared" si="25"/>
        <v>995762.46788333333</v>
      </c>
      <c r="Q81" s="5">
        <f t="shared" si="26"/>
        <v>1261395.2519766667</v>
      </c>
      <c r="R81" s="5">
        <f t="shared" si="27"/>
        <v>1577753.6653600002</v>
      </c>
      <c r="S81" s="5">
        <f t="shared" si="28"/>
        <v>2023016.0630683338</v>
      </c>
      <c r="T81" s="5">
        <f t="shared" si="29"/>
        <v>2468720.1004016669</v>
      </c>
      <c r="U81" s="5">
        <f t="shared" si="30"/>
        <v>2917273.377235</v>
      </c>
      <c r="V81" s="5">
        <f t="shared" si="31"/>
        <v>3405086.7944016666</v>
      </c>
      <c r="W81" s="5">
        <f t="shared" si="32"/>
        <v>3770503.7986266669</v>
      </c>
      <c r="X81" s="5">
        <f t="shared" si="33"/>
        <v>4066672.0163683337</v>
      </c>
      <c r="Y81" s="5">
        <f t="shared" si="34"/>
        <v>4341905.9707016675</v>
      </c>
    </row>
    <row r="82" spans="2:25" x14ac:dyDescent="0.55000000000000004">
      <c r="B82" s="11">
        <v>1</v>
      </c>
      <c r="C82" s="11">
        <v>9</v>
      </c>
      <c r="D82" s="12">
        <f t="shared" si="20"/>
        <v>478321.03690500004</v>
      </c>
      <c r="E82" s="11" t="str">
        <f t="shared" si="21"/>
        <v>14/15</v>
      </c>
      <c r="F82" s="11" t="str">
        <f t="shared" si="22"/>
        <v>Jun</v>
      </c>
      <c r="G82" s="11" t="str">
        <f t="shared" si="23"/>
        <v>Jun'14/15</v>
      </c>
      <c r="M82" s="6" t="s">
        <v>21</v>
      </c>
      <c r="N82" s="5">
        <f t="shared" si="35"/>
        <v>260519.19343333336</v>
      </c>
      <c r="O82" s="5">
        <f t="shared" si="24"/>
        <v>501098.75543333334</v>
      </c>
      <c r="P82" s="5">
        <f t="shared" si="25"/>
        <v>716747.48705833335</v>
      </c>
      <c r="Q82" s="5">
        <f t="shared" si="26"/>
        <v>901983.36321666674</v>
      </c>
      <c r="R82" s="5">
        <f t="shared" si="27"/>
        <v>1153425.4390500002</v>
      </c>
      <c r="S82" s="5">
        <f t="shared" si="28"/>
        <v>1574106.4234666668</v>
      </c>
      <c r="T82" s="5">
        <f t="shared" si="29"/>
        <v>2106536.0093</v>
      </c>
      <c r="U82" s="5">
        <f t="shared" si="30"/>
        <v>2661173.2344666668</v>
      </c>
      <c r="V82" s="5">
        <f t="shared" si="31"/>
        <v>3363988.7877083337</v>
      </c>
      <c r="W82" s="5">
        <f t="shared" si="32"/>
        <v>3954232.1788000003</v>
      </c>
      <c r="X82" s="5">
        <f t="shared" si="33"/>
        <v>4460731.0468000006</v>
      </c>
      <c r="Y82" s="5">
        <f t="shared" si="34"/>
        <v>4918157.9178000009</v>
      </c>
    </row>
    <row r="83" spans="2:25" x14ac:dyDescent="0.55000000000000004">
      <c r="B83" s="11">
        <v>1</v>
      </c>
      <c r="C83" s="11">
        <v>10</v>
      </c>
      <c r="D83" s="12">
        <f t="shared" si="20"/>
        <v>341526.56103333336</v>
      </c>
      <c r="E83" s="11" t="str">
        <f t="shared" si="21"/>
        <v>14/15</v>
      </c>
      <c r="F83" s="11" t="str">
        <f t="shared" si="22"/>
        <v>Jul</v>
      </c>
      <c r="G83" s="11" t="str">
        <f t="shared" si="23"/>
        <v>Jul'14/15</v>
      </c>
      <c r="M83" s="6" t="s">
        <v>22</v>
      </c>
      <c r="N83" s="5">
        <f t="shared" si="35"/>
        <v>374367.72562500014</v>
      </c>
      <c r="O83" s="5">
        <f t="shared" si="24"/>
        <v>783071.11535000009</v>
      </c>
      <c r="P83" s="5">
        <f t="shared" si="25"/>
        <v>1130035.3206833336</v>
      </c>
      <c r="Q83" s="5">
        <f t="shared" si="26"/>
        <v>1363759.9639333335</v>
      </c>
      <c r="R83" s="5">
        <f t="shared" si="27"/>
        <v>1654932.2209966667</v>
      </c>
      <c r="S83" s="5">
        <f t="shared" si="28"/>
        <v>2130420.188815</v>
      </c>
      <c r="T83" s="5">
        <f t="shared" si="29"/>
        <v>2582280.6584983333</v>
      </c>
      <c r="U83" s="5">
        <f t="shared" si="30"/>
        <v>3088803.6362149999</v>
      </c>
      <c r="V83" s="5">
        <f t="shared" si="31"/>
        <v>3670695.1767149996</v>
      </c>
      <c r="W83" s="5">
        <f t="shared" si="32"/>
        <v>4277283.1377483327</v>
      </c>
      <c r="X83" s="5">
        <f t="shared" si="33"/>
        <v>4732760.5820816662</v>
      </c>
      <c r="Y83" s="5">
        <f t="shared" si="34"/>
        <v>5077840.815748333</v>
      </c>
    </row>
    <row r="84" spans="2:25" x14ac:dyDescent="0.55000000000000004">
      <c r="B84" s="11">
        <v>1</v>
      </c>
      <c r="C84" s="11">
        <v>11</v>
      </c>
      <c r="D84" s="12">
        <f t="shared" si="20"/>
        <v>282757.94245000003</v>
      </c>
      <c r="E84" s="11" t="str">
        <f t="shared" si="21"/>
        <v>14/15</v>
      </c>
      <c r="F84" s="11" t="str">
        <f t="shared" si="22"/>
        <v>Aug</v>
      </c>
      <c r="G84" s="11" t="str">
        <f t="shared" si="23"/>
        <v>Aug'14/15</v>
      </c>
      <c r="H84" s="11" t="s">
        <v>34</v>
      </c>
      <c r="I84" s="11" t="s">
        <v>44</v>
      </c>
      <c r="M84" s="6" t="s">
        <v>23</v>
      </c>
      <c r="N84" s="5">
        <f t="shared" si="35"/>
        <v>352960.74426666682</v>
      </c>
      <c r="O84" s="5">
        <f t="shared" si="24"/>
        <v>666875.44610000018</v>
      </c>
      <c r="P84" s="5">
        <f t="shared" si="25"/>
        <v>855358.29730833345</v>
      </c>
      <c r="Q84" s="5">
        <f t="shared" si="26"/>
        <v>988349.71675500018</v>
      </c>
      <c r="R84" s="5">
        <f t="shared" si="27"/>
        <v>1243048.3396966669</v>
      </c>
      <c r="S84" s="5">
        <f t="shared" si="28"/>
        <v>1597446.0400133335</v>
      </c>
      <c r="T84" s="5">
        <f t="shared" si="29"/>
        <v>1937596.4846800002</v>
      </c>
      <c r="U84" s="5">
        <f t="shared" si="30"/>
        <v>2380549.6370133334</v>
      </c>
      <c r="V84" s="5">
        <f t="shared" si="31"/>
        <v>2914336.4060550001</v>
      </c>
      <c r="W84" s="5">
        <f t="shared" si="32"/>
        <v>3380813.5789716667</v>
      </c>
      <c r="X84" s="5">
        <f t="shared" si="33"/>
        <v>3802182.1077216668</v>
      </c>
      <c r="Y84" s="5">
        <f t="shared" si="34"/>
        <v>4113518.8476050003</v>
      </c>
    </row>
    <row r="85" spans="2:25" x14ac:dyDescent="0.55000000000000004">
      <c r="B85" s="11">
        <v>1</v>
      </c>
      <c r="C85" s="11">
        <v>12</v>
      </c>
      <c r="D85" s="12">
        <f t="shared" si="20"/>
        <v>252556.35666666675</v>
      </c>
      <c r="E85" s="11" t="str">
        <f t="shared" si="21"/>
        <v>14/15</v>
      </c>
      <c r="F85" s="11" t="str">
        <f t="shared" si="22"/>
        <v>Sep</v>
      </c>
      <c r="G85" s="11" t="str">
        <f t="shared" si="23"/>
        <v>Sep'14/15</v>
      </c>
      <c r="H85" s="11" t="str">
        <f>G85</f>
        <v>Sep'14/15</v>
      </c>
      <c r="I85" s="11">
        <f>SUM(D74:D85)/1000000</f>
        <v>3.5205137323883333</v>
      </c>
      <c r="M85" s="6" t="s">
        <v>24</v>
      </c>
      <c r="N85" s="5">
        <f t="shared" si="35"/>
        <v>360453.73706666677</v>
      </c>
      <c r="O85" s="5">
        <f t="shared" si="24"/>
        <v>662852.44923333335</v>
      </c>
      <c r="P85" s="5">
        <f t="shared" si="25"/>
        <v>915142.87993333337</v>
      </c>
      <c r="Q85" s="5">
        <f t="shared" si="26"/>
        <v>1130146.5234333335</v>
      </c>
      <c r="R85" s="5">
        <f t="shared" si="27"/>
        <v>1451887.3916833336</v>
      </c>
      <c r="S85" s="5">
        <f t="shared" si="28"/>
        <v>1850181.0158500003</v>
      </c>
      <c r="T85" s="5">
        <f t="shared" si="29"/>
        <v>2450535.6334750005</v>
      </c>
      <c r="U85" s="5">
        <f t="shared" si="30"/>
        <v>3175843.3599000005</v>
      </c>
      <c r="V85" s="5">
        <f t="shared" si="31"/>
        <v>3933350.046566667</v>
      </c>
      <c r="W85" s="5">
        <f t="shared" si="32"/>
        <v>4695108.6099500004</v>
      </c>
      <c r="X85" s="5">
        <f t="shared" si="33"/>
        <v>5335926.5745750004</v>
      </c>
      <c r="Y85" s="5">
        <f t="shared" si="34"/>
        <v>5912672.8603250002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20"/>
        <v>275210.12416666676</v>
      </c>
      <c r="E86" s="11" t="str">
        <f t="shared" si="21"/>
        <v>15/16</v>
      </c>
      <c r="F86" s="11" t="str">
        <f t="shared" si="22"/>
        <v>Oct</v>
      </c>
      <c r="G86" s="11" t="str">
        <f t="shared" si="23"/>
        <v>Oct'15/16</v>
      </c>
      <c r="H86" s="11" t="str">
        <f t="shared" ref="H86:H149" si="36">G86</f>
        <v>Oct'15/16</v>
      </c>
      <c r="I86" s="11">
        <f t="shared" ref="I86:I149" si="37">SUM(D75:D86)/1000000</f>
        <v>3.5328981290550008</v>
      </c>
      <c r="M86" s="6" t="s">
        <v>25</v>
      </c>
      <c r="N86" s="5">
        <f t="shared" si="35"/>
        <v>615643.94782500004</v>
      </c>
      <c r="O86" s="5">
        <f t="shared" si="24"/>
        <v>1127629.1282250001</v>
      </c>
      <c r="P86" s="5">
        <f t="shared" si="25"/>
        <v>1624168.0225583336</v>
      </c>
      <c r="Q86" s="5">
        <f t="shared" si="26"/>
        <v>1969335.6678833338</v>
      </c>
      <c r="R86" s="5">
        <f t="shared" si="27"/>
        <v>2432311.3395500006</v>
      </c>
      <c r="S86" s="5">
        <f t="shared" si="28"/>
        <v>3142427.3395500006</v>
      </c>
      <c r="T86" s="5">
        <f t="shared" si="29"/>
        <v>3961044.0062166676</v>
      </c>
      <c r="U86" s="5">
        <f t="shared" si="30"/>
        <v>4943760.6728833346</v>
      </c>
      <c r="V86" s="5">
        <f t="shared" si="31"/>
        <v>5774977.3395500015</v>
      </c>
      <c r="W86" s="5">
        <f t="shared" si="32"/>
        <v>6590027.3395500015</v>
      </c>
      <c r="X86" s="5">
        <f t="shared" si="33"/>
        <v>7184410.6728833346</v>
      </c>
      <c r="Y86" s="5">
        <f t="shared" si="34"/>
        <v>7622527.3395500015</v>
      </c>
    </row>
    <row r="87" spans="2:25" x14ac:dyDescent="0.55000000000000004">
      <c r="B87" s="11">
        <f t="shared" ref="B87:B150" si="38">B75+1</f>
        <v>2</v>
      </c>
      <c r="C87" s="11">
        <f t="shared" ref="C87:C150" si="39">C75</f>
        <v>2</v>
      </c>
      <c r="D87" s="12">
        <f t="shared" si="20"/>
        <v>249314.15316666671</v>
      </c>
      <c r="E87" s="11" t="str">
        <f t="shared" si="21"/>
        <v>15/16</v>
      </c>
      <c r="F87" s="11" t="str">
        <f t="shared" si="22"/>
        <v>Nov</v>
      </c>
      <c r="G87" s="11" t="str">
        <f t="shared" si="23"/>
        <v>Nov'15/16</v>
      </c>
      <c r="H87" s="11" t="str">
        <f t="shared" si="36"/>
        <v>Nov'15/16</v>
      </c>
      <c r="I87" s="11">
        <f t="shared" si="37"/>
        <v>3.6002929122216671</v>
      </c>
      <c r="M87" s="6" t="s">
        <v>26</v>
      </c>
      <c r="N87" s="5">
        <f t="shared" si="35"/>
        <v>622033.33333333337</v>
      </c>
      <c r="O87" s="5">
        <f t="shared" si="24"/>
        <v>1085200</v>
      </c>
      <c r="P87" s="5">
        <f t="shared" si="25"/>
        <v>1521316.6666666667</v>
      </c>
      <c r="Q87" s="5">
        <f t="shared" si="26"/>
        <v>1808433.3333333335</v>
      </c>
      <c r="R87" s="5">
        <f t="shared" si="27"/>
        <v>2134316.666666667</v>
      </c>
      <c r="S87" s="5">
        <f t="shared" si="28"/>
        <v>2577016.666666667</v>
      </c>
      <c r="T87" s="5">
        <f t="shared" si="29"/>
        <v>3279650.0000000005</v>
      </c>
      <c r="U87" s="5">
        <f t="shared" si="30"/>
        <v>3973800.0000000005</v>
      </c>
      <c r="V87" s="5" t="e">
        <f t="shared" si="31"/>
        <v>#N/A</v>
      </c>
      <c r="W87" s="5" t="e">
        <f t="shared" si="32"/>
        <v>#N/A</v>
      </c>
      <c r="X87" s="5" t="e">
        <f t="shared" si="33"/>
        <v>#N/A</v>
      </c>
      <c r="Y87" s="5" t="e">
        <f t="shared" si="34"/>
        <v>#N/A</v>
      </c>
    </row>
    <row r="88" spans="2:25" x14ac:dyDescent="0.55000000000000004">
      <c r="B88" s="11">
        <f t="shared" si="38"/>
        <v>2</v>
      </c>
      <c r="C88" s="11">
        <f t="shared" si="39"/>
        <v>3</v>
      </c>
      <c r="D88" s="12">
        <f t="shared" si="20"/>
        <v>217533.41380833334</v>
      </c>
      <c r="E88" s="11" t="str">
        <f t="shared" si="21"/>
        <v>15/16</v>
      </c>
      <c r="F88" s="11" t="str">
        <f t="shared" si="22"/>
        <v>Dec</v>
      </c>
      <c r="G88" s="11" t="str">
        <f t="shared" si="23"/>
        <v>Dec'15/16</v>
      </c>
      <c r="H88" s="11" t="str">
        <f t="shared" si="36"/>
        <v>Dec'15/16</v>
      </c>
      <c r="I88" s="11">
        <f t="shared" si="37"/>
        <v>3.4725423326966665</v>
      </c>
      <c r="M88" s="6" t="s">
        <v>27</v>
      </c>
      <c r="N88" s="5" t="e">
        <f t="shared" si="35"/>
        <v>#N/A</v>
      </c>
      <c r="O88" s="5" t="e">
        <f t="shared" si="24"/>
        <v>#N/A</v>
      </c>
      <c r="P88" s="5" t="e">
        <f t="shared" si="25"/>
        <v>#N/A</v>
      </c>
      <c r="Q88" s="5" t="e">
        <f t="shared" si="26"/>
        <v>#N/A</v>
      </c>
      <c r="R88" s="5" t="e">
        <f t="shared" si="27"/>
        <v>#N/A</v>
      </c>
      <c r="S88" s="5" t="e">
        <f t="shared" si="28"/>
        <v>#N/A</v>
      </c>
      <c r="T88" s="5" t="e">
        <f t="shared" si="29"/>
        <v>#N/A</v>
      </c>
      <c r="U88" s="5" t="e">
        <f t="shared" si="30"/>
        <v>#N/A</v>
      </c>
      <c r="V88" s="5" t="e">
        <f t="shared" si="31"/>
        <v>#N/A</v>
      </c>
      <c r="W88" s="5" t="e">
        <f t="shared" si="32"/>
        <v>#N/A</v>
      </c>
      <c r="X88" s="5" t="e">
        <f t="shared" si="33"/>
        <v>#N/A</v>
      </c>
      <c r="Y88" s="5" t="e">
        <f t="shared" si="34"/>
        <v>#N/A</v>
      </c>
    </row>
    <row r="89" spans="2:25" x14ac:dyDescent="0.55000000000000004">
      <c r="B89" s="11">
        <f t="shared" si="38"/>
        <v>2</v>
      </c>
      <c r="C89" s="11">
        <f t="shared" si="39"/>
        <v>4</v>
      </c>
      <c r="D89" s="12">
        <f t="shared" si="20"/>
        <v>172684.52833333332</v>
      </c>
      <c r="E89" s="11" t="str">
        <f t="shared" si="21"/>
        <v>15/16</v>
      </c>
      <c r="F89" s="11" t="str">
        <f t="shared" si="22"/>
        <v>Jan</v>
      </c>
      <c r="G89" s="11" t="str">
        <f t="shared" si="23"/>
        <v>Jan'15/16</v>
      </c>
      <c r="H89" s="11" t="str">
        <f t="shared" si="36"/>
        <v>Jan'15/16</v>
      </c>
      <c r="I89" s="11">
        <f t="shared" si="37"/>
        <v>3.5554571386966671</v>
      </c>
    </row>
    <row r="90" spans="2:25" x14ac:dyDescent="0.55000000000000004">
      <c r="B90" s="11">
        <f t="shared" si="38"/>
        <v>2</v>
      </c>
      <c r="C90" s="11">
        <f t="shared" si="39"/>
        <v>5</v>
      </c>
      <c r="D90" s="12">
        <f t="shared" si="20"/>
        <v>240670.77566666671</v>
      </c>
      <c r="E90" s="11" t="str">
        <f t="shared" si="21"/>
        <v>15/16</v>
      </c>
      <c r="F90" s="11" t="str">
        <f t="shared" si="22"/>
        <v>Feb</v>
      </c>
      <c r="G90" s="11" t="str">
        <f t="shared" si="23"/>
        <v>Feb'15/16</v>
      </c>
      <c r="H90" s="11" t="str">
        <f t="shared" si="36"/>
        <v>Feb'15/16</v>
      </c>
      <c r="I90" s="11">
        <f t="shared" si="37"/>
        <v>3.5922045260300002</v>
      </c>
    </row>
    <row r="91" spans="2:25" x14ac:dyDescent="0.55000000000000004">
      <c r="B91" s="11">
        <f t="shared" si="38"/>
        <v>2</v>
      </c>
      <c r="C91" s="11">
        <f t="shared" si="39"/>
        <v>6</v>
      </c>
      <c r="D91" s="12">
        <f t="shared" si="20"/>
        <v>308738.80100000009</v>
      </c>
      <c r="E91" s="11" t="str">
        <f t="shared" si="21"/>
        <v>15/16</v>
      </c>
      <c r="F91" s="11" t="str">
        <f t="shared" si="22"/>
        <v>Mar</v>
      </c>
      <c r="G91" s="11" t="str">
        <f t="shared" si="23"/>
        <v>Mar'15/16</v>
      </c>
      <c r="H91" s="11" t="str">
        <f t="shared" si="36"/>
        <v>Mar'15/16</v>
      </c>
      <c r="I91" s="11">
        <f t="shared" si="37"/>
        <v>3.5951678861966672</v>
      </c>
    </row>
    <row r="92" spans="2:25" x14ac:dyDescent="0.55000000000000004">
      <c r="B92" s="11">
        <f t="shared" si="38"/>
        <v>2</v>
      </c>
      <c r="C92" s="11">
        <f t="shared" si="39"/>
        <v>7</v>
      </c>
      <c r="D92" s="12">
        <f t="shared" si="20"/>
        <v>309486.36775000009</v>
      </c>
      <c r="E92" s="11" t="str">
        <f t="shared" si="21"/>
        <v>15/16</v>
      </c>
      <c r="F92" s="11" t="str">
        <f t="shared" si="22"/>
        <v>Apr</v>
      </c>
      <c r="G92" s="11" t="str">
        <f t="shared" si="23"/>
        <v>Apr'15/16</v>
      </c>
      <c r="H92" s="11" t="str">
        <f t="shared" si="36"/>
        <v>Apr'15/16</v>
      </c>
      <c r="I92" s="11">
        <f t="shared" si="37"/>
        <v>3.5119736424466668</v>
      </c>
    </row>
    <row r="93" spans="2:25" x14ac:dyDescent="0.55000000000000004">
      <c r="B93" s="11">
        <f t="shared" si="38"/>
        <v>2</v>
      </c>
      <c r="C93" s="11">
        <f t="shared" si="39"/>
        <v>8</v>
      </c>
      <c r="D93" s="12">
        <f t="shared" si="20"/>
        <v>410365.65208333335</v>
      </c>
      <c r="E93" s="11" t="str">
        <f t="shared" si="21"/>
        <v>15/16</v>
      </c>
      <c r="F93" s="11" t="str">
        <f t="shared" si="22"/>
        <v>May</v>
      </c>
      <c r="G93" s="11" t="str">
        <f t="shared" si="23"/>
        <v>May'15/16</v>
      </c>
      <c r="H93" s="11" t="str">
        <f t="shared" si="36"/>
        <v>May'15/16</v>
      </c>
      <c r="I93" s="11">
        <f t="shared" si="37"/>
        <v>3.53916571303</v>
      </c>
    </row>
    <row r="94" spans="2:25" x14ac:dyDescent="0.55000000000000004">
      <c r="B94" s="11">
        <f t="shared" si="38"/>
        <v>2</v>
      </c>
      <c r="C94" s="11">
        <f t="shared" si="39"/>
        <v>9</v>
      </c>
      <c r="D94" s="12">
        <f t="shared" si="20"/>
        <v>443128.38533333334</v>
      </c>
      <c r="E94" s="11" t="str">
        <f t="shared" si="21"/>
        <v>15/16</v>
      </c>
      <c r="F94" s="11" t="str">
        <f t="shared" si="22"/>
        <v>Jun</v>
      </c>
      <c r="G94" s="11" t="str">
        <f t="shared" si="23"/>
        <v>Jun'15/16</v>
      </c>
      <c r="H94" s="11" t="str">
        <f t="shared" si="36"/>
        <v>Jun'15/16</v>
      </c>
      <c r="I94" s="11">
        <f t="shared" si="37"/>
        <v>3.5039730614583333</v>
      </c>
    </row>
    <row r="95" spans="2:25" x14ac:dyDescent="0.55000000000000004">
      <c r="B95" s="11">
        <f t="shared" si="38"/>
        <v>2</v>
      </c>
      <c r="C95" s="11">
        <f t="shared" si="39"/>
        <v>10</v>
      </c>
      <c r="D95" s="12">
        <f t="shared" si="20"/>
        <v>319078.05713333341</v>
      </c>
      <c r="E95" s="11" t="str">
        <f t="shared" si="21"/>
        <v>15/16</v>
      </c>
      <c r="F95" s="11" t="str">
        <f t="shared" si="22"/>
        <v>Jul</v>
      </c>
      <c r="G95" s="11" t="str">
        <f t="shared" si="23"/>
        <v>Jul'15/16</v>
      </c>
      <c r="H95" s="11" t="str">
        <f t="shared" si="36"/>
        <v>Jul'15/16</v>
      </c>
      <c r="I95" s="11">
        <f t="shared" si="37"/>
        <v>3.481524557558334</v>
      </c>
    </row>
    <row r="96" spans="2:25" x14ac:dyDescent="0.55000000000000004">
      <c r="B96" s="11">
        <f t="shared" si="38"/>
        <v>2</v>
      </c>
      <c r="C96" s="11">
        <f t="shared" si="39"/>
        <v>11</v>
      </c>
      <c r="D96" s="12">
        <f t="shared" si="20"/>
        <v>298904.78858333337</v>
      </c>
      <c r="E96" s="11" t="str">
        <f t="shared" si="21"/>
        <v>15/16</v>
      </c>
      <c r="F96" s="11" t="str">
        <f t="shared" si="22"/>
        <v>Aug</v>
      </c>
      <c r="G96" s="11" t="str">
        <f t="shared" si="23"/>
        <v>Aug'15/16</v>
      </c>
      <c r="H96" s="11" t="str">
        <f t="shared" si="36"/>
        <v>Aug'15/16</v>
      </c>
      <c r="I96" s="11">
        <f t="shared" si="37"/>
        <v>3.4976714036916672</v>
      </c>
    </row>
    <row r="97" spans="2:9" x14ac:dyDescent="0.55000000000000004">
      <c r="B97" s="11">
        <f t="shared" si="38"/>
        <v>2</v>
      </c>
      <c r="C97" s="11">
        <f t="shared" si="39"/>
        <v>12</v>
      </c>
      <c r="D97" s="12">
        <f t="shared" si="20"/>
        <v>256372.36691666665</v>
      </c>
      <c r="E97" s="11" t="str">
        <f t="shared" si="21"/>
        <v>15/16</v>
      </c>
      <c r="F97" s="11" t="str">
        <f t="shared" si="22"/>
        <v>Sep</v>
      </c>
      <c r="G97" s="11" t="str">
        <f t="shared" si="23"/>
        <v>Sep'15/16</v>
      </c>
      <c r="H97" s="11" t="str">
        <f t="shared" si="36"/>
        <v>Sep'15/16</v>
      </c>
      <c r="I97" s="11">
        <f t="shared" si="37"/>
        <v>3.5014874139416663</v>
      </c>
    </row>
    <row r="98" spans="2:9" x14ac:dyDescent="0.55000000000000004">
      <c r="B98" s="11">
        <f t="shared" si="38"/>
        <v>3</v>
      </c>
      <c r="C98" s="11">
        <f t="shared" si="39"/>
        <v>1</v>
      </c>
      <c r="D98" s="12">
        <f t="shared" si="20"/>
        <v>220080.36833333332</v>
      </c>
      <c r="E98" s="11" t="str">
        <f t="shared" si="21"/>
        <v>16/17</v>
      </c>
      <c r="F98" s="11" t="str">
        <f t="shared" si="22"/>
        <v>Oct</v>
      </c>
      <c r="G98" s="11" t="str">
        <f t="shared" si="23"/>
        <v>Oct'16/17</v>
      </c>
      <c r="H98" s="11" t="str">
        <f t="shared" si="36"/>
        <v>Oct'16/17</v>
      </c>
      <c r="I98" s="11">
        <f t="shared" si="37"/>
        <v>3.4463576581083339</v>
      </c>
    </row>
    <row r="99" spans="2:9" x14ac:dyDescent="0.55000000000000004">
      <c r="B99" s="11">
        <f t="shared" si="38"/>
        <v>3</v>
      </c>
      <c r="C99" s="11">
        <f t="shared" si="39"/>
        <v>2</v>
      </c>
      <c r="D99" s="12">
        <f t="shared" si="20"/>
        <v>236826.76375000001</v>
      </c>
      <c r="E99" s="11" t="str">
        <f t="shared" si="21"/>
        <v>16/17</v>
      </c>
      <c r="F99" s="11" t="str">
        <f t="shared" si="22"/>
        <v>Nov</v>
      </c>
      <c r="G99" s="11" t="str">
        <f t="shared" si="23"/>
        <v>Nov'16/17</v>
      </c>
      <c r="H99" s="11" t="str">
        <f t="shared" si="36"/>
        <v>Nov'16/17</v>
      </c>
      <c r="I99" s="11">
        <f t="shared" si="37"/>
        <v>3.4338702686916664</v>
      </c>
    </row>
    <row r="100" spans="2:9" x14ac:dyDescent="0.55000000000000004">
      <c r="B100" s="11">
        <f t="shared" si="38"/>
        <v>3</v>
      </c>
      <c r="C100" s="11">
        <f t="shared" si="39"/>
        <v>3</v>
      </c>
      <c r="D100" s="12">
        <f t="shared" si="20"/>
        <v>206062.21000000002</v>
      </c>
      <c r="E100" s="11" t="str">
        <f t="shared" si="21"/>
        <v>16/17</v>
      </c>
      <c r="F100" s="11" t="str">
        <f t="shared" si="22"/>
        <v>Dec</v>
      </c>
      <c r="G100" s="11" t="str">
        <f t="shared" si="23"/>
        <v>Dec'16/17</v>
      </c>
      <c r="H100" s="11" t="str">
        <f t="shared" si="36"/>
        <v>Dec'16/17</v>
      </c>
      <c r="I100" s="11">
        <f t="shared" si="37"/>
        <v>3.4223990648833338</v>
      </c>
    </row>
    <row r="101" spans="2:9" x14ac:dyDescent="0.55000000000000004">
      <c r="B101" s="11">
        <f t="shared" si="38"/>
        <v>3</v>
      </c>
      <c r="C101" s="11">
        <f t="shared" si="39"/>
        <v>4</v>
      </c>
      <c r="D101" s="12">
        <f t="shared" si="20"/>
        <v>184018.45666666667</v>
      </c>
      <c r="E101" s="11" t="str">
        <f t="shared" si="21"/>
        <v>16/17</v>
      </c>
      <c r="F101" s="11" t="str">
        <f t="shared" si="22"/>
        <v>Jan</v>
      </c>
      <c r="G101" s="11" t="str">
        <f t="shared" si="23"/>
        <v>Jan'16/17</v>
      </c>
      <c r="H101" s="11" t="str">
        <f t="shared" si="36"/>
        <v>Jan'16/17</v>
      </c>
      <c r="I101" s="11">
        <f t="shared" si="37"/>
        <v>3.4337329932166667</v>
      </c>
    </row>
    <row r="102" spans="2:9" x14ac:dyDescent="0.55000000000000004">
      <c r="B102" s="11">
        <f t="shared" si="38"/>
        <v>3</v>
      </c>
      <c r="C102" s="11">
        <f t="shared" si="39"/>
        <v>5</v>
      </c>
      <c r="D102" s="12">
        <f t="shared" si="20"/>
        <v>243564.15300000002</v>
      </c>
      <c r="E102" s="11" t="str">
        <f t="shared" si="21"/>
        <v>16/17</v>
      </c>
      <c r="F102" s="11" t="str">
        <f t="shared" si="22"/>
        <v>Feb</v>
      </c>
      <c r="G102" s="11" t="str">
        <f t="shared" si="23"/>
        <v>Feb'16/17</v>
      </c>
      <c r="H102" s="11" t="str">
        <f t="shared" si="36"/>
        <v>Feb'16/17</v>
      </c>
      <c r="I102" s="11">
        <f t="shared" si="37"/>
        <v>3.4366263705499995</v>
      </c>
    </row>
    <row r="103" spans="2:9" x14ac:dyDescent="0.55000000000000004">
      <c r="B103" s="11">
        <f t="shared" si="38"/>
        <v>3</v>
      </c>
      <c r="C103" s="11">
        <f t="shared" si="39"/>
        <v>6</v>
      </c>
      <c r="D103" s="12">
        <f t="shared" si="20"/>
        <v>425598.48133333336</v>
      </c>
      <c r="E103" s="11" t="str">
        <f t="shared" si="21"/>
        <v>16/17</v>
      </c>
      <c r="F103" s="11" t="str">
        <f t="shared" si="22"/>
        <v>Mar</v>
      </c>
      <c r="G103" s="11" t="str">
        <f t="shared" si="23"/>
        <v>Mar'16/17</v>
      </c>
      <c r="H103" s="11" t="str">
        <f t="shared" si="36"/>
        <v>Mar'16/17</v>
      </c>
      <c r="I103" s="11">
        <f t="shared" si="37"/>
        <v>3.5534860508833335</v>
      </c>
    </row>
    <row r="104" spans="2:9" x14ac:dyDescent="0.55000000000000004">
      <c r="B104" s="11">
        <f t="shared" si="38"/>
        <v>3</v>
      </c>
      <c r="C104" s="11">
        <f t="shared" si="39"/>
        <v>7</v>
      </c>
      <c r="D104" s="12">
        <f t="shared" si="20"/>
        <v>504733.58333333331</v>
      </c>
      <c r="E104" s="11" t="str">
        <f t="shared" si="21"/>
        <v>16/17</v>
      </c>
      <c r="F104" s="11" t="str">
        <f t="shared" si="22"/>
        <v>Apr</v>
      </c>
      <c r="G104" s="11" t="str">
        <f t="shared" si="23"/>
        <v>Apr'16/17</v>
      </c>
      <c r="H104" s="11" t="str">
        <f t="shared" si="36"/>
        <v>Apr'16/17</v>
      </c>
      <c r="I104" s="11">
        <f t="shared" si="37"/>
        <v>3.748733266466667</v>
      </c>
    </row>
    <row r="105" spans="2:9" x14ac:dyDescent="0.55000000000000004">
      <c r="B105" s="11">
        <f t="shared" si="38"/>
        <v>3</v>
      </c>
      <c r="C105" s="11">
        <f t="shared" si="39"/>
        <v>8</v>
      </c>
      <c r="D105" s="12">
        <f t="shared" si="20"/>
        <v>505595.26020833332</v>
      </c>
      <c r="E105" s="11" t="str">
        <f t="shared" si="21"/>
        <v>16/17</v>
      </c>
      <c r="F105" s="11" t="str">
        <f t="shared" si="22"/>
        <v>May</v>
      </c>
      <c r="G105" s="11" t="str">
        <f t="shared" si="23"/>
        <v>May'16/17</v>
      </c>
      <c r="H105" s="11" t="str">
        <f t="shared" si="36"/>
        <v>May'16/17</v>
      </c>
      <c r="I105" s="11">
        <f t="shared" si="37"/>
        <v>3.8439628745916674</v>
      </c>
    </row>
    <row r="106" spans="2:9" x14ac:dyDescent="0.55000000000000004">
      <c r="B106" s="11">
        <f t="shared" si="38"/>
        <v>3</v>
      </c>
      <c r="C106" s="11">
        <f t="shared" si="39"/>
        <v>9</v>
      </c>
      <c r="D106" s="12">
        <f t="shared" si="20"/>
        <v>554298.59120833338</v>
      </c>
      <c r="E106" s="11" t="str">
        <f t="shared" si="21"/>
        <v>16/17</v>
      </c>
      <c r="F106" s="11" t="str">
        <f t="shared" si="22"/>
        <v>Jun</v>
      </c>
      <c r="G106" s="11" t="str">
        <f t="shared" si="23"/>
        <v>Jun'16/17</v>
      </c>
      <c r="H106" s="11" t="str">
        <f t="shared" si="36"/>
        <v>Jun'16/17</v>
      </c>
      <c r="I106" s="11">
        <f t="shared" si="37"/>
        <v>3.9551330804666671</v>
      </c>
    </row>
    <row r="107" spans="2:9" x14ac:dyDescent="0.55000000000000004">
      <c r="B107" s="11">
        <f t="shared" si="38"/>
        <v>3</v>
      </c>
      <c r="C107" s="11">
        <f t="shared" si="39"/>
        <v>10</v>
      </c>
      <c r="D107" s="12">
        <f t="shared" si="20"/>
        <v>343344.73333333334</v>
      </c>
      <c r="E107" s="11" t="str">
        <f t="shared" si="21"/>
        <v>16/17</v>
      </c>
      <c r="F107" s="11" t="str">
        <f t="shared" si="22"/>
        <v>Jul</v>
      </c>
      <c r="G107" s="11" t="str">
        <f t="shared" si="23"/>
        <v>Jul'16/17</v>
      </c>
      <c r="H107" s="11" t="str">
        <f t="shared" si="36"/>
        <v>Jul'16/17</v>
      </c>
      <c r="I107" s="11">
        <f t="shared" si="37"/>
        <v>3.979399756666667</v>
      </c>
    </row>
    <row r="108" spans="2:9" x14ac:dyDescent="0.55000000000000004">
      <c r="B108" s="11">
        <f t="shared" si="38"/>
        <v>3</v>
      </c>
      <c r="C108" s="11">
        <f t="shared" si="39"/>
        <v>11</v>
      </c>
      <c r="D108" s="12">
        <f t="shared" si="20"/>
        <v>334113.51050000003</v>
      </c>
      <c r="E108" s="11" t="str">
        <f t="shared" si="21"/>
        <v>16/17</v>
      </c>
      <c r="F108" s="11" t="str">
        <f t="shared" si="22"/>
        <v>Aug</v>
      </c>
      <c r="G108" s="11" t="str">
        <f t="shared" si="23"/>
        <v>Aug'16/17</v>
      </c>
      <c r="H108" s="11" t="str">
        <f t="shared" si="36"/>
        <v>Aug'16/17</v>
      </c>
      <c r="I108" s="11">
        <f t="shared" si="37"/>
        <v>4.0146084785833329</v>
      </c>
    </row>
    <row r="109" spans="2:9" x14ac:dyDescent="0.55000000000000004">
      <c r="B109" s="11">
        <f t="shared" si="38"/>
        <v>3</v>
      </c>
      <c r="C109" s="11">
        <f t="shared" si="39"/>
        <v>12</v>
      </c>
      <c r="D109" s="12">
        <f t="shared" si="20"/>
        <v>294207.57158333337</v>
      </c>
      <c r="E109" s="11" t="str">
        <f t="shared" si="21"/>
        <v>16/17</v>
      </c>
      <c r="F109" s="11" t="str">
        <f t="shared" si="22"/>
        <v>Sep</v>
      </c>
      <c r="G109" s="11" t="str">
        <f t="shared" si="23"/>
        <v>Sep'16/17</v>
      </c>
      <c r="H109" s="11" t="str">
        <f t="shared" si="36"/>
        <v>Sep'16/17</v>
      </c>
      <c r="I109" s="11">
        <f t="shared" si="37"/>
        <v>4.0524436832499999</v>
      </c>
    </row>
    <row r="110" spans="2:9" x14ac:dyDescent="0.55000000000000004">
      <c r="B110" s="11">
        <f t="shared" si="38"/>
        <v>4</v>
      </c>
      <c r="C110" s="11">
        <f t="shared" si="39"/>
        <v>1</v>
      </c>
      <c r="D110" s="12">
        <f t="shared" si="20"/>
        <v>303913.66741666669</v>
      </c>
      <c r="E110" s="11" t="str">
        <f t="shared" si="21"/>
        <v>17/18</v>
      </c>
      <c r="F110" s="11" t="str">
        <f t="shared" si="22"/>
        <v>Oct</v>
      </c>
      <c r="G110" s="11" t="str">
        <f t="shared" si="23"/>
        <v>Oct'17/18</v>
      </c>
      <c r="H110" s="11" t="str">
        <f t="shared" si="36"/>
        <v>Oct'17/18</v>
      </c>
      <c r="I110" s="11">
        <f t="shared" si="37"/>
        <v>4.1362769823333334</v>
      </c>
    </row>
    <row r="111" spans="2:9" x14ac:dyDescent="0.55000000000000004">
      <c r="B111" s="11">
        <f t="shared" si="38"/>
        <v>4</v>
      </c>
      <c r="C111" s="11">
        <f t="shared" si="39"/>
        <v>2</v>
      </c>
      <c r="D111" s="12">
        <f t="shared" si="20"/>
        <v>324333.90271333337</v>
      </c>
      <c r="E111" s="11" t="str">
        <f t="shared" si="21"/>
        <v>17/18</v>
      </c>
      <c r="F111" s="11" t="str">
        <f t="shared" si="22"/>
        <v>Nov</v>
      </c>
      <c r="G111" s="11" t="str">
        <f t="shared" si="23"/>
        <v>Nov'17/18</v>
      </c>
      <c r="H111" s="11" t="str">
        <f t="shared" si="36"/>
        <v>Nov'17/18</v>
      </c>
      <c r="I111" s="11">
        <f t="shared" si="37"/>
        <v>4.2237841212966662</v>
      </c>
    </row>
    <row r="112" spans="2:9" x14ac:dyDescent="0.55000000000000004">
      <c r="B112" s="11">
        <f t="shared" si="38"/>
        <v>4</v>
      </c>
      <c r="C112" s="11">
        <f t="shared" si="39"/>
        <v>3</v>
      </c>
      <c r="D112" s="12">
        <f t="shared" si="20"/>
        <v>311326.32665833342</v>
      </c>
      <c r="E112" s="11" t="str">
        <f t="shared" si="21"/>
        <v>17/18</v>
      </c>
      <c r="F112" s="11" t="str">
        <f t="shared" si="22"/>
        <v>Dec</v>
      </c>
      <c r="G112" s="11" t="str">
        <f t="shared" si="23"/>
        <v>Dec'17/18</v>
      </c>
      <c r="H112" s="11" t="str">
        <f t="shared" si="36"/>
        <v>Dec'17/18</v>
      </c>
      <c r="I112" s="11">
        <f t="shared" si="37"/>
        <v>4.3290482379549999</v>
      </c>
    </row>
    <row r="113" spans="2:9" x14ac:dyDescent="0.55000000000000004">
      <c r="B113" s="11">
        <f t="shared" si="38"/>
        <v>4</v>
      </c>
      <c r="C113" s="11">
        <f t="shared" si="39"/>
        <v>4</v>
      </c>
      <c r="D113" s="12">
        <f t="shared" si="20"/>
        <v>202246.61250000002</v>
      </c>
      <c r="E113" s="11" t="str">
        <f t="shared" si="21"/>
        <v>17/18</v>
      </c>
      <c r="F113" s="11" t="str">
        <f t="shared" si="22"/>
        <v>Jan</v>
      </c>
      <c r="G113" s="11" t="str">
        <f t="shared" si="23"/>
        <v>Jan'17/18</v>
      </c>
      <c r="H113" s="11" t="str">
        <f t="shared" si="36"/>
        <v>Jan'17/18</v>
      </c>
      <c r="I113" s="11">
        <f t="shared" si="37"/>
        <v>4.3472763937883334</v>
      </c>
    </row>
    <row r="114" spans="2:9" x14ac:dyDescent="0.55000000000000004">
      <c r="B114" s="11">
        <f t="shared" si="38"/>
        <v>4</v>
      </c>
      <c r="C114" s="11">
        <f t="shared" si="39"/>
        <v>5</v>
      </c>
      <c r="D114" s="12">
        <f t="shared" si="20"/>
        <v>303186.01575833338</v>
      </c>
      <c r="E114" s="11" t="str">
        <f t="shared" si="21"/>
        <v>17/18</v>
      </c>
      <c r="F114" s="11" t="str">
        <f t="shared" si="22"/>
        <v>Feb</v>
      </c>
      <c r="G114" s="11" t="str">
        <f t="shared" si="23"/>
        <v>Feb'17/18</v>
      </c>
      <c r="H114" s="11" t="str">
        <f t="shared" si="36"/>
        <v>Feb'17/18</v>
      </c>
      <c r="I114" s="11">
        <f t="shared" si="37"/>
        <v>4.4068982565466666</v>
      </c>
    </row>
    <row r="115" spans="2:9" x14ac:dyDescent="0.55000000000000004">
      <c r="B115" s="11">
        <f t="shared" si="38"/>
        <v>4</v>
      </c>
      <c r="C115" s="11">
        <f t="shared" si="39"/>
        <v>6</v>
      </c>
      <c r="D115" s="12">
        <f t="shared" si="20"/>
        <v>69743.040208333347</v>
      </c>
      <c r="E115" s="11" t="str">
        <f t="shared" si="21"/>
        <v>17/18</v>
      </c>
      <c r="F115" s="11" t="str">
        <f t="shared" si="22"/>
        <v>Mar</v>
      </c>
      <c r="G115" s="11" t="str">
        <f t="shared" si="23"/>
        <v>Mar'17/18</v>
      </c>
      <c r="H115" s="11" t="str">
        <f t="shared" si="36"/>
        <v>Mar'17/18</v>
      </c>
      <c r="I115" s="11">
        <f t="shared" si="37"/>
        <v>4.0510428154216669</v>
      </c>
    </row>
    <row r="116" spans="2:9" x14ac:dyDescent="0.55000000000000004">
      <c r="B116" s="11">
        <f t="shared" si="38"/>
        <v>4</v>
      </c>
      <c r="C116" s="11">
        <f t="shared" si="39"/>
        <v>7</v>
      </c>
      <c r="D116" s="12">
        <f t="shared" si="20"/>
        <v>455500.49023333337</v>
      </c>
      <c r="E116" s="11" t="str">
        <f t="shared" si="21"/>
        <v>17/18</v>
      </c>
      <c r="F116" s="11" t="str">
        <f t="shared" si="22"/>
        <v>Apr</v>
      </c>
      <c r="G116" s="11" t="str">
        <f t="shared" si="23"/>
        <v>Apr'17/18</v>
      </c>
      <c r="H116" s="11" t="str">
        <f t="shared" si="36"/>
        <v>Apr'17/18</v>
      </c>
      <c r="I116" s="11">
        <f t="shared" si="37"/>
        <v>4.0018097223216671</v>
      </c>
    </row>
    <row r="117" spans="2:9" x14ac:dyDescent="0.55000000000000004">
      <c r="B117" s="11">
        <f t="shared" si="38"/>
        <v>4</v>
      </c>
      <c r="C117" s="11">
        <f t="shared" si="39"/>
        <v>8</v>
      </c>
      <c r="D117" s="12">
        <f t="shared" si="20"/>
        <v>459656.91887500009</v>
      </c>
      <c r="E117" s="11" t="str">
        <f t="shared" si="21"/>
        <v>17/18</v>
      </c>
      <c r="F117" s="11" t="str">
        <f t="shared" si="22"/>
        <v>May</v>
      </c>
      <c r="G117" s="11" t="str">
        <f t="shared" si="23"/>
        <v>May'17/18</v>
      </c>
      <c r="H117" s="11" t="str">
        <f t="shared" si="36"/>
        <v>May'17/18</v>
      </c>
      <c r="I117" s="11">
        <f t="shared" si="37"/>
        <v>3.955871380988333</v>
      </c>
    </row>
    <row r="118" spans="2:9" x14ac:dyDescent="0.55000000000000004">
      <c r="B118" s="11">
        <f t="shared" si="38"/>
        <v>4</v>
      </c>
      <c r="C118" s="11">
        <f t="shared" si="39"/>
        <v>9</v>
      </c>
      <c r="D118" s="12">
        <f t="shared" si="20"/>
        <v>436685.09134166664</v>
      </c>
      <c r="E118" s="11" t="str">
        <f t="shared" si="21"/>
        <v>17/18</v>
      </c>
      <c r="F118" s="11" t="str">
        <f t="shared" si="22"/>
        <v>Jun</v>
      </c>
      <c r="G118" s="11" t="str">
        <f t="shared" si="23"/>
        <v>Jun'17/18</v>
      </c>
      <c r="H118" s="11" t="str">
        <f t="shared" si="36"/>
        <v>Jun'17/18</v>
      </c>
      <c r="I118" s="11">
        <f t="shared" si="37"/>
        <v>3.8382578811216663</v>
      </c>
    </row>
    <row r="119" spans="2:9" x14ac:dyDescent="0.55000000000000004">
      <c r="B119" s="11">
        <f t="shared" si="38"/>
        <v>4</v>
      </c>
      <c r="C119" s="11">
        <f t="shared" si="39"/>
        <v>10</v>
      </c>
      <c r="D119" s="12">
        <f t="shared" si="20"/>
        <v>372197.75655666675</v>
      </c>
      <c r="E119" s="11" t="str">
        <f t="shared" si="21"/>
        <v>17/18</v>
      </c>
      <c r="F119" s="11" t="str">
        <f t="shared" si="22"/>
        <v>Jul</v>
      </c>
      <c r="G119" s="11" t="str">
        <f t="shared" si="23"/>
        <v>Jul'17/18</v>
      </c>
      <c r="H119" s="11" t="str">
        <f t="shared" si="36"/>
        <v>Jul'17/18</v>
      </c>
      <c r="I119" s="11">
        <f t="shared" si="37"/>
        <v>3.8671109043450005</v>
      </c>
    </row>
    <row r="120" spans="2:9" x14ac:dyDescent="0.55000000000000004">
      <c r="B120" s="11">
        <f t="shared" si="38"/>
        <v>4</v>
      </c>
      <c r="C120" s="11">
        <f t="shared" si="39"/>
        <v>11</v>
      </c>
      <c r="D120" s="12">
        <f t="shared" si="20"/>
        <v>387922.59298000002</v>
      </c>
      <c r="E120" s="11" t="str">
        <f t="shared" si="21"/>
        <v>17/18</v>
      </c>
      <c r="F120" s="11" t="str">
        <f t="shared" si="22"/>
        <v>Aug</v>
      </c>
      <c r="G120" s="11" t="str">
        <f t="shared" si="23"/>
        <v>Aug'17/18</v>
      </c>
      <c r="H120" s="11" t="str">
        <f t="shared" si="36"/>
        <v>Aug'17/18</v>
      </c>
      <c r="I120" s="11">
        <f t="shared" si="37"/>
        <v>3.9209199868250009</v>
      </c>
    </row>
    <row r="121" spans="2:9" x14ac:dyDescent="0.55000000000000004">
      <c r="B121" s="11">
        <f t="shared" si="38"/>
        <v>4</v>
      </c>
      <c r="C121" s="11">
        <f t="shared" si="39"/>
        <v>12</v>
      </c>
      <c r="D121" s="12">
        <f t="shared" si="20"/>
        <v>289574.05174999998</v>
      </c>
      <c r="E121" s="11" t="str">
        <f t="shared" si="21"/>
        <v>17/18</v>
      </c>
      <c r="F121" s="11" t="str">
        <f t="shared" si="22"/>
        <v>Sep</v>
      </c>
      <c r="G121" s="11" t="str">
        <f t="shared" si="23"/>
        <v>Sep'17/18</v>
      </c>
      <c r="H121" s="11" t="str">
        <f t="shared" si="36"/>
        <v>Sep'17/18</v>
      </c>
      <c r="I121" s="11">
        <f t="shared" si="37"/>
        <v>3.9162864669916675</v>
      </c>
    </row>
    <row r="122" spans="2:9" x14ac:dyDescent="0.55000000000000004">
      <c r="B122" s="11">
        <f t="shared" si="38"/>
        <v>5</v>
      </c>
      <c r="C122" s="11">
        <f t="shared" si="39"/>
        <v>1</v>
      </c>
      <c r="D122" s="12">
        <f t="shared" si="20"/>
        <v>317967.64272500004</v>
      </c>
      <c r="E122" s="11" t="str">
        <f t="shared" si="21"/>
        <v>18/19</v>
      </c>
      <c r="F122" s="11" t="str">
        <f t="shared" si="22"/>
        <v>Oct</v>
      </c>
      <c r="G122" s="11" t="str">
        <f t="shared" si="23"/>
        <v>Oct'18/19</v>
      </c>
      <c r="H122" s="11" t="str">
        <f t="shared" si="36"/>
        <v>Oct'18/19</v>
      </c>
      <c r="I122" s="11">
        <f t="shared" si="37"/>
        <v>3.9303404423000012</v>
      </c>
    </row>
    <row r="123" spans="2:9" x14ac:dyDescent="0.55000000000000004">
      <c r="B123" s="11">
        <f t="shared" si="38"/>
        <v>5</v>
      </c>
      <c r="C123" s="11">
        <f t="shared" si="39"/>
        <v>2</v>
      </c>
      <c r="D123" s="12">
        <f t="shared" si="20"/>
        <v>288869.13979166665</v>
      </c>
      <c r="E123" s="11" t="str">
        <f t="shared" si="21"/>
        <v>18/19</v>
      </c>
      <c r="F123" s="11" t="str">
        <f t="shared" si="22"/>
        <v>Nov</v>
      </c>
      <c r="G123" s="11" t="str">
        <f t="shared" si="23"/>
        <v>Nov'18/19</v>
      </c>
      <c r="H123" s="11" t="str">
        <f t="shared" si="36"/>
        <v>Nov'18/19</v>
      </c>
      <c r="I123" s="11">
        <f t="shared" si="37"/>
        <v>3.8948756793783343</v>
      </c>
    </row>
    <row r="124" spans="2:9" x14ac:dyDescent="0.55000000000000004">
      <c r="B124" s="11">
        <f t="shared" si="38"/>
        <v>5</v>
      </c>
      <c r="C124" s="11">
        <f t="shared" si="39"/>
        <v>3</v>
      </c>
      <c r="D124" s="12">
        <f t="shared" si="20"/>
        <v>221547.89524999997</v>
      </c>
      <c r="E124" s="11" t="str">
        <f t="shared" si="21"/>
        <v>18/19</v>
      </c>
      <c r="F124" s="11" t="str">
        <f t="shared" si="22"/>
        <v>Dec</v>
      </c>
      <c r="G124" s="11" t="str">
        <f t="shared" si="23"/>
        <v>Dec'18/19</v>
      </c>
      <c r="H124" s="11" t="str">
        <f t="shared" si="36"/>
        <v>Dec'18/19</v>
      </c>
      <c r="I124" s="11">
        <f t="shared" si="37"/>
        <v>3.8050972479700005</v>
      </c>
    </row>
    <row r="125" spans="2:9" x14ac:dyDescent="0.55000000000000004">
      <c r="B125" s="11">
        <f t="shared" si="38"/>
        <v>5</v>
      </c>
      <c r="C125" s="11">
        <f t="shared" si="39"/>
        <v>4</v>
      </c>
      <c r="D125" s="12">
        <f t="shared" si="20"/>
        <v>197245.59793666669</v>
      </c>
      <c r="E125" s="11" t="str">
        <f t="shared" si="21"/>
        <v>18/19</v>
      </c>
      <c r="F125" s="11" t="str">
        <f t="shared" si="22"/>
        <v>Jan</v>
      </c>
      <c r="G125" s="11" t="str">
        <f t="shared" si="23"/>
        <v>Jan'18/19</v>
      </c>
      <c r="H125" s="11" t="str">
        <f t="shared" si="36"/>
        <v>Jan'18/19</v>
      </c>
      <c r="I125" s="11">
        <f t="shared" si="37"/>
        <v>3.8000962334066672</v>
      </c>
    </row>
    <row r="126" spans="2:9" x14ac:dyDescent="0.55000000000000004">
      <c r="B126" s="11">
        <f t="shared" si="38"/>
        <v>5</v>
      </c>
      <c r="C126" s="11">
        <f t="shared" si="39"/>
        <v>5</v>
      </c>
      <c r="D126" s="12">
        <f t="shared" si="20"/>
        <v>246321.36260000002</v>
      </c>
      <c r="E126" s="11" t="str">
        <f t="shared" si="21"/>
        <v>18/19</v>
      </c>
      <c r="F126" s="11" t="str">
        <f t="shared" si="22"/>
        <v>Feb</v>
      </c>
      <c r="G126" s="11" t="str">
        <f t="shared" si="23"/>
        <v>Feb'18/19</v>
      </c>
      <c r="H126" s="11" t="str">
        <f t="shared" si="36"/>
        <v>Feb'18/19</v>
      </c>
      <c r="I126" s="11">
        <f t="shared" si="37"/>
        <v>3.7432315802483336</v>
      </c>
    </row>
    <row r="127" spans="2:9" x14ac:dyDescent="0.55000000000000004">
      <c r="B127" s="11">
        <f t="shared" si="38"/>
        <v>5</v>
      </c>
      <c r="C127" s="11">
        <f t="shared" si="39"/>
        <v>6</v>
      </c>
      <c r="D127" s="12">
        <f t="shared" si="20"/>
        <v>356131.01562499994</v>
      </c>
      <c r="E127" s="11" t="str">
        <f t="shared" si="21"/>
        <v>18/19</v>
      </c>
      <c r="F127" s="11" t="str">
        <f t="shared" si="22"/>
        <v>Mar</v>
      </c>
      <c r="G127" s="11" t="str">
        <f t="shared" si="23"/>
        <v>Mar'18/19</v>
      </c>
      <c r="H127" s="11" t="str">
        <f t="shared" si="36"/>
        <v>Mar'18/19</v>
      </c>
      <c r="I127" s="11">
        <f t="shared" si="37"/>
        <v>4.0296195556650005</v>
      </c>
    </row>
    <row r="128" spans="2:9" x14ac:dyDescent="0.55000000000000004">
      <c r="B128" s="11">
        <f t="shared" si="38"/>
        <v>5</v>
      </c>
      <c r="C128" s="11">
        <f t="shared" si="39"/>
        <v>7</v>
      </c>
      <c r="D128" s="12">
        <f t="shared" si="20"/>
        <v>377594.88133333344</v>
      </c>
      <c r="E128" s="11" t="str">
        <f t="shared" si="21"/>
        <v>18/19</v>
      </c>
      <c r="F128" s="11" t="str">
        <f t="shared" si="22"/>
        <v>Apr</v>
      </c>
      <c r="G128" s="11" t="str">
        <f t="shared" si="23"/>
        <v>Apr'18/19</v>
      </c>
      <c r="H128" s="11" t="str">
        <f t="shared" si="36"/>
        <v>Apr'18/19</v>
      </c>
      <c r="I128" s="11">
        <f t="shared" si="37"/>
        <v>3.9517139467650004</v>
      </c>
    </row>
    <row r="129" spans="2:9" x14ac:dyDescent="0.55000000000000004">
      <c r="B129" s="11">
        <f t="shared" si="38"/>
        <v>5</v>
      </c>
      <c r="C129" s="11">
        <f t="shared" si="39"/>
        <v>8</v>
      </c>
      <c r="D129" s="12">
        <f t="shared" si="20"/>
        <v>535344.50266666675</v>
      </c>
      <c r="E129" s="11" t="str">
        <f t="shared" si="21"/>
        <v>18/19</v>
      </c>
      <c r="F129" s="11" t="str">
        <f t="shared" si="22"/>
        <v>May</v>
      </c>
      <c r="G129" s="11" t="str">
        <f t="shared" si="23"/>
        <v>May'18/19</v>
      </c>
      <c r="H129" s="11" t="str">
        <f t="shared" si="36"/>
        <v>May'18/19</v>
      </c>
      <c r="I129" s="11">
        <f t="shared" si="37"/>
        <v>4.0274015305566664</v>
      </c>
    </row>
    <row r="130" spans="2:9" x14ac:dyDescent="0.55000000000000004">
      <c r="B130" s="11">
        <f t="shared" si="38"/>
        <v>5</v>
      </c>
      <c r="C130" s="11">
        <f t="shared" si="39"/>
        <v>9</v>
      </c>
      <c r="D130" s="12">
        <f t="shared" si="20"/>
        <v>446520.77929166675</v>
      </c>
      <c r="E130" s="11" t="str">
        <f t="shared" si="21"/>
        <v>18/19</v>
      </c>
      <c r="F130" s="11" t="str">
        <f t="shared" si="22"/>
        <v>Jun</v>
      </c>
      <c r="G130" s="11" t="str">
        <f t="shared" si="23"/>
        <v>Jun'18/19</v>
      </c>
      <c r="H130" s="11" t="str">
        <f t="shared" si="36"/>
        <v>Jun'18/19</v>
      </c>
      <c r="I130" s="11">
        <f t="shared" si="37"/>
        <v>4.0372372185066672</v>
      </c>
    </row>
    <row r="131" spans="2:9" x14ac:dyDescent="0.55000000000000004">
      <c r="B131" s="11">
        <f t="shared" si="38"/>
        <v>5</v>
      </c>
      <c r="C131" s="11">
        <f t="shared" si="39"/>
        <v>10</v>
      </c>
      <c r="D131" s="12">
        <f t="shared" si="20"/>
        <v>513133.67570833338</v>
      </c>
      <c r="E131" s="11" t="str">
        <f t="shared" si="21"/>
        <v>18/19</v>
      </c>
      <c r="F131" s="11" t="str">
        <f t="shared" si="22"/>
        <v>Jul</v>
      </c>
      <c r="G131" s="11" t="str">
        <f t="shared" si="23"/>
        <v>Jul'18/19</v>
      </c>
      <c r="H131" s="11" t="str">
        <f t="shared" si="36"/>
        <v>Jul'18/19</v>
      </c>
      <c r="I131" s="11">
        <f t="shared" si="37"/>
        <v>4.1781731376583338</v>
      </c>
    </row>
    <row r="132" spans="2:9" x14ac:dyDescent="0.55000000000000004">
      <c r="B132" s="11">
        <f t="shared" si="38"/>
        <v>5</v>
      </c>
      <c r="C132" s="11">
        <f t="shared" si="39"/>
        <v>11</v>
      </c>
      <c r="D132" s="12">
        <f t="shared" si="20"/>
        <v>491786.12901666661</v>
      </c>
      <c r="E132" s="11" t="str">
        <f t="shared" si="21"/>
        <v>18/19</v>
      </c>
      <c r="F132" s="11" t="str">
        <f t="shared" si="22"/>
        <v>Aug</v>
      </c>
      <c r="G132" s="11" t="str">
        <f t="shared" si="23"/>
        <v>Aug'18/19</v>
      </c>
      <c r="H132" s="11" t="str">
        <f t="shared" si="36"/>
        <v>Aug'18/19</v>
      </c>
      <c r="I132" s="11">
        <f t="shared" si="37"/>
        <v>4.282036673695</v>
      </c>
    </row>
    <row r="133" spans="2:9" x14ac:dyDescent="0.55000000000000004">
      <c r="B133" s="11">
        <f t="shared" si="38"/>
        <v>5</v>
      </c>
      <c r="C133" s="11">
        <f t="shared" si="39"/>
        <v>12</v>
      </c>
      <c r="D133" s="12">
        <f t="shared" si="20"/>
        <v>392564.34583333344</v>
      </c>
      <c r="E133" s="11" t="str">
        <f t="shared" si="21"/>
        <v>18/19</v>
      </c>
      <c r="F133" s="11" t="str">
        <f t="shared" si="22"/>
        <v>Sep</v>
      </c>
      <c r="G133" s="11" t="str">
        <f t="shared" si="23"/>
        <v>Sep'18/19</v>
      </c>
      <c r="H133" s="11" t="str">
        <f t="shared" si="36"/>
        <v>Sep'18/19</v>
      </c>
      <c r="I133" s="11">
        <f t="shared" si="37"/>
        <v>4.3850269677783338</v>
      </c>
    </row>
    <row r="134" spans="2:9" x14ac:dyDescent="0.55000000000000004">
      <c r="B134" s="11">
        <f t="shared" si="38"/>
        <v>6</v>
      </c>
      <c r="C134" s="11">
        <f t="shared" si="39"/>
        <v>1</v>
      </c>
      <c r="D134" s="12">
        <f t="shared" si="20"/>
        <v>384383.8949666667</v>
      </c>
      <c r="E134" s="11" t="str">
        <f t="shared" si="21"/>
        <v>19/20</v>
      </c>
      <c r="F134" s="11" t="str">
        <f t="shared" si="22"/>
        <v>Oct</v>
      </c>
      <c r="G134" s="11" t="str">
        <f t="shared" si="23"/>
        <v>Oct'19/20</v>
      </c>
      <c r="H134" s="11" t="str">
        <f t="shared" si="36"/>
        <v>Oct'19/20</v>
      </c>
      <c r="I134" s="11">
        <f t="shared" si="37"/>
        <v>4.4514432200199998</v>
      </c>
    </row>
    <row r="135" spans="2:9" x14ac:dyDescent="0.55000000000000004">
      <c r="B135" s="11">
        <f t="shared" si="38"/>
        <v>6</v>
      </c>
      <c r="C135" s="11">
        <f t="shared" si="39"/>
        <v>2</v>
      </c>
      <c r="D135" s="12">
        <f t="shared" si="20"/>
        <v>343100.56999999995</v>
      </c>
      <c r="E135" s="11" t="str">
        <f t="shared" si="21"/>
        <v>19/20</v>
      </c>
      <c r="F135" s="11" t="str">
        <f t="shared" si="22"/>
        <v>Nov</v>
      </c>
      <c r="G135" s="11" t="str">
        <f t="shared" si="23"/>
        <v>Nov'19/20</v>
      </c>
      <c r="H135" s="11" t="str">
        <f t="shared" si="36"/>
        <v>Nov'19/20</v>
      </c>
      <c r="I135" s="11">
        <f t="shared" si="37"/>
        <v>4.5056746502283334</v>
      </c>
    </row>
    <row r="136" spans="2:9" x14ac:dyDescent="0.55000000000000004">
      <c r="B136" s="11">
        <f t="shared" si="38"/>
        <v>6</v>
      </c>
      <c r="C136" s="11">
        <f t="shared" si="39"/>
        <v>3</v>
      </c>
      <c r="D136" s="12">
        <f t="shared" si="20"/>
        <v>268278.00291666668</v>
      </c>
      <c r="E136" s="11" t="str">
        <f t="shared" si="21"/>
        <v>19/20</v>
      </c>
      <c r="F136" s="11" t="str">
        <f t="shared" si="22"/>
        <v>Dec</v>
      </c>
      <c r="G136" s="11" t="str">
        <f t="shared" si="23"/>
        <v>Dec'19/20</v>
      </c>
      <c r="H136" s="11" t="str">
        <f t="shared" si="36"/>
        <v>Dec'19/20</v>
      </c>
      <c r="I136" s="11">
        <f t="shared" si="37"/>
        <v>4.5524047578950002</v>
      </c>
    </row>
    <row r="137" spans="2:9" x14ac:dyDescent="0.55000000000000004">
      <c r="B137" s="11">
        <f t="shared" si="38"/>
        <v>6</v>
      </c>
      <c r="C137" s="11">
        <f t="shared" si="39"/>
        <v>4</v>
      </c>
      <c r="D137" s="12">
        <f t="shared" si="20"/>
        <v>265632.78409333335</v>
      </c>
      <c r="E137" s="11" t="str">
        <f t="shared" si="21"/>
        <v>19/20</v>
      </c>
      <c r="F137" s="11" t="str">
        <f t="shared" si="22"/>
        <v>Jan</v>
      </c>
      <c r="G137" s="11" t="str">
        <f t="shared" si="23"/>
        <v>Jan'19/20</v>
      </c>
      <c r="H137" s="11" t="str">
        <f t="shared" si="36"/>
        <v>Jan'19/20</v>
      </c>
      <c r="I137" s="11">
        <f t="shared" si="37"/>
        <v>4.6207919440516658</v>
      </c>
    </row>
    <row r="138" spans="2:9" x14ac:dyDescent="0.55000000000000004">
      <c r="B138" s="11">
        <f t="shared" si="38"/>
        <v>6</v>
      </c>
      <c r="C138" s="11">
        <f t="shared" si="39"/>
        <v>5</v>
      </c>
      <c r="D138" s="12">
        <f t="shared" si="20"/>
        <v>316358.41338333342</v>
      </c>
      <c r="E138" s="11" t="str">
        <f t="shared" si="21"/>
        <v>19/20</v>
      </c>
      <c r="F138" s="11" t="str">
        <f t="shared" si="22"/>
        <v>Feb</v>
      </c>
      <c r="G138" s="11" t="str">
        <f t="shared" si="23"/>
        <v>Feb'19/20</v>
      </c>
      <c r="H138" s="11" t="str">
        <f t="shared" si="36"/>
        <v>Feb'19/20</v>
      </c>
      <c r="I138" s="11">
        <f t="shared" si="37"/>
        <v>4.6908289948349999</v>
      </c>
    </row>
    <row r="139" spans="2:9" x14ac:dyDescent="0.55000000000000004">
      <c r="B139" s="11">
        <f t="shared" si="38"/>
        <v>6</v>
      </c>
      <c r="C139" s="11">
        <f t="shared" si="39"/>
        <v>6</v>
      </c>
      <c r="D139" s="12">
        <f t="shared" ref="D139:D202" si="40">INDEX($C$7:$N$19,MATCH(B139,$A$7:$A$19),MATCH(C139,$C$4:$N$4))</f>
        <v>445262.3977083335</v>
      </c>
      <c r="E139" s="11" t="str">
        <f t="shared" ref="E139:E202" si="41">_xlfn.XLOOKUP(B139,$A$7:$A$19,$B$7:$B$19)</f>
        <v>19/20</v>
      </c>
      <c r="F139" s="11" t="str">
        <f t="shared" ref="F139:F202" si="42">_xlfn.XLOOKUP(C139,$C$4:$N$4,$C$6:$N$6)</f>
        <v>Mar</v>
      </c>
      <c r="G139" s="11" t="str">
        <f t="shared" ref="G139:G202" si="43">_xlfn.CONCAT(F139,"'",E139)</f>
        <v>Mar'19/20</v>
      </c>
      <c r="H139" s="11" t="str">
        <f t="shared" si="36"/>
        <v>Mar'19/20</v>
      </c>
      <c r="I139" s="11">
        <f t="shared" si="37"/>
        <v>4.7799603769183339</v>
      </c>
    </row>
    <row r="140" spans="2:9" x14ac:dyDescent="0.55000000000000004">
      <c r="B140" s="11">
        <f t="shared" si="38"/>
        <v>6</v>
      </c>
      <c r="C140" s="11">
        <f t="shared" si="39"/>
        <v>7</v>
      </c>
      <c r="D140" s="12">
        <f t="shared" si="40"/>
        <v>445704.0373333334</v>
      </c>
      <c r="E140" s="11" t="str">
        <f t="shared" si="41"/>
        <v>19/20</v>
      </c>
      <c r="F140" s="11" t="str">
        <f t="shared" si="42"/>
        <v>Apr</v>
      </c>
      <c r="G140" s="11" t="str">
        <f t="shared" si="43"/>
        <v>Apr'19/20</v>
      </c>
      <c r="H140" s="11" t="str">
        <f t="shared" si="36"/>
        <v>Apr'19/20</v>
      </c>
      <c r="I140" s="11">
        <f t="shared" si="37"/>
        <v>4.8480695329183341</v>
      </c>
    </row>
    <row r="141" spans="2:9" x14ac:dyDescent="0.55000000000000004">
      <c r="B141" s="11">
        <f t="shared" si="38"/>
        <v>6</v>
      </c>
      <c r="C141" s="11">
        <f t="shared" si="39"/>
        <v>8</v>
      </c>
      <c r="D141" s="12">
        <f t="shared" si="40"/>
        <v>448553.27683333331</v>
      </c>
      <c r="E141" s="11" t="str">
        <f t="shared" si="41"/>
        <v>19/20</v>
      </c>
      <c r="F141" s="11" t="str">
        <f t="shared" si="42"/>
        <v>May</v>
      </c>
      <c r="G141" s="11" t="str">
        <f t="shared" si="43"/>
        <v>May'19/20</v>
      </c>
      <c r="H141" s="11" t="str">
        <f t="shared" si="36"/>
        <v>May'19/20</v>
      </c>
      <c r="I141" s="11">
        <f t="shared" si="37"/>
        <v>4.761278307085</v>
      </c>
    </row>
    <row r="142" spans="2:9" x14ac:dyDescent="0.55000000000000004">
      <c r="B142" s="11">
        <f t="shared" si="38"/>
        <v>6</v>
      </c>
      <c r="C142" s="11">
        <f t="shared" si="39"/>
        <v>9</v>
      </c>
      <c r="D142" s="12">
        <f t="shared" si="40"/>
        <v>487813.41716666677</v>
      </c>
      <c r="E142" s="11" t="str">
        <f t="shared" si="41"/>
        <v>19/20</v>
      </c>
      <c r="F142" s="11" t="str">
        <f t="shared" si="42"/>
        <v>Jun</v>
      </c>
      <c r="G142" s="11" t="str">
        <f t="shared" si="43"/>
        <v>Jun'19/20</v>
      </c>
      <c r="H142" s="11" t="str">
        <f t="shared" si="36"/>
        <v>Jun'19/20</v>
      </c>
      <c r="I142" s="11">
        <f t="shared" si="37"/>
        <v>4.8025709449600011</v>
      </c>
    </row>
    <row r="143" spans="2:9" x14ac:dyDescent="0.55000000000000004">
      <c r="B143" s="11">
        <f t="shared" si="38"/>
        <v>6</v>
      </c>
      <c r="C143" s="11">
        <f t="shared" si="39"/>
        <v>10</v>
      </c>
      <c r="D143" s="12">
        <f t="shared" si="40"/>
        <v>365417.00422500004</v>
      </c>
      <c r="E143" s="11" t="str">
        <f t="shared" si="41"/>
        <v>19/20</v>
      </c>
      <c r="F143" s="11" t="str">
        <f t="shared" si="42"/>
        <v>Jul</v>
      </c>
      <c r="G143" s="11" t="str">
        <f t="shared" si="43"/>
        <v>Jul'19/20</v>
      </c>
      <c r="H143" s="11" t="str">
        <f t="shared" si="36"/>
        <v>Jul'19/20</v>
      </c>
      <c r="I143" s="11">
        <f t="shared" si="37"/>
        <v>4.6548542734766674</v>
      </c>
    </row>
    <row r="144" spans="2:9" x14ac:dyDescent="0.55000000000000004">
      <c r="B144" s="11">
        <f t="shared" si="38"/>
        <v>6</v>
      </c>
      <c r="C144" s="11">
        <f t="shared" si="39"/>
        <v>11</v>
      </c>
      <c r="D144" s="12">
        <f t="shared" si="40"/>
        <v>296168.21774166665</v>
      </c>
      <c r="E144" s="11" t="str">
        <f t="shared" si="41"/>
        <v>19/20</v>
      </c>
      <c r="F144" s="11" t="str">
        <f t="shared" si="42"/>
        <v>Aug</v>
      </c>
      <c r="G144" s="11" t="str">
        <f t="shared" si="43"/>
        <v>Aug'19/20</v>
      </c>
      <c r="H144" s="11" t="str">
        <f t="shared" si="36"/>
        <v>Aug'19/20</v>
      </c>
      <c r="I144" s="11">
        <f t="shared" si="37"/>
        <v>4.4592363622016675</v>
      </c>
    </row>
    <row r="145" spans="2:9" x14ac:dyDescent="0.55000000000000004">
      <c r="B145" s="11">
        <f t="shared" si="38"/>
        <v>6</v>
      </c>
      <c r="C145" s="11">
        <f t="shared" si="39"/>
        <v>12</v>
      </c>
      <c r="D145" s="12">
        <f t="shared" si="40"/>
        <v>275233.95433333341</v>
      </c>
      <c r="E145" s="11" t="str">
        <f t="shared" si="41"/>
        <v>19/20</v>
      </c>
      <c r="F145" s="11" t="str">
        <f t="shared" si="42"/>
        <v>Sep</v>
      </c>
      <c r="G145" s="11" t="str">
        <f t="shared" si="43"/>
        <v>Sep'19/20</v>
      </c>
      <c r="H145" s="11" t="str">
        <f t="shared" si="36"/>
        <v>Sep'19/20</v>
      </c>
      <c r="I145" s="11">
        <f t="shared" si="37"/>
        <v>4.3419059707016672</v>
      </c>
    </row>
    <row r="146" spans="2:9" x14ac:dyDescent="0.55000000000000004">
      <c r="B146" s="11">
        <f t="shared" si="38"/>
        <v>7</v>
      </c>
      <c r="C146" s="11">
        <f t="shared" si="39"/>
        <v>1</v>
      </c>
      <c r="D146" s="12">
        <f t="shared" si="40"/>
        <v>260519.19343333336</v>
      </c>
      <c r="E146" s="11" t="str">
        <f t="shared" si="41"/>
        <v>20/21</v>
      </c>
      <c r="F146" s="11" t="str">
        <f t="shared" si="42"/>
        <v>Oct</v>
      </c>
      <c r="G146" s="11" t="str">
        <f t="shared" si="43"/>
        <v>Oct'20/21</v>
      </c>
      <c r="H146" s="11" t="str">
        <f t="shared" si="36"/>
        <v>Oct'20/21</v>
      </c>
      <c r="I146" s="11">
        <f t="shared" si="37"/>
        <v>4.2180412691683342</v>
      </c>
    </row>
    <row r="147" spans="2:9" x14ac:dyDescent="0.55000000000000004">
      <c r="B147" s="11">
        <f t="shared" si="38"/>
        <v>7</v>
      </c>
      <c r="C147" s="11">
        <f t="shared" si="39"/>
        <v>2</v>
      </c>
      <c r="D147" s="12">
        <f t="shared" si="40"/>
        <v>240579.56199999998</v>
      </c>
      <c r="E147" s="11" t="str">
        <f t="shared" si="41"/>
        <v>20/21</v>
      </c>
      <c r="F147" s="11" t="str">
        <f t="shared" si="42"/>
        <v>Nov</v>
      </c>
      <c r="G147" s="11" t="str">
        <f t="shared" si="43"/>
        <v>Nov'20/21</v>
      </c>
      <c r="H147" s="11" t="str">
        <f t="shared" si="36"/>
        <v>Nov'20/21</v>
      </c>
      <c r="I147" s="11">
        <f t="shared" si="37"/>
        <v>4.1155202611683341</v>
      </c>
    </row>
    <row r="148" spans="2:9" x14ac:dyDescent="0.55000000000000004">
      <c r="B148" s="11">
        <f t="shared" si="38"/>
        <v>7</v>
      </c>
      <c r="C148" s="11">
        <f t="shared" si="39"/>
        <v>3</v>
      </c>
      <c r="D148" s="12">
        <f t="shared" si="40"/>
        <v>215648.73162500001</v>
      </c>
      <c r="E148" s="11" t="str">
        <f t="shared" si="41"/>
        <v>20/21</v>
      </c>
      <c r="F148" s="11" t="str">
        <f t="shared" si="42"/>
        <v>Dec</v>
      </c>
      <c r="G148" s="11" t="str">
        <f t="shared" si="43"/>
        <v>Dec'20/21</v>
      </c>
      <c r="H148" s="11" t="str">
        <f t="shared" si="36"/>
        <v>Dec'20/21</v>
      </c>
      <c r="I148" s="11">
        <f t="shared" si="37"/>
        <v>4.0628909898766663</v>
      </c>
    </row>
    <row r="149" spans="2:9" x14ac:dyDescent="0.55000000000000004">
      <c r="B149" s="11">
        <f t="shared" si="38"/>
        <v>7</v>
      </c>
      <c r="C149" s="11">
        <f t="shared" si="39"/>
        <v>4</v>
      </c>
      <c r="D149" s="12">
        <f t="shared" si="40"/>
        <v>185235.87615833333</v>
      </c>
      <c r="E149" s="11" t="str">
        <f t="shared" si="41"/>
        <v>20/21</v>
      </c>
      <c r="F149" s="11" t="str">
        <f t="shared" si="42"/>
        <v>Jan</v>
      </c>
      <c r="G149" s="11" t="str">
        <f t="shared" si="43"/>
        <v>Jan'20/21</v>
      </c>
      <c r="H149" s="11" t="str">
        <f t="shared" si="36"/>
        <v>Jan'20/21</v>
      </c>
      <c r="I149" s="11">
        <f t="shared" si="37"/>
        <v>3.9824940819416677</v>
      </c>
    </row>
    <row r="150" spans="2:9" x14ac:dyDescent="0.55000000000000004">
      <c r="B150" s="11">
        <f t="shared" si="38"/>
        <v>7</v>
      </c>
      <c r="C150" s="11">
        <f t="shared" si="39"/>
        <v>5</v>
      </c>
      <c r="D150" s="12">
        <f t="shared" si="40"/>
        <v>251442.07583333337</v>
      </c>
      <c r="E150" s="11" t="str">
        <f t="shared" si="41"/>
        <v>20/21</v>
      </c>
      <c r="F150" s="11" t="str">
        <f t="shared" si="42"/>
        <v>Feb</v>
      </c>
      <c r="G150" s="11" t="str">
        <f t="shared" si="43"/>
        <v>Feb'20/21</v>
      </c>
      <c r="H150" s="11" t="str">
        <f t="shared" ref="H150:H213" si="44">G150</f>
        <v>Feb'20/21</v>
      </c>
      <c r="I150" s="11">
        <f t="shared" ref="I150:I213" si="45">SUM(D139:D150)/1000000</f>
        <v>3.9175777443916666</v>
      </c>
    </row>
    <row r="151" spans="2:9" x14ac:dyDescent="0.55000000000000004">
      <c r="B151" s="11">
        <f t="shared" ref="B151:B214" si="46">B139+1</f>
        <v>7</v>
      </c>
      <c r="C151" s="11">
        <f t="shared" ref="C151:C214" si="47">C139</f>
        <v>6</v>
      </c>
      <c r="D151" s="12">
        <f t="shared" si="40"/>
        <v>420680.98441666667</v>
      </c>
      <c r="E151" s="11" t="str">
        <f t="shared" si="41"/>
        <v>20/21</v>
      </c>
      <c r="F151" s="11" t="str">
        <f t="shared" si="42"/>
        <v>Mar</v>
      </c>
      <c r="G151" s="11" t="str">
        <f t="shared" si="43"/>
        <v>Mar'20/21</v>
      </c>
      <c r="H151" s="11" t="str">
        <f t="shared" si="44"/>
        <v>Mar'20/21</v>
      </c>
      <c r="I151" s="11">
        <f t="shared" si="45"/>
        <v>3.8929963311</v>
      </c>
    </row>
    <row r="152" spans="2:9" x14ac:dyDescent="0.55000000000000004">
      <c r="B152" s="11">
        <f t="shared" si="46"/>
        <v>7</v>
      </c>
      <c r="C152" s="11">
        <f t="shared" si="47"/>
        <v>7</v>
      </c>
      <c r="D152" s="12">
        <f t="shared" si="40"/>
        <v>532429.58583333343</v>
      </c>
      <c r="E152" s="11" t="str">
        <f t="shared" si="41"/>
        <v>20/21</v>
      </c>
      <c r="F152" s="11" t="str">
        <f t="shared" si="42"/>
        <v>Apr</v>
      </c>
      <c r="G152" s="11" t="str">
        <f t="shared" si="43"/>
        <v>Apr'20/21</v>
      </c>
      <c r="H152" s="11" t="str">
        <f t="shared" si="44"/>
        <v>Apr'20/21</v>
      </c>
      <c r="I152" s="11">
        <f t="shared" si="45"/>
        <v>3.9797218795999996</v>
      </c>
    </row>
    <row r="153" spans="2:9" x14ac:dyDescent="0.55000000000000004">
      <c r="B153" s="11">
        <f t="shared" si="46"/>
        <v>7</v>
      </c>
      <c r="C153" s="11">
        <f t="shared" si="47"/>
        <v>8</v>
      </c>
      <c r="D153" s="12">
        <f t="shared" si="40"/>
        <v>554637.22516666679</v>
      </c>
      <c r="E153" s="11" t="str">
        <f t="shared" si="41"/>
        <v>20/21</v>
      </c>
      <c r="F153" s="11" t="str">
        <f t="shared" si="42"/>
        <v>May</v>
      </c>
      <c r="G153" s="11" t="str">
        <f t="shared" si="43"/>
        <v>May'20/21</v>
      </c>
      <c r="H153" s="11" t="str">
        <f t="shared" si="44"/>
        <v>May'20/21</v>
      </c>
      <c r="I153" s="11">
        <f t="shared" si="45"/>
        <v>4.085805827933334</v>
      </c>
    </row>
    <row r="154" spans="2:9" x14ac:dyDescent="0.55000000000000004">
      <c r="B154" s="11">
        <f t="shared" si="46"/>
        <v>7</v>
      </c>
      <c r="C154" s="11">
        <f t="shared" si="47"/>
        <v>9</v>
      </c>
      <c r="D154" s="12">
        <f t="shared" si="40"/>
        <v>702815.55324166676</v>
      </c>
      <c r="E154" s="11" t="str">
        <f t="shared" si="41"/>
        <v>20/21</v>
      </c>
      <c r="F154" s="11" t="str">
        <f t="shared" si="42"/>
        <v>Jun</v>
      </c>
      <c r="G154" s="11" t="str">
        <f t="shared" si="43"/>
        <v>Jun'20/21</v>
      </c>
      <c r="H154" s="11" t="str">
        <f t="shared" si="44"/>
        <v>Jun'20/21</v>
      </c>
      <c r="I154" s="11">
        <f t="shared" si="45"/>
        <v>4.3008079640083343</v>
      </c>
    </row>
    <row r="155" spans="2:9" x14ac:dyDescent="0.55000000000000004">
      <c r="B155" s="11">
        <f t="shared" si="46"/>
        <v>7</v>
      </c>
      <c r="C155" s="11">
        <f t="shared" si="47"/>
        <v>10</v>
      </c>
      <c r="D155" s="12">
        <f t="shared" si="40"/>
        <v>590243.39109166677</v>
      </c>
      <c r="E155" s="11" t="str">
        <f t="shared" si="41"/>
        <v>20/21</v>
      </c>
      <c r="F155" s="11" t="str">
        <f t="shared" si="42"/>
        <v>Jul</v>
      </c>
      <c r="G155" s="11" t="str">
        <f t="shared" si="43"/>
        <v>Jul'20/21</v>
      </c>
      <c r="H155" s="11" t="str">
        <f t="shared" si="44"/>
        <v>Jul'20/21</v>
      </c>
      <c r="I155" s="11">
        <f t="shared" si="45"/>
        <v>4.5256343508750012</v>
      </c>
    </row>
    <row r="156" spans="2:9" x14ac:dyDescent="0.55000000000000004">
      <c r="B156" s="11">
        <f t="shared" si="46"/>
        <v>7</v>
      </c>
      <c r="C156" s="11">
        <f t="shared" si="47"/>
        <v>11</v>
      </c>
      <c r="D156" s="12">
        <f t="shared" si="40"/>
        <v>506498.86800000013</v>
      </c>
      <c r="E156" s="11" t="str">
        <f t="shared" si="41"/>
        <v>20/21</v>
      </c>
      <c r="F156" s="11" t="str">
        <f t="shared" si="42"/>
        <v>Aug</v>
      </c>
      <c r="G156" s="11" t="str">
        <f t="shared" si="43"/>
        <v>Aug'20/21</v>
      </c>
      <c r="H156" s="11" t="str">
        <f t="shared" si="44"/>
        <v>Aug'20/21</v>
      </c>
      <c r="I156" s="11">
        <f t="shared" si="45"/>
        <v>4.7359650011333336</v>
      </c>
    </row>
    <row r="157" spans="2:9" x14ac:dyDescent="0.55000000000000004">
      <c r="B157" s="11">
        <f t="shared" si="46"/>
        <v>7</v>
      </c>
      <c r="C157" s="11">
        <f t="shared" si="47"/>
        <v>12</v>
      </c>
      <c r="D157" s="12">
        <f t="shared" si="40"/>
        <v>457426.87100000004</v>
      </c>
      <c r="E157" s="11" t="str">
        <f t="shared" si="41"/>
        <v>20/21</v>
      </c>
      <c r="F157" s="11" t="str">
        <f t="shared" si="42"/>
        <v>Sep</v>
      </c>
      <c r="G157" s="11" t="str">
        <f t="shared" si="43"/>
        <v>Sep'20/21</v>
      </c>
      <c r="H157" s="11" t="str">
        <f t="shared" si="44"/>
        <v>Sep'20/21</v>
      </c>
      <c r="I157" s="11">
        <f t="shared" si="45"/>
        <v>4.9181579178000012</v>
      </c>
    </row>
    <row r="158" spans="2:9" x14ac:dyDescent="0.55000000000000004">
      <c r="B158" s="11">
        <f t="shared" si="46"/>
        <v>8</v>
      </c>
      <c r="C158" s="11">
        <f t="shared" si="47"/>
        <v>1</v>
      </c>
      <c r="D158" s="12">
        <f t="shared" si="40"/>
        <v>374367.72562500014</v>
      </c>
      <c r="E158" s="11" t="str">
        <f t="shared" si="41"/>
        <v>21/22</v>
      </c>
      <c r="F158" s="11" t="str">
        <f t="shared" si="42"/>
        <v>Oct</v>
      </c>
      <c r="G158" s="11" t="str">
        <f t="shared" si="43"/>
        <v>Oct'21/22</v>
      </c>
      <c r="H158" s="11" t="str">
        <f t="shared" si="44"/>
        <v>Oct'21/22</v>
      </c>
      <c r="I158" s="11">
        <f t="shared" si="45"/>
        <v>5.0320064499916679</v>
      </c>
    </row>
    <row r="159" spans="2:9" x14ac:dyDescent="0.55000000000000004">
      <c r="B159" s="11">
        <f t="shared" si="46"/>
        <v>8</v>
      </c>
      <c r="C159" s="11">
        <f t="shared" si="47"/>
        <v>2</v>
      </c>
      <c r="D159" s="12">
        <f t="shared" si="40"/>
        <v>408703.38972499996</v>
      </c>
      <c r="E159" s="11" t="str">
        <f t="shared" si="41"/>
        <v>21/22</v>
      </c>
      <c r="F159" s="11" t="str">
        <f t="shared" si="42"/>
        <v>Nov</v>
      </c>
      <c r="G159" s="11" t="str">
        <f t="shared" si="43"/>
        <v>Nov'21/22</v>
      </c>
      <c r="H159" s="11" t="str">
        <f t="shared" si="44"/>
        <v>Nov'21/22</v>
      </c>
      <c r="I159" s="11">
        <f t="shared" si="45"/>
        <v>5.2001302777166671</v>
      </c>
    </row>
    <row r="160" spans="2:9" x14ac:dyDescent="0.55000000000000004">
      <c r="B160" s="11">
        <f t="shared" si="46"/>
        <v>8</v>
      </c>
      <c r="C160" s="11">
        <f t="shared" si="47"/>
        <v>3</v>
      </c>
      <c r="D160" s="12">
        <f t="shared" si="40"/>
        <v>346964.20533333335</v>
      </c>
      <c r="E160" s="11" t="str">
        <f t="shared" si="41"/>
        <v>21/22</v>
      </c>
      <c r="F160" s="11" t="str">
        <f t="shared" si="42"/>
        <v>Dec</v>
      </c>
      <c r="G160" s="11" t="str">
        <f t="shared" si="43"/>
        <v>Dec'21/22</v>
      </c>
      <c r="H160" s="11" t="str">
        <f t="shared" si="44"/>
        <v>Dec'21/22</v>
      </c>
      <c r="I160" s="11">
        <f t="shared" si="45"/>
        <v>5.3314457514250009</v>
      </c>
    </row>
    <row r="161" spans="2:9" x14ac:dyDescent="0.55000000000000004">
      <c r="B161" s="11">
        <f t="shared" si="46"/>
        <v>8</v>
      </c>
      <c r="C161" s="11">
        <f t="shared" si="47"/>
        <v>4</v>
      </c>
      <c r="D161" s="12">
        <f t="shared" si="40"/>
        <v>233724.64324999999</v>
      </c>
      <c r="E161" s="11" t="str">
        <f t="shared" si="41"/>
        <v>21/22</v>
      </c>
      <c r="F161" s="11" t="str">
        <f t="shared" si="42"/>
        <v>Jan</v>
      </c>
      <c r="G161" s="11" t="str">
        <f t="shared" si="43"/>
        <v>Jan'21/22</v>
      </c>
      <c r="H161" s="11" t="str">
        <f t="shared" si="44"/>
        <v>Jan'21/22</v>
      </c>
      <c r="I161" s="11">
        <f t="shared" si="45"/>
        <v>5.3799345185166674</v>
      </c>
    </row>
    <row r="162" spans="2:9" x14ac:dyDescent="0.55000000000000004">
      <c r="B162" s="11">
        <f t="shared" si="46"/>
        <v>8</v>
      </c>
      <c r="C162" s="11">
        <f t="shared" si="47"/>
        <v>5</v>
      </c>
      <c r="D162" s="12">
        <f t="shared" si="40"/>
        <v>291172.25706333329</v>
      </c>
      <c r="E162" s="11" t="str">
        <f t="shared" si="41"/>
        <v>21/22</v>
      </c>
      <c r="F162" s="11" t="str">
        <f t="shared" si="42"/>
        <v>Feb</v>
      </c>
      <c r="G162" s="11" t="str">
        <f t="shared" si="43"/>
        <v>Feb'21/22</v>
      </c>
      <c r="H162" s="11" t="str">
        <f t="shared" si="44"/>
        <v>Feb'21/22</v>
      </c>
      <c r="I162" s="11">
        <f t="shared" si="45"/>
        <v>5.4196646997466669</v>
      </c>
    </row>
    <row r="163" spans="2:9" x14ac:dyDescent="0.55000000000000004">
      <c r="B163" s="11">
        <f t="shared" si="46"/>
        <v>8</v>
      </c>
      <c r="C163" s="11">
        <f t="shared" si="47"/>
        <v>6</v>
      </c>
      <c r="D163" s="12">
        <f t="shared" si="40"/>
        <v>475487.96781833324</v>
      </c>
      <c r="E163" s="11" t="str">
        <f t="shared" si="41"/>
        <v>21/22</v>
      </c>
      <c r="F163" s="11" t="str">
        <f t="shared" si="42"/>
        <v>Mar</v>
      </c>
      <c r="G163" s="11" t="str">
        <f t="shared" si="43"/>
        <v>Mar'21/22</v>
      </c>
      <c r="H163" s="11" t="str">
        <f t="shared" si="44"/>
        <v>Mar'21/22</v>
      </c>
      <c r="I163" s="11">
        <f t="shared" si="45"/>
        <v>5.4744716831483329</v>
      </c>
    </row>
    <row r="164" spans="2:9" x14ac:dyDescent="0.55000000000000004">
      <c r="B164" s="11">
        <f t="shared" si="46"/>
        <v>8</v>
      </c>
      <c r="C164" s="11">
        <f t="shared" si="47"/>
        <v>7</v>
      </c>
      <c r="D164" s="12">
        <f t="shared" si="40"/>
        <v>451860.4696833333</v>
      </c>
      <c r="E164" s="11" t="str">
        <f t="shared" si="41"/>
        <v>21/22</v>
      </c>
      <c r="F164" s="11" t="str">
        <f t="shared" si="42"/>
        <v>Apr</v>
      </c>
      <c r="G164" s="11" t="str">
        <f t="shared" si="43"/>
        <v>Apr'21/22</v>
      </c>
      <c r="H164" s="11" t="str">
        <f t="shared" si="44"/>
        <v>Apr'21/22</v>
      </c>
      <c r="I164" s="11">
        <f t="shared" si="45"/>
        <v>5.3939025669983334</v>
      </c>
    </row>
    <row r="165" spans="2:9" x14ac:dyDescent="0.55000000000000004">
      <c r="B165" s="11">
        <f t="shared" si="46"/>
        <v>8</v>
      </c>
      <c r="C165" s="11">
        <f t="shared" si="47"/>
        <v>8</v>
      </c>
      <c r="D165" s="12">
        <f t="shared" si="40"/>
        <v>506522.97771666665</v>
      </c>
      <c r="E165" s="11" t="str">
        <f t="shared" si="41"/>
        <v>21/22</v>
      </c>
      <c r="F165" s="11" t="str">
        <f t="shared" si="42"/>
        <v>May</v>
      </c>
      <c r="G165" s="11" t="str">
        <f t="shared" si="43"/>
        <v>May'21/22</v>
      </c>
      <c r="H165" s="11" t="str">
        <f t="shared" si="44"/>
        <v>May'21/22</v>
      </c>
      <c r="I165" s="11">
        <f t="shared" si="45"/>
        <v>5.3457883195483342</v>
      </c>
    </row>
    <row r="166" spans="2:9" x14ac:dyDescent="0.55000000000000004">
      <c r="B166" s="11">
        <f t="shared" si="46"/>
        <v>8</v>
      </c>
      <c r="C166" s="11">
        <f t="shared" si="47"/>
        <v>9</v>
      </c>
      <c r="D166" s="12">
        <f t="shared" si="40"/>
        <v>581891.54049999989</v>
      </c>
      <c r="E166" s="11" t="str">
        <f t="shared" si="41"/>
        <v>21/22</v>
      </c>
      <c r="F166" s="11" t="str">
        <f t="shared" si="42"/>
        <v>Jun</v>
      </c>
      <c r="G166" s="11" t="str">
        <f t="shared" si="43"/>
        <v>Jun'21/22</v>
      </c>
      <c r="H166" s="11" t="str">
        <f t="shared" si="44"/>
        <v>Jun'21/22</v>
      </c>
      <c r="I166" s="11">
        <f t="shared" si="45"/>
        <v>5.2248643068066674</v>
      </c>
    </row>
    <row r="167" spans="2:9" x14ac:dyDescent="0.55000000000000004">
      <c r="B167" s="11">
        <f t="shared" si="46"/>
        <v>8</v>
      </c>
      <c r="C167" s="11">
        <f t="shared" si="47"/>
        <v>10</v>
      </c>
      <c r="D167" s="12">
        <f t="shared" si="40"/>
        <v>606587.96103333309</v>
      </c>
      <c r="E167" s="11" t="str">
        <f t="shared" si="41"/>
        <v>21/22</v>
      </c>
      <c r="F167" s="11" t="str">
        <f t="shared" si="42"/>
        <v>Jul</v>
      </c>
      <c r="G167" s="11" t="str">
        <f t="shared" si="43"/>
        <v>Jul'21/22</v>
      </c>
      <c r="H167" s="11" t="str">
        <f t="shared" si="44"/>
        <v>Jul'21/22</v>
      </c>
      <c r="I167" s="11">
        <f t="shared" si="45"/>
        <v>5.2412088767483338</v>
      </c>
    </row>
    <row r="168" spans="2:9" x14ac:dyDescent="0.55000000000000004">
      <c r="B168" s="11">
        <f t="shared" si="46"/>
        <v>8</v>
      </c>
      <c r="C168" s="11">
        <f t="shared" si="47"/>
        <v>11</v>
      </c>
      <c r="D168" s="12">
        <f t="shared" si="40"/>
        <v>455477.44433333329</v>
      </c>
      <c r="E168" s="11" t="str">
        <f t="shared" si="41"/>
        <v>21/22</v>
      </c>
      <c r="F168" s="11" t="str">
        <f t="shared" si="42"/>
        <v>Aug</v>
      </c>
      <c r="G168" s="11" t="str">
        <f t="shared" si="43"/>
        <v>Aug'21/22</v>
      </c>
      <c r="H168" s="11" t="str">
        <f t="shared" si="44"/>
        <v>Aug'21/22</v>
      </c>
      <c r="I168" s="11">
        <f t="shared" si="45"/>
        <v>5.1901874530816663</v>
      </c>
    </row>
    <row r="169" spans="2:9" x14ac:dyDescent="0.55000000000000004">
      <c r="B169" s="11">
        <f t="shared" si="46"/>
        <v>8</v>
      </c>
      <c r="C169" s="11">
        <f t="shared" si="47"/>
        <v>12</v>
      </c>
      <c r="D169" s="12">
        <f t="shared" si="40"/>
        <v>345080.23366666667</v>
      </c>
      <c r="E169" s="11" t="str">
        <f t="shared" si="41"/>
        <v>21/22</v>
      </c>
      <c r="F169" s="11" t="str">
        <f t="shared" si="42"/>
        <v>Sep</v>
      </c>
      <c r="G169" s="11" t="str">
        <f t="shared" si="43"/>
        <v>Sep'21/22</v>
      </c>
      <c r="H169" s="11" t="str">
        <f t="shared" si="44"/>
        <v>Sep'21/22</v>
      </c>
      <c r="I169" s="11">
        <f t="shared" si="45"/>
        <v>5.077840815748333</v>
      </c>
    </row>
    <row r="170" spans="2:9" x14ac:dyDescent="0.55000000000000004">
      <c r="B170" s="11">
        <f t="shared" si="46"/>
        <v>9</v>
      </c>
      <c r="C170" s="11">
        <f t="shared" si="47"/>
        <v>1</v>
      </c>
      <c r="D170" s="12">
        <f t="shared" si="40"/>
        <v>352960.74426666682</v>
      </c>
      <c r="E170" s="11" t="str">
        <f t="shared" si="41"/>
        <v>22/23</v>
      </c>
      <c r="F170" s="11" t="str">
        <f t="shared" si="42"/>
        <v>Oct</v>
      </c>
      <c r="G170" s="11" t="str">
        <f t="shared" si="43"/>
        <v>Oct'22/23</v>
      </c>
      <c r="H170" s="11" t="str">
        <f t="shared" si="44"/>
        <v>Oct'22/23</v>
      </c>
      <c r="I170" s="11">
        <f t="shared" si="45"/>
        <v>5.0564338343899999</v>
      </c>
    </row>
    <row r="171" spans="2:9" x14ac:dyDescent="0.55000000000000004">
      <c r="B171" s="11">
        <f t="shared" si="46"/>
        <v>9</v>
      </c>
      <c r="C171" s="11">
        <f t="shared" si="47"/>
        <v>2</v>
      </c>
      <c r="D171" s="12">
        <f t="shared" si="40"/>
        <v>313914.70183333335</v>
      </c>
      <c r="E171" s="11" t="str">
        <f t="shared" si="41"/>
        <v>22/23</v>
      </c>
      <c r="F171" s="11" t="str">
        <f t="shared" si="42"/>
        <v>Nov</v>
      </c>
      <c r="G171" s="11" t="str">
        <f t="shared" si="43"/>
        <v>Nov'22/23</v>
      </c>
      <c r="H171" s="11" t="str">
        <f t="shared" si="44"/>
        <v>Nov'22/23</v>
      </c>
      <c r="I171" s="11">
        <f t="shared" si="45"/>
        <v>4.9616451464983333</v>
      </c>
    </row>
    <row r="172" spans="2:9" x14ac:dyDescent="0.55000000000000004">
      <c r="B172" s="11">
        <f t="shared" si="46"/>
        <v>9</v>
      </c>
      <c r="C172" s="11">
        <f t="shared" si="47"/>
        <v>3</v>
      </c>
      <c r="D172" s="12">
        <f t="shared" si="40"/>
        <v>188482.8512083333</v>
      </c>
      <c r="E172" s="11" t="str">
        <f t="shared" si="41"/>
        <v>22/23</v>
      </c>
      <c r="F172" s="11" t="str">
        <f t="shared" si="42"/>
        <v>Dec</v>
      </c>
      <c r="G172" s="11" t="str">
        <f t="shared" si="43"/>
        <v>Dec'22/23</v>
      </c>
      <c r="H172" s="11" t="str">
        <f t="shared" si="44"/>
        <v>Dec'22/23</v>
      </c>
      <c r="I172" s="11">
        <f t="shared" si="45"/>
        <v>4.8031637923733328</v>
      </c>
    </row>
    <row r="173" spans="2:9" x14ac:dyDescent="0.55000000000000004">
      <c r="B173" s="11">
        <f t="shared" si="46"/>
        <v>9</v>
      </c>
      <c r="C173" s="11">
        <f t="shared" si="47"/>
        <v>4</v>
      </c>
      <c r="D173" s="12">
        <f t="shared" si="40"/>
        <v>132991.4194466667</v>
      </c>
      <c r="E173" s="11" t="str">
        <f t="shared" si="41"/>
        <v>22/23</v>
      </c>
      <c r="F173" s="11" t="str">
        <f t="shared" si="42"/>
        <v>Jan</v>
      </c>
      <c r="G173" s="11" t="str">
        <f t="shared" si="43"/>
        <v>Jan'22/23</v>
      </c>
      <c r="H173" s="11" t="str">
        <f t="shared" si="44"/>
        <v>Jan'22/23</v>
      </c>
      <c r="I173" s="11">
        <f t="shared" si="45"/>
        <v>4.7024305685699987</v>
      </c>
    </row>
    <row r="174" spans="2:9" x14ac:dyDescent="0.55000000000000004">
      <c r="B174" s="11">
        <f t="shared" si="46"/>
        <v>9</v>
      </c>
      <c r="C174" s="11">
        <f t="shared" si="47"/>
        <v>5</v>
      </c>
      <c r="D174" s="12">
        <f t="shared" si="40"/>
        <v>254698.62294166666</v>
      </c>
      <c r="E174" s="11" t="str">
        <f t="shared" si="41"/>
        <v>22/23</v>
      </c>
      <c r="F174" s="11" t="str">
        <f t="shared" si="42"/>
        <v>Feb</v>
      </c>
      <c r="G174" s="11" t="str">
        <f t="shared" si="43"/>
        <v>Feb'22/23</v>
      </c>
      <c r="H174" s="11" t="str">
        <f t="shared" si="44"/>
        <v>Feb'22/23</v>
      </c>
      <c r="I174" s="11">
        <f t="shared" si="45"/>
        <v>4.6659569344483325</v>
      </c>
    </row>
    <row r="175" spans="2:9" x14ac:dyDescent="0.55000000000000004">
      <c r="B175" s="11">
        <f t="shared" si="46"/>
        <v>9</v>
      </c>
      <c r="C175" s="11">
        <f t="shared" si="47"/>
        <v>6</v>
      </c>
      <c r="D175" s="12">
        <f t="shared" si="40"/>
        <v>354397.70031666663</v>
      </c>
      <c r="E175" s="11" t="str">
        <f t="shared" si="41"/>
        <v>22/23</v>
      </c>
      <c r="F175" s="11" t="str">
        <f t="shared" si="42"/>
        <v>Mar</v>
      </c>
      <c r="G175" s="11" t="str">
        <f t="shared" si="43"/>
        <v>Mar'22/23</v>
      </c>
      <c r="H175" s="11" t="str">
        <f t="shared" si="44"/>
        <v>Mar'22/23</v>
      </c>
      <c r="I175" s="11">
        <f t="shared" si="45"/>
        <v>4.5448666669466675</v>
      </c>
    </row>
    <row r="176" spans="2:9" x14ac:dyDescent="0.55000000000000004">
      <c r="B176" s="11">
        <f t="shared" si="46"/>
        <v>9</v>
      </c>
      <c r="C176" s="11">
        <f t="shared" si="47"/>
        <v>7</v>
      </c>
      <c r="D176" s="12">
        <f t="shared" si="40"/>
        <v>340150.44466666668</v>
      </c>
      <c r="E176" s="11" t="str">
        <f t="shared" si="41"/>
        <v>22/23</v>
      </c>
      <c r="F176" s="11" t="str">
        <f t="shared" si="42"/>
        <v>Apr</v>
      </c>
      <c r="G176" s="11" t="str">
        <f t="shared" si="43"/>
        <v>Apr'22/23</v>
      </c>
      <c r="H176" s="11" t="str">
        <f t="shared" si="44"/>
        <v>Apr'22/23</v>
      </c>
      <c r="I176" s="11">
        <f t="shared" si="45"/>
        <v>4.4331566419300001</v>
      </c>
    </row>
    <row r="177" spans="2:9" x14ac:dyDescent="0.55000000000000004">
      <c r="B177" s="11">
        <f t="shared" si="46"/>
        <v>9</v>
      </c>
      <c r="C177" s="11">
        <f t="shared" si="47"/>
        <v>8</v>
      </c>
      <c r="D177" s="12">
        <f t="shared" si="40"/>
        <v>442953.15233333333</v>
      </c>
      <c r="E177" s="11" t="str">
        <f t="shared" si="41"/>
        <v>22/23</v>
      </c>
      <c r="F177" s="11" t="str">
        <f t="shared" si="42"/>
        <v>May</v>
      </c>
      <c r="G177" s="11" t="str">
        <f t="shared" si="43"/>
        <v>May'22/23</v>
      </c>
      <c r="H177" s="11" t="str">
        <f t="shared" si="44"/>
        <v>May'22/23</v>
      </c>
      <c r="I177" s="11">
        <f t="shared" si="45"/>
        <v>4.3695868165466667</v>
      </c>
    </row>
    <row r="178" spans="2:9" x14ac:dyDescent="0.55000000000000004">
      <c r="B178" s="11">
        <f t="shared" si="46"/>
        <v>9</v>
      </c>
      <c r="C178" s="11">
        <f t="shared" si="47"/>
        <v>9</v>
      </c>
      <c r="D178" s="12">
        <f t="shared" si="40"/>
        <v>533786.76904166664</v>
      </c>
      <c r="E178" s="11" t="str">
        <f t="shared" si="41"/>
        <v>22/23</v>
      </c>
      <c r="F178" s="11" t="str">
        <f t="shared" si="42"/>
        <v>Jun</v>
      </c>
      <c r="G178" s="11" t="str">
        <f t="shared" si="43"/>
        <v>Jun'22/23</v>
      </c>
      <c r="H178" s="11" t="str">
        <f t="shared" si="44"/>
        <v>Jun'22/23</v>
      </c>
      <c r="I178" s="11">
        <f t="shared" si="45"/>
        <v>4.3214820450883327</v>
      </c>
    </row>
    <row r="179" spans="2:9" x14ac:dyDescent="0.55000000000000004">
      <c r="B179" s="11">
        <f t="shared" si="46"/>
        <v>9</v>
      </c>
      <c r="C179" s="11">
        <f t="shared" si="47"/>
        <v>10</v>
      </c>
      <c r="D179" s="12">
        <f t="shared" si="40"/>
        <v>466477.17291666678</v>
      </c>
      <c r="E179" s="11" t="str">
        <f t="shared" si="41"/>
        <v>22/23</v>
      </c>
      <c r="F179" s="11" t="str">
        <f t="shared" si="42"/>
        <v>Jul</v>
      </c>
      <c r="G179" s="11" t="str">
        <f t="shared" si="43"/>
        <v>Jul'22/23</v>
      </c>
      <c r="H179" s="11" t="str">
        <f t="shared" si="44"/>
        <v>Jul'22/23</v>
      </c>
      <c r="I179" s="11">
        <f t="shared" si="45"/>
        <v>4.1813712569716666</v>
      </c>
    </row>
    <row r="180" spans="2:9" x14ac:dyDescent="0.55000000000000004">
      <c r="B180" s="11">
        <f t="shared" si="46"/>
        <v>9</v>
      </c>
      <c r="C180" s="11">
        <f t="shared" si="47"/>
        <v>11</v>
      </c>
      <c r="D180" s="12">
        <f t="shared" si="40"/>
        <v>421368.52874999994</v>
      </c>
      <c r="E180" s="11" t="str">
        <f t="shared" si="41"/>
        <v>22/23</v>
      </c>
      <c r="F180" s="11" t="str">
        <f t="shared" si="42"/>
        <v>Aug</v>
      </c>
      <c r="G180" s="11" t="str">
        <f t="shared" si="43"/>
        <v>Aug'22/23</v>
      </c>
      <c r="H180" s="11" t="str">
        <f t="shared" si="44"/>
        <v>Aug'22/23</v>
      </c>
      <c r="I180" s="11">
        <f t="shared" si="45"/>
        <v>4.1472623413883332</v>
      </c>
    </row>
    <row r="181" spans="2:9" x14ac:dyDescent="0.55000000000000004">
      <c r="B181" s="11">
        <f t="shared" si="46"/>
        <v>9</v>
      </c>
      <c r="C181" s="11">
        <f t="shared" si="47"/>
        <v>12</v>
      </c>
      <c r="D181" s="12">
        <f t="shared" si="40"/>
        <v>311336.73988333339</v>
      </c>
      <c r="E181" s="11" t="str">
        <f t="shared" si="41"/>
        <v>22/23</v>
      </c>
      <c r="F181" s="11" t="str">
        <f t="shared" si="42"/>
        <v>Sep</v>
      </c>
      <c r="G181" s="11" t="str">
        <f t="shared" si="43"/>
        <v>Sep'22/23</v>
      </c>
      <c r="H181" s="11" t="str">
        <f t="shared" si="44"/>
        <v>Sep'22/23</v>
      </c>
      <c r="I181" s="11">
        <f t="shared" si="45"/>
        <v>4.1135188476050004</v>
      </c>
    </row>
    <row r="182" spans="2:9" x14ac:dyDescent="0.55000000000000004">
      <c r="B182" s="11">
        <f t="shared" si="46"/>
        <v>10</v>
      </c>
      <c r="C182" s="11">
        <f t="shared" si="47"/>
        <v>1</v>
      </c>
      <c r="D182" s="12">
        <f t="shared" si="40"/>
        <v>360453.73706666677</v>
      </c>
      <c r="E182" s="11" t="str">
        <f t="shared" si="41"/>
        <v>23/24</v>
      </c>
      <c r="F182" s="11" t="str">
        <f t="shared" si="42"/>
        <v>Oct</v>
      </c>
      <c r="G182" s="11" t="str">
        <f t="shared" si="43"/>
        <v>Oct'23/24</v>
      </c>
      <c r="H182" s="11" t="str">
        <f t="shared" si="44"/>
        <v>Oct'23/24</v>
      </c>
      <c r="I182" s="11">
        <f t="shared" si="45"/>
        <v>4.121011840405</v>
      </c>
    </row>
    <row r="183" spans="2:9" x14ac:dyDescent="0.55000000000000004">
      <c r="B183" s="11">
        <f t="shared" si="46"/>
        <v>10</v>
      </c>
      <c r="C183" s="11">
        <f t="shared" si="47"/>
        <v>2</v>
      </c>
      <c r="D183" s="12">
        <f t="shared" si="40"/>
        <v>302398.71216666664</v>
      </c>
      <c r="E183" s="11" t="str">
        <f t="shared" si="41"/>
        <v>23/24</v>
      </c>
      <c r="F183" s="11" t="str">
        <f t="shared" si="42"/>
        <v>Nov</v>
      </c>
      <c r="G183" s="11" t="str">
        <f t="shared" si="43"/>
        <v>Nov'23/24</v>
      </c>
      <c r="H183" s="11" t="str">
        <f t="shared" si="44"/>
        <v>Nov'23/24</v>
      </c>
      <c r="I183" s="11">
        <f t="shared" si="45"/>
        <v>4.109495850738333</v>
      </c>
    </row>
    <row r="184" spans="2:9" x14ac:dyDescent="0.55000000000000004">
      <c r="B184" s="11">
        <f t="shared" si="46"/>
        <v>10</v>
      </c>
      <c r="C184" s="11">
        <f t="shared" si="47"/>
        <v>3</v>
      </c>
      <c r="D184" s="12">
        <f t="shared" si="40"/>
        <v>252290.43070000003</v>
      </c>
      <c r="E184" s="11" t="str">
        <f t="shared" si="41"/>
        <v>23/24</v>
      </c>
      <c r="F184" s="11" t="str">
        <f t="shared" si="42"/>
        <v>Dec</v>
      </c>
      <c r="G184" s="11" t="str">
        <f t="shared" si="43"/>
        <v>Dec'23/24</v>
      </c>
      <c r="H184" s="11" t="str">
        <f t="shared" si="44"/>
        <v>Dec'23/24</v>
      </c>
      <c r="I184" s="11">
        <f t="shared" si="45"/>
        <v>4.1733034302299998</v>
      </c>
    </row>
    <row r="185" spans="2:9" x14ac:dyDescent="0.55000000000000004">
      <c r="B185" s="11">
        <f t="shared" si="46"/>
        <v>10</v>
      </c>
      <c r="C185" s="11">
        <f t="shared" si="47"/>
        <v>4</v>
      </c>
      <c r="D185" s="12">
        <f t="shared" si="40"/>
        <v>215003.64350000003</v>
      </c>
      <c r="E185" s="11" t="str">
        <f t="shared" si="41"/>
        <v>23/24</v>
      </c>
      <c r="F185" s="11" t="str">
        <f t="shared" si="42"/>
        <v>Jan</v>
      </c>
      <c r="G185" s="11" t="str">
        <f t="shared" si="43"/>
        <v>Jan'23/24</v>
      </c>
      <c r="H185" s="11" t="str">
        <f t="shared" si="44"/>
        <v>Jan'23/24</v>
      </c>
      <c r="I185" s="11">
        <f t="shared" si="45"/>
        <v>4.2553156542833328</v>
      </c>
    </row>
    <row r="186" spans="2:9" x14ac:dyDescent="0.55000000000000004">
      <c r="B186" s="11">
        <f t="shared" si="46"/>
        <v>10</v>
      </c>
      <c r="C186" s="11">
        <f t="shared" si="47"/>
        <v>5</v>
      </c>
      <c r="D186" s="12">
        <f t="shared" si="40"/>
        <v>321740.86825</v>
      </c>
      <c r="E186" s="11" t="str">
        <f t="shared" si="41"/>
        <v>23/24</v>
      </c>
      <c r="F186" s="11" t="str">
        <f t="shared" si="42"/>
        <v>Feb</v>
      </c>
      <c r="G186" s="11" t="str">
        <f t="shared" si="43"/>
        <v>Feb'23/24</v>
      </c>
      <c r="H186" s="11" t="str">
        <f t="shared" si="44"/>
        <v>Feb'23/24</v>
      </c>
      <c r="I186" s="11">
        <f t="shared" si="45"/>
        <v>4.3223578995916663</v>
      </c>
    </row>
    <row r="187" spans="2:9" x14ac:dyDescent="0.55000000000000004">
      <c r="B187" s="11">
        <f t="shared" si="46"/>
        <v>10</v>
      </c>
      <c r="C187" s="11">
        <f t="shared" si="47"/>
        <v>6</v>
      </c>
      <c r="D187" s="12">
        <f t="shared" si="40"/>
        <v>398293.6241666667</v>
      </c>
      <c r="E187" s="11" t="str">
        <f t="shared" si="41"/>
        <v>23/24</v>
      </c>
      <c r="F187" s="11" t="str">
        <f t="shared" si="42"/>
        <v>Mar</v>
      </c>
      <c r="G187" s="11" t="str">
        <f t="shared" si="43"/>
        <v>Mar'23/24</v>
      </c>
      <c r="H187" s="11" t="str">
        <f t="shared" si="44"/>
        <v>Mar'23/24</v>
      </c>
      <c r="I187" s="11">
        <f t="shared" si="45"/>
        <v>4.3662538234416663</v>
      </c>
    </row>
    <row r="188" spans="2:9" x14ac:dyDescent="0.55000000000000004">
      <c r="B188" s="11">
        <f t="shared" si="46"/>
        <v>10</v>
      </c>
      <c r="C188" s="11">
        <f t="shared" si="47"/>
        <v>7</v>
      </c>
      <c r="D188" s="12">
        <f t="shared" si="40"/>
        <v>600354.61762500019</v>
      </c>
      <c r="E188" s="11" t="str">
        <f t="shared" si="41"/>
        <v>23/24</v>
      </c>
      <c r="F188" s="11" t="str">
        <f t="shared" si="42"/>
        <v>Apr</v>
      </c>
      <c r="G188" s="11" t="str">
        <f t="shared" si="43"/>
        <v>Apr'23/24</v>
      </c>
      <c r="H188" s="11" t="str">
        <f t="shared" si="44"/>
        <v>Apr'23/24</v>
      </c>
      <c r="I188" s="11">
        <f t="shared" si="45"/>
        <v>4.6264579963999992</v>
      </c>
    </row>
    <row r="189" spans="2:9" x14ac:dyDescent="0.55000000000000004">
      <c r="B189" s="11">
        <f t="shared" si="46"/>
        <v>10</v>
      </c>
      <c r="C189" s="11">
        <f t="shared" si="47"/>
        <v>8</v>
      </c>
      <c r="D189" s="12">
        <f t="shared" si="40"/>
        <v>725307.72642499988</v>
      </c>
      <c r="E189" s="11" t="str">
        <f t="shared" si="41"/>
        <v>23/24</v>
      </c>
      <c r="F189" s="11" t="str">
        <f t="shared" si="42"/>
        <v>May</v>
      </c>
      <c r="G189" s="11" t="str">
        <f t="shared" si="43"/>
        <v>May'23/24</v>
      </c>
      <c r="H189" s="11" t="str">
        <f t="shared" si="44"/>
        <v>May'23/24</v>
      </c>
      <c r="I189" s="11">
        <f t="shared" si="45"/>
        <v>4.9088125704916665</v>
      </c>
    </row>
    <row r="190" spans="2:9" x14ac:dyDescent="0.55000000000000004">
      <c r="B190" s="11">
        <f t="shared" si="46"/>
        <v>10</v>
      </c>
      <c r="C190" s="11">
        <f t="shared" si="47"/>
        <v>9</v>
      </c>
      <c r="D190" s="12">
        <f t="shared" si="40"/>
        <v>757506.68666666676</v>
      </c>
      <c r="E190" s="11" t="str">
        <f t="shared" si="41"/>
        <v>23/24</v>
      </c>
      <c r="F190" s="11" t="str">
        <f t="shared" si="42"/>
        <v>Jun</v>
      </c>
      <c r="G190" s="11" t="str">
        <f t="shared" si="43"/>
        <v>Jun'23/24</v>
      </c>
      <c r="H190" s="11" t="str">
        <f t="shared" si="44"/>
        <v>Jun'23/24</v>
      </c>
      <c r="I190" s="11">
        <f t="shared" si="45"/>
        <v>5.1325324881166665</v>
      </c>
    </row>
    <row r="191" spans="2:9" x14ac:dyDescent="0.55000000000000004">
      <c r="B191" s="11">
        <f t="shared" si="46"/>
        <v>10</v>
      </c>
      <c r="C191" s="11">
        <f t="shared" si="47"/>
        <v>10</v>
      </c>
      <c r="D191" s="12">
        <f t="shared" si="40"/>
        <v>761758.56338333362</v>
      </c>
      <c r="E191" s="11" t="str">
        <f t="shared" si="41"/>
        <v>23/24</v>
      </c>
      <c r="F191" s="11" t="str">
        <f t="shared" si="42"/>
        <v>Jul</v>
      </c>
      <c r="G191" s="11" t="str">
        <f t="shared" si="43"/>
        <v>Jul'23/24</v>
      </c>
      <c r="H191" s="11" t="str">
        <f t="shared" si="44"/>
        <v>Jul'23/24</v>
      </c>
      <c r="I191" s="11">
        <f t="shared" si="45"/>
        <v>5.4278138785833336</v>
      </c>
    </row>
    <row r="192" spans="2:9" x14ac:dyDescent="0.55000000000000004">
      <c r="B192" s="11">
        <f t="shared" si="46"/>
        <v>10</v>
      </c>
      <c r="C192" s="11">
        <f t="shared" si="47"/>
        <v>11</v>
      </c>
      <c r="D192" s="12">
        <f t="shared" si="40"/>
        <v>640817.96462499991</v>
      </c>
      <c r="E192" s="11" t="str">
        <f t="shared" si="41"/>
        <v>23/24</v>
      </c>
      <c r="F192" s="11" t="str">
        <f t="shared" si="42"/>
        <v>Aug</v>
      </c>
      <c r="G192" s="11" t="str">
        <f t="shared" si="43"/>
        <v>Aug'23/24</v>
      </c>
      <c r="H192" s="11" t="str">
        <f t="shared" si="44"/>
        <v>Aug'23/24</v>
      </c>
      <c r="I192" s="11">
        <f t="shared" si="45"/>
        <v>5.6472633144583337</v>
      </c>
    </row>
    <row r="193" spans="2:9" x14ac:dyDescent="0.55000000000000004">
      <c r="B193" s="11">
        <f t="shared" si="46"/>
        <v>10</v>
      </c>
      <c r="C193" s="11">
        <f t="shared" si="47"/>
        <v>12</v>
      </c>
      <c r="D193" s="12">
        <f t="shared" si="40"/>
        <v>576746.28574999992</v>
      </c>
      <c r="E193" s="11" t="str">
        <f t="shared" si="41"/>
        <v>23/24</v>
      </c>
      <c r="F193" s="11" t="str">
        <f t="shared" si="42"/>
        <v>Sep</v>
      </c>
      <c r="G193" s="11" t="str">
        <f t="shared" si="43"/>
        <v>Sep'23/24</v>
      </c>
      <c r="H193" s="11" t="str">
        <f t="shared" si="44"/>
        <v>Sep'23/24</v>
      </c>
      <c r="I193" s="11">
        <f t="shared" si="45"/>
        <v>5.9126728603250003</v>
      </c>
    </row>
    <row r="194" spans="2:9" x14ac:dyDescent="0.55000000000000004">
      <c r="B194" s="11">
        <f t="shared" si="46"/>
        <v>11</v>
      </c>
      <c r="C194" s="11">
        <f t="shared" si="47"/>
        <v>1</v>
      </c>
      <c r="D194" s="12">
        <f t="shared" si="40"/>
        <v>615643.94782500004</v>
      </c>
      <c r="E194" s="11" t="str">
        <f t="shared" si="41"/>
        <v>24/25</v>
      </c>
      <c r="F194" s="11" t="str">
        <f t="shared" si="42"/>
        <v>Oct</v>
      </c>
      <c r="G194" s="11" t="str">
        <f t="shared" si="43"/>
        <v>Oct'24/25</v>
      </c>
      <c r="H194" s="11" t="str">
        <f t="shared" si="44"/>
        <v>Oct'24/25</v>
      </c>
      <c r="I194" s="11">
        <f t="shared" si="45"/>
        <v>6.1678630710833335</v>
      </c>
    </row>
    <row r="195" spans="2:9" x14ac:dyDescent="0.55000000000000004">
      <c r="B195" s="11">
        <f t="shared" si="46"/>
        <v>11</v>
      </c>
      <c r="C195" s="11">
        <f t="shared" si="47"/>
        <v>2</v>
      </c>
      <c r="D195" s="12">
        <f t="shared" si="40"/>
        <v>511985.18040000007</v>
      </c>
      <c r="E195" s="11" t="str">
        <f t="shared" si="41"/>
        <v>24/25</v>
      </c>
      <c r="F195" s="11" t="str">
        <f t="shared" si="42"/>
        <v>Nov</v>
      </c>
      <c r="G195" s="11" t="str">
        <f t="shared" si="43"/>
        <v>Nov'24/25</v>
      </c>
      <c r="H195" s="11" t="str">
        <f t="shared" si="44"/>
        <v>Nov'24/25</v>
      </c>
      <c r="I195" s="11">
        <f t="shared" si="45"/>
        <v>6.3774495393166664</v>
      </c>
    </row>
    <row r="196" spans="2:9" x14ac:dyDescent="0.55000000000000004">
      <c r="B196" s="11">
        <f t="shared" si="46"/>
        <v>11</v>
      </c>
      <c r="C196" s="11">
        <f t="shared" si="47"/>
        <v>3</v>
      </c>
      <c r="D196" s="12">
        <f t="shared" si="40"/>
        <v>496538.89433333348</v>
      </c>
      <c r="E196" s="11" t="str">
        <f t="shared" si="41"/>
        <v>24/25</v>
      </c>
      <c r="F196" s="11" t="str">
        <f t="shared" si="42"/>
        <v>Dec</v>
      </c>
      <c r="G196" s="11" t="str">
        <f t="shared" si="43"/>
        <v>Dec'24/25</v>
      </c>
      <c r="H196" s="11" t="str">
        <f t="shared" si="44"/>
        <v>Dec'24/25</v>
      </c>
      <c r="I196" s="11">
        <f t="shared" si="45"/>
        <v>6.6216980029500006</v>
      </c>
    </row>
    <row r="197" spans="2:9" x14ac:dyDescent="0.55000000000000004">
      <c r="B197" s="11">
        <f t="shared" si="46"/>
        <v>11</v>
      </c>
      <c r="C197" s="11">
        <f t="shared" si="47"/>
        <v>4</v>
      </c>
      <c r="D197" s="12">
        <f t="shared" si="40"/>
        <v>345167.64532500005</v>
      </c>
      <c r="E197" s="11" t="str">
        <f t="shared" si="41"/>
        <v>24/25</v>
      </c>
      <c r="F197" s="11" t="str">
        <f t="shared" si="42"/>
        <v>Jan</v>
      </c>
      <c r="G197" s="11" t="str">
        <f t="shared" si="43"/>
        <v>Jan'24/25</v>
      </c>
      <c r="H197" s="11" t="str">
        <f t="shared" si="44"/>
        <v>Jan'24/25</v>
      </c>
      <c r="I197" s="11">
        <f t="shared" si="45"/>
        <v>6.7518620047750009</v>
      </c>
    </row>
    <row r="198" spans="2:9" x14ac:dyDescent="0.55000000000000004">
      <c r="B198" s="11">
        <f t="shared" si="46"/>
        <v>11</v>
      </c>
      <c r="C198" s="11">
        <f t="shared" si="47"/>
        <v>5</v>
      </c>
      <c r="D198" s="12">
        <f t="shared" si="40"/>
        <v>462975.67166666669</v>
      </c>
      <c r="E198" s="11" t="str">
        <f t="shared" si="41"/>
        <v>24/25</v>
      </c>
      <c r="F198" s="11" t="str">
        <f t="shared" si="42"/>
        <v>Feb</v>
      </c>
      <c r="G198" s="11" t="str">
        <f t="shared" si="43"/>
        <v>Feb'24/25</v>
      </c>
      <c r="H198" s="11" t="str">
        <f t="shared" si="44"/>
        <v>Feb'24/25</v>
      </c>
      <c r="I198" s="11">
        <f t="shared" si="45"/>
        <v>6.8930968081916673</v>
      </c>
    </row>
    <row r="199" spans="2:9" x14ac:dyDescent="0.55000000000000004">
      <c r="B199" s="11">
        <f t="shared" si="46"/>
        <v>11</v>
      </c>
      <c r="C199" s="11">
        <f t="shared" si="47"/>
        <v>6</v>
      </c>
      <c r="D199" s="12">
        <f t="shared" si="40"/>
        <v>710116</v>
      </c>
      <c r="E199" s="11" t="str">
        <f t="shared" si="41"/>
        <v>24/25</v>
      </c>
      <c r="F199" s="11" t="str">
        <f t="shared" si="42"/>
        <v>Mar</v>
      </c>
      <c r="G199" s="11" t="str">
        <f t="shared" si="43"/>
        <v>Mar'24/25</v>
      </c>
      <c r="H199" s="11" t="str">
        <f t="shared" si="44"/>
        <v>Mar'24/25</v>
      </c>
      <c r="I199" s="11">
        <f t="shared" si="45"/>
        <v>7.2049191840250009</v>
      </c>
    </row>
    <row r="200" spans="2:9" x14ac:dyDescent="0.55000000000000004">
      <c r="B200" s="11">
        <f t="shared" si="46"/>
        <v>11</v>
      </c>
      <c r="C200" s="11">
        <f t="shared" si="47"/>
        <v>7</v>
      </c>
      <c r="D200" s="12">
        <f t="shared" si="40"/>
        <v>818616.66666666674</v>
      </c>
      <c r="E200" s="11" t="str">
        <f t="shared" si="41"/>
        <v>24/25</v>
      </c>
      <c r="F200" s="11" t="str">
        <f t="shared" si="42"/>
        <v>Apr</v>
      </c>
      <c r="G200" s="11" t="str">
        <f t="shared" si="43"/>
        <v>Apr'24/25</v>
      </c>
      <c r="H200" s="11" t="str">
        <f t="shared" si="44"/>
        <v>Apr'24/25</v>
      </c>
      <c r="I200" s="11">
        <f t="shared" si="45"/>
        <v>7.4231812330666687</v>
      </c>
    </row>
    <row r="201" spans="2:9" x14ac:dyDescent="0.55000000000000004">
      <c r="B201" s="11">
        <f t="shared" si="46"/>
        <v>11</v>
      </c>
      <c r="C201" s="11">
        <f t="shared" si="47"/>
        <v>8</v>
      </c>
      <c r="D201" s="12">
        <f t="shared" si="40"/>
        <v>982716.66666666674</v>
      </c>
      <c r="E201" s="11" t="str">
        <f t="shared" si="41"/>
        <v>24/25</v>
      </c>
      <c r="F201" s="11" t="str">
        <f t="shared" si="42"/>
        <v>May</v>
      </c>
      <c r="G201" s="11" t="str">
        <f t="shared" si="43"/>
        <v>May'24/25</v>
      </c>
      <c r="H201" s="11" t="str">
        <f t="shared" si="44"/>
        <v>May'24/25</v>
      </c>
      <c r="I201" s="11">
        <f t="shared" si="45"/>
        <v>7.6805901733083353</v>
      </c>
    </row>
    <row r="202" spans="2:9" x14ac:dyDescent="0.55000000000000004">
      <c r="B202" s="11">
        <f t="shared" si="46"/>
        <v>11</v>
      </c>
      <c r="C202" s="11">
        <f t="shared" si="47"/>
        <v>9</v>
      </c>
      <c r="D202" s="12">
        <f t="shared" si="40"/>
        <v>831216.66666666674</v>
      </c>
      <c r="E202" s="11" t="str">
        <f t="shared" si="41"/>
        <v>24/25</v>
      </c>
      <c r="F202" s="11" t="str">
        <f t="shared" si="42"/>
        <v>Jun</v>
      </c>
      <c r="G202" s="11" t="str">
        <f t="shared" si="43"/>
        <v>Jun'24/25</v>
      </c>
      <c r="H202" s="11" t="str">
        <f t="shared" si="44"/>
        <v>Jun'24/25</v>
      </c>
      <c r="I202" s="11">
        <f t="shared" si="45"/>
        <v>7.7543001533083338</v>
      </c>
    </row>
    <row r="203" spans="2:9" x14ac:dyDescent="0.55000000000000004">
      <c r="B203" s="11">
        <f t="shared" si="46"/>
        <v>11</v>
      </c>
      <c r="C203" s="11">
        <f t="shared" si="47"/>
        <v>10</v>
      </c>
      <c r="D203" s="12">
        <f t="shared" ref="D203:D229" si="48">INDEX($C$7:$N$19,MATCH(B203,$A$7:$A$19),MATCH(C203,$C$4:$N$4))</f>
        <v>815050</v>
      </c>
      <c r="E203" s="11" t="str">
        <f t="shared" ref="E203:E229" si="49">_xlfn.XLOOKUP(B203,$A$7:$A$19,$B$7:$B$19)</f>
        <v>24/25</v>
      </c>
      <c r="F203" s="11" t="str">
        <f t="shared" ref="F203:F229" si="50">_xlfn.XLOOKUP(C203,$C$4:$N$4,$C$6:$N$6)</f>
        <v>Jul</v>
      </c>
      <c r="G203" s="11" t="str">
        <f t="shared" ref="G203:G229" si="51">_xlfn.CONCAT(F203,"'",E203)</f>
        <v>Jul'24/25</v>
      </c>
      <c r="H203" s="11" t="str">
        <f t="shared" si="44"/>
        <v>Jul'24/25</v>
      </c>
      <c r="I203" s="11">
        <f t="shared" si="45"/>
        <v>7.8075915899250017</v>
      </c>
    </row>
    <row r="204" spans="2:9" x14ac:dyDescent="0.55000000000000004">
      <c r="B204" s="11">
        <f t="shared" si="46"/>
        <v>11</v>
      </c>
      <c r="C204" s="11">
        <f t="shared" si="47"/>
        <v>11</v>
      </c>
      <c r="D204" s="12">
        <f t="shared" si="48"/>
        <v>594383.33333333337</v>
      </c>
      <c r="E204" s="11" t="str">
        <f t="shared" si="49"/>
        <v>24/25</v>
      </c>
      <c r="F204" s="11" t="str">
        <f t="shared" si="50"/>
        <v>Aug</v>
      </c>
      <c r="G204" s="11" t="str">
        <f t="shared" si="51"/>
        <v>Aug'24/25</v>
      </c>
      <c r="H204" s="11" t="str">
        <f t="shared" si="44"/>
        <v>Aug'24/25</v>
      </c>
      <c r="I204" s="11">
        <f t="shared" si="45"/>
        <v>7.7611569586333333</v>
      </c>
    </row>
    <row r="205" spans="2:9" x14ac:dyDescent="0.55000000000000004">
      <c r="B205" s="11">
        <f t="shared" si="46"/>
        <v>11</v>
      </c>
      <c r="C205" s="11">
        <f t="shared" si="47"/>
        <v>12</v>
      </c>
      <c r="D205" s="12">
        <f t="shared" si="48"/>
        <v>438116.66666666669</v>
      </c>
      <c r="E205" s="11" t="str">
        <f t="shared" si="49"/>
        <v>24/25</v>
      </c>
      <c r="F205" s="11" t="str">
        <f t="shared" si="50"/>
        <v>Sep</v>
      </c>
      <c r="G205" s="11" t="str">
        <f t="shared" si="51"/>
        <v>Sep'24/25</v>
      </c>
      <c r="H205" s="11" t="str">
        <f t="shared" si="44"/>
        <v>Sep'24/25</v>
      </c>
      <c r="I205" s="11">
        <f t="shared" si="45"/>
        <v>7.6225273395500013</v>
      </c>
    </row>
    <row r="206" spans="2:9" x14ac:dyDescent="0.55000000000000004">
      <c r="B206" s="11">
        <f t="shared" si="46"/>
        <v>12</v>
      </c>
      <c r="C206" s="11">
        <f t="shared" si="47"/>
        <v>1</v>
      </c>
      <c r="D206" s="12">
        <f t="shared" si="48"/>
        <v>622033.33333333337</v>
      </c>
      <c r="E206" s="11" t="str">
        <f t="shared" si="49"/>
        <v>25/26</v>
      </c>
      <c r="F206" s="11" t="str">
        <f t="shared" si="50"/>
        <v>Oct</v>
      </c>
      <c r="G206" s="11" t="str">
        <f t="shared" si="51"/>
        <v>Oct'25/26</v>
      </c>
      <c r="H206" s="11" t="str">
        <f t="shared" si="44"/>
        <v>Oct'25/26</v>
      </c>
      <c r="I206" s="11">
        <f t="shared" si="45"/>
        <v>7.6289167250583336</v>
      </c>
    </row>
    <row r="207" spans="2:9" x14ac:dyDescent="0.55000000000000004">
      <c r="B207" s="11">
        <f t="shared" si="46"/>
        <v>12</v>
      </c>
      <c r="C207" s="11">
        <f t="shared" si="47"/>
        <v>2</v>
      </c>
      <c r="D207" s="12">
        <f t="shared" si="48"/>
        <v>463166.66666666669</v>
      </c>
      <c r="E207" s="11" t="str">
        <f t="shared" si="49"/>
        <v>25/26</v>
      </c>
      <c r="F207" s="11" t="str">
        <f t="shared" si="50"/>
        <v>Nov</v>
      </c>
      <c r="G207" s="11" t="str">
        <f t="shared" si="51"/>
        <v>Nov'25/26</v>
      </c>
      <c r="H207" s="11" t="str">
        <f t="shared" si="44"/>
        <v>Nov'25/26</v>
      </c>
      <c r="I207" s="11">
        <f t="shared" si="45"/>
        <v>7.5800982113250006</v>
      </c>
    </row>
    <row r="208" spans="2:9" x14ac:dyDescent="0.55000000000000004">
      <c r="B208" s="11">
        <f t="shared" si="46"/>
        <v>12</v>
      </c>
      <c r="C208" s="11">
        <f t="shared" si="47"/>
        <v>3</v>
      </c>
      <c r="D208" s="12">
        <f t="shared" si="48"/>
        <v>436116.66666666669</v>
      </c>
      <c r="E208" s="11" t="str">
        <f t="shared" si="49"/>
        <v>25/26</v>
      </c>
      <c r="F208" s="11" t="str">
        <f t="shared" si="50"/>
        <v>Dec</v>
      </c>
      <c r="G208" s="11" t="str">
        <f t="shared" si="51"/>
        <v>Dec'25/26</v>
      </c>
      <c r="H208" s="11" t="str">
        <f t="shared" si="44"/>
        <v>Dec'25/26</v>
      </c>
      <c r="I208" s="11">
        <f t="shared" si="45"/>
        <v>7.5196759836583347</v>
      </c>
    </row>
    <row r="209" spans="2:9" x14ac:dyDescent="0.55000000000000004">
      <c r="B209" s="11">
        <f t="shared" si="46"/>
        <v>12</v>
      </c>
      <c r="C209" s="11">
        <f t="shared" si="47"/>
        <v>4</v>
      </c>
      <c r="D209" s="12">
        <f t="shared" si="48"/>
        <v>287116.66666666669</v>
      </c>
      <c r="E209" s="11" t="str">
        <f t="shared" si="49"/>
        <v>25/26</v>
      </c>
      <c r="F209" s="11" t="str">
        <f t="shared" si="50"/>
        <v>Jan</v>
      </c>
      <c r="G209" s="11" t="str">
        <f t="shared" si="51"/>
        <v>Jan'25/26</v>
      </c>
      <c r="H209" s="11" t="str">
        <f t="shared" si="44"/>
        <v>Jan'25/26</v>
      </c>
      <c r="I209" s="11">
        <f t="shared" si="45"/>
        <v>7.461625005000001</v>
      </c>
    </row>
    <row r="210" spans="2:9" x14ac:dyDescent="0.55000000000000004">
      <c r="B210" s="11">
        <f t="shared" si="46"/>
        <v>12</v>
      </c>
      <c r="C210" s="11">
        <f t="shared" si="47"/>
        <v>5</v>
      </c>
      <c r="D210" s="12">
        <f t="shared" si="48"/>
        <v>325883.33333333337</v>
      </c>
      <c r="E210" s="11" t="str">
        <f t="shared" si="49"/>
        <v>25/26</v>
      </c>
      <c r="F210" s="11" t="str">
        <f t="shared" si="50"/>
        <v>Feb</v>
      </c>
      <c r="G210" s="11" t="str">
        <f t="shared" si="51"/>
        <v>Feb'25/26</v>
      </c>
      <c r="H210" s="11" t="str">
        <f t="shared" si="44"/>
        <v>Feb'25/26</v>
      </c>
      <c r="I210" s="11">
        <f t="shared" si="45"/>
        <v>7.3245326666666672</v>
      </c>
    </row>
    <row r="211" spans="2:9" x14ac:dyDescent="0.55000000000000004">
      <c r="B211" s="11">
        <f t="shared" si="46"/>
        <v>12</v>
      </c>
      <c r="C211" s="11">
        <f t="shared" si="47"/>
        <v>6</v>
      </c>
      <c r="D211" s="12">
        <f t="shared" si="48"/>
        <v>442700</v>
      </c>
      <c r="E211" s="11" t="str">
        <f t="shared" si="49"/>
        <v>25/26</v>
      </c>
      <c r="F211" s="11" t="str">
        <f t="shared" si="50"/>
        <v>Mar</v>
      </c>
      <c r="G211" s="11" t="str">
        <f t="shared" si="51"/>
        <v>Mar'25/26</v>
      </c>
      <c r="H211" s="11" t="str">
        <f t="shared" si="44"/>
        <v>Mar'25/26</v>
      </c>
      <c r="I211" s="11">
        <f t="shared" si="45"/>
        <v>7.0571166666666674</v>
      </c>
    </row>
    <row r="212" spans="2:9" x14ac:dyDescent="0.55000000000000004">
      <c r="B212" s="11">
        <f t="shared" si="46"/>
        <v>12</v>
      </c>
      <c r="C212" s="11">
        <f t="shared" si="47"/>
        <v>7</v>
      </c>
      <c r="D212" s="12">
        <f t="shared" si="48"/>
        <v>702633.33333333337</v>
      </c>
      <c r="E212" s="11" t="str">
        <f t="shared" si="49"/>
        <v>25/26</v>
      </c>
      <c r="F212" s="11" t="str">
        <f t="shared" si="50"/>
        <v>Apr</v>
      </c>
      <c r="G212" s="11" t="str">
        <f t="shared" si="51"/>
        <v>Apr'25/26</v>
      </c>
      <c r="H212" s="11" t="str">
        <f t="shared" si="44"/>
        <v>Apr'25/26</v>
      </c>
      <c r="I212" s="11">
        <f t="shared" si="45"/>
        <v>6.941133333333334</v>
      </c>
    </row>
    <row r="213" spans="2:9" x14ac:dyDescent="0.55000000000000004">
      <c r="B213" s="11">
        <f t="shared" si="46"/>
        <v>12</v>
      </c>
      <c r="C213" s="11">
        <f t="shared" si="47"/>
        <v>8</v>
      </c>
      <c r="D213" s="12">
        <f t="shared" si="48"/>
        <v>694150</v>
      </c>
      <c r="E213" s="11" t="str">
        <f t="shared" si="49"/>
        <v>25/26</v>
      </c>
      <c r="F213" s="11" t="str">
        <f t="shared" si="50"/>
        <v>May</v>
      </c>
      <c r="G213" s="11" t="str">
        <f t="shared" si="51"/>
        <v>May'25/26</v>
      </c>
      <c r="H213" s="11" t="str">
        <f t="shared" si="44"/>
        <v>May'25/26</v>
      </c>
      <c r="I213" s="11">
        <f t="shared" si="45"/>
        <v>6.6525666666666661</v>
      </c>
    </row>
    <row r="214" spans="2:9" x14ac:dyDescent="0.55000000000000004">
      <c r="B214" s="11">
        <f t="shared" si="46"/>
        <v>12</v>
      </c>
      <c r="C214" s="11">
        <f t="shared" si="47"/>
        <v>9</v>
      </c>
      <c r="D214" s="12" t="e">
        <f t="shared" si="48"/>
        <v>#N/A</v>
      </c>
      <c r="E214" s="11" t="str">
        <f t="shared" si="49"/>
        <v>25/26</v>
      </c>
      <c r="F214" s="11" t="str">
        <f t="shared" si="50"/>
        <v>Jun</v>
      </c>
      <c r="G214" s="11" t="str">
        <f t="shared" si="51"/>
        <v>Jun'25/26</v>
      </c>
      <c r="H214" s="11" t="str">
        <f t="shared" ref="H214:H229" si="52">G214</f>
        <v>Jun'25/26</v>
      </c>
      <c r="I214" s="11" t="e">
        <f t="shared" ref="I214:I229" si="53">SUM(D203:D214)/1000000</f>
        <v>#N/A</v>
      </c>
    </row>
    <row r="215" spans="2:9" x14ac:dyDescent="0.55000000000000004">
      <c r="B215" s="11">
        <f t="shared" ref="B215:B229" si="54">B203+1</f>
        <v>12</v>
      </c>
      <c r="C215" s="11">
        <f t="shared" ref="C215:C229" si="55">C203</f>
        <v>10</v>
      </c>
      <c r="D215" s="12" t="e">
        <f t="shared" si="48"/>
        <v>#N/A</v>
      </c>
      <c r="E215" s="11" t="str">
        <f t="shared" si="49"/>
        <v>25/26</v>
      </c>
      <c r="F215" s="11" t="str">
        <f t="shared" si="50"/>
        <v>Jul</v>
      </c>
      <c r="G215" s="11" t="str">
        <f t="shared" si="51"/>
        <v>Jul'25/26</v>
      </c>
      <c r="H215" s="11" t="str">
        <f t="shared" si="52"/>
        <v>Jul'25/26</v>
      </c>
      <c r="I215" s="11" t="e">
        <f t="shared" si="53"/>
        <v>#N/A</v>
      </c>
    </row>
    <row r="216" spans="2:9" x14ac:dyDescent="0.55000000000000004">
      <c r="B216" s="11">
        <f t="shared" si="54"/>
        <v>12</v>
      </c>
      <c r="C216" s="11">
        <f t="shared" si="55"/>
        <v>11</v>
      </c>
      <c r="D216" s="12" t="e">
        <f t="shared" si="48"/>
        <v>#N/A</v>
      </c>
      <c r="E216" s="11" t="str">
        <f t="shared" si="49"/>
        <v>25/26</v>
      </c>
      <c r="F216" s="11" t="str">
        <f t="shared" si="50"/>
        <v>Aug</v>
      </c>
      <c r="G216" s="11" t="str">
        <f t="shared" si="51"/>
        <v>Aug'25/26</v>
      </c>
      <c r="H216" s="11" t="str">
        <f t="shared" si="52"/>
        <v>Aug'25/26</v>
      </c>
      <c r="I216" s="11" t="e">
        <f t="shared" si="53"/>
        <v>#N/A</v>
      </c>
    </row>
    <row r="217" spans="2:9" x14ac:dyDescent="0.55000000000000004">
      <c r="B217" s="11">
        <f t="shared" si="54"/>
        <v>12</v>
      </c>
      <c r="C217" s="11">
        <f t="shared" si="55"/>
        <v>12</v>
      </c>
      <c r="D217" s="12" t="e">
        <f t="shared" si="48"/>
        <v>#N/A</v>
      </c>
      <c r="E217" s="11" t="str">
        <f t="shared" si="49"/>
        <v>25/26</v>
      </c>
      <c r="F217" s="11" t="str">
        <f t="shared" si="50"/>
        <v>Sep</v>
      </c>
      <c r="G217" s="11" t="str">
        <f t="shared" si="51"/>
        <v>Sep'25/26</v>
      </c>
      <c r="H217" s="11" t="str">
        <f t="shared" si="52"/>
        <v>Sep'25/26</v>
      </c>
      <c r="I217" s="11" t="e">
        <f t="shared" si="53"/>
        <v>#N/A</v>
      </c>
    </row>
    <row r="218" spans="2:9" x14ac:dyDescent="0.55000000000000004">
      <c r="B218" s="11">
        <f t="shared" si="54"/>
        <v>13</v>
      </c>
      <c r="C218" s="11">
        <f t="shared" si="55"/>
        <v>1</v>
      </c>
      <c r="D218" s="12" t="e">
        <f t="shared" si="48"/>
        <v>#N/A</v>
      </c>
      <c r="E218" s="11" t="str">
        <f t="shared" si="49"/>
        <v>26/27</v>
      </c>
      <c r="F218" s="11" t="str">
        <f t="shared" si="50"/>
        <v>Oct</v>
      </c>
      <c r="G218" s="11" t="str">
        <f t="shared" si="51"/>
        <v>Oct'26/27</v>
      </c>
      <c r="H218" s="11" t="str">
        <f t="shared" si="52"/>
        <v>Oct'26/27</v>
      </c>
      <c r="I218" s="11" t="e">
        <f t="shared" si="53"/>
        <v>#N/A</v>
      </c>
    </row>
    <row r="219" spans="2:9" x14ac:dyDescent="0.55000000000000004">
      <c r="B219" s="11">
        <f t="shared" si="54"/>
        <v>13</v>
      </c>
      <c r="C219" s="11">
        <f t="shared" si="55"/>
        <v>2</v>
      </c>
      <c r="D219" s="12" t="e">
        <f t="shared" si="48"/>
        <v>#N/A</v>
      </c>
      <c r="E219" s="11" t="str">
        <f t="shared" si="49"/>
        <v>26/27</v>
      </c>
      <c r="F219" s="11" t="str">
        <f t="shared" si="50"/>
        <v>Nov</v>
      </c>
      <c r="G219" s="11" t="str">
        <f t="shared" si="51"/>
        <v>Nov'26/27</v>
      </c>
      <c r="H219" s="11" t="str">
        <f t="shared" si="52"/>
        <v>Nov'26/27</v>
      </c>
      <c r="I219" s="11" t="e">
        <f t="shared" si="53"/>
        <v>#N/A</v>
      </c>
    </row>
    <row r="220" spans="2:9" x14ac:dyDescent="0.55000000000000004">
      <c r="B220" s="11">
        <f t="shared" si="54"/>
        <v>13</v>
      </c>
      <c r="C220" s="11">
        <f t="shared" si="55"/>
        <v>3</v>
      </c>
      <c r="D220" s="12" t="e">
        <f t="shared" si="48"/>
        <v>#N/A</v>
      </c>
      <c r="E220" s="11" t="str">
        <f t="shared" si="49"/>
        <v>26/27</v>
      </c>
      <c r="F220" s="11" t="str">
        <f t="shared" si="50"/>
        <v>Dec</v>
      </c>
      <c r="G220" s="11" t="str">
        <f t="shared" si="51"/>
        <v>Dec'26/27</v>
      </c>
      <c r="H220" s="11" t="str">
        <f t="shared" si="52"/>
        <v>Dec'26/27</v>
      </c>
      <c r="I220" s="11" t="e">
        <f t="shared" si="53"/>
        <v>#N/A</v>
      </c>
    </row>
    <row r="221" spans="2:9" x14ac:dyDescent="0.55000000000000004">
      <c r="B221" s="11">
        <f t="shared" si="54"/>
        <v>13</v>
      </c>
      <c r="C221" s="11">
        <f t="shared" si="55"/>
        <v>4</v>
      </c>
      <c r="D221" s="12" t="e">
        <f t="shared" si="48"/>
        <v>#N/A</v>
      </c>
      <c r="E221" s="11" t="str">
        <f t="shared" si="49"/>
        <v>26/27</v>
      </c>
      <c r="F221" s="11" t="str">
        <f t="shared" si="50"/>
        <v>Jan</v>
      </c>
      <c r="G221" s="11" t="str">
        <f t="shared" si="51"/>
        <v>Jan'26/27</v>
      </c>
      <c r="H221" s="11" t="str">
        <f t="shared" si="52"/>
        <v>Jan'26/27</v>
      </c>
      <c r="I221" s="11" t="e">
        <f t="shared" si="53"/>
        <v>#N/A</v>
      </c>
    </row>
    <row r="222" spans="2:9" x14ac:dyDescent="0.55000000000000004">
      <c r="B222" s="11">
        <f t="shared" si="54"/>
        <v>13</v>
      </c>
      <c r="C222" s="11">
        <f t="shared" si="55"/>
        <v>5</v>
      </c>
      <c r="D222" s="12" t="e">
        <f t="shared" si="48"/>
        <v>#N/A</v>
      </c>
      <c r="E222" s="11" t="str">
        <f t="shared" si="49"/>
        <v>26/27</v>
      </c>
      <c r="F222" s="11" t="str">
        <f t="shared" si="50"/>
        <v>Feb</v>
      </c>
      <c r="G222" s="11" t="str">
        <f t="shared" si="51"/>
        <v>Feb'26/27</v>
      </c>
      <c r="H222" s="11" t="str">
        <f t="shared" si="52"/>
        <v>Feb'26/27</v>
      </c>
      <c r="I222" s="11" t="e">
        <f t="shared" si="53"/>
        <v>#N/A</v>
      </c>
    </row>
    <row r="223" spans="2:9" x14ac:dyDescent="0.55000000000000004">
      <c r="B223" s="11">
        <f t="shared" si="54"/>
        <v>13</v>
      </c>
      <c r="C223" s="11">
        <f t="shared" si="55"/>
        <v>6</v>
      </c>
      <c r="D223" s="12" t="e">
        <f t="shared" si="48"/>
        <v>#N/A</v>
      </c>
      <c r="E223" s="11" t="str">
        <f t="shared" si="49"/>
        <v>26/27</v>
      </c>
      <c r="F223" s="11" t="str">
        <f t="shared" si="50"/>
        <v>Mar</v>
      </c>
      <c r="G223" s="11" t="str">
        <f t="shared" si="51"/>
        <v>Mar'26/27</v>
      </c>
      <c r="H223" s="11" t="str">
        <f t="shared" si="52"/>
        <v>Mar'26/27</v>
      </c>
      <c r="I223" s="11" t="e">
        <f t="shared" si="53"/>
        <v>#N/A</v>
      </c>
    </row>
    <row r="224" spans="2:9" x14ac:dyDescent="0.55000000000000004">
      <c r="B224" s="11">
        <f t="shared" si="54"/>
        <v>13</v>
      </c>
      <c r="C224" s="11">
        <f t="shared" si="55"/>
        <v>7</v>
      </c>
      <c r="D224" s="12" t="e">
        <f t="shared" si="48"/>
        <v>#N/A</v>
      </c>
      <c r="E224" s="11" t="str">
        <f t="shared" si="49"/>
        <v>26/27</v>
      </c>
      <c r="F224" s="11" t="str">
        <f t="shared" si="50"/>
        <v>Apr</v>
      </c>
      <c r="G224" s="11" t="str">
        <f t="shared" si="51"/>
        <v>Apr'26/27</v>
      </c>
      <c r="H224" s="11" t="str">
        <f t="shared" si="52"/>
        <v>Apr'26/27</v>
      </c>
      <c r="I224" s="11" t="e">
        <f t="shared" si="53"/>
        <v>#N/A</v>
      </c>
    </row>
    <row r="225" spans="2:9" x14ac:dyDescent="0.55000000000000004">
      <c r="B225" s="11">
        <f t="shared" si="54"/>
        <v>13</v>
      </c>
      <c r="C225" s="11">
        <f t="shared" si="55"/>
        <v>8</v>
      </c>
      <c r="D225" s="12" t="e">
        <f t="shared" si="48"/>
        <v>#N/A</v>
      </c>
      <c r="E225" s="11" t="str">
        <f t="shared" si="49"/>
        <v>26/27</v>
      </c>
      <c r="F225" s="11" t="str">
        <f t="shared" si="50"/>
        <v>May</v>
      </c>
      <c r="G225" s="11" t="str">
        <f t="shared" si="51"/>
        <v>May'26/27</v>
      </c>
      <c r="H225" s="11" t="str">
        <f t="shared" si="52"/>
        <v>May'26/27</v>
      </c>
      <c r="I225" s="11" t="e">
        <f t="shared" si="53"/>
        <v>#N/A</v>
      </c>
    </row>
    <row r="226" spans="2:9" x14ac:dyDescent="0.55000000000000004">
      <c r="B226" s="11">
        <f t="shared" si="54"/>
        <v>13</v>
      </c>
      <c r="C226" s="11">
        <f t="shared" si="55"/>
        <v>9</v>
      </c>
      <c r="D226" s="12" t="e">
        <f t="shared" si="48"/>
        <v>#N/A</v>
      </c>
      <c r="E226" s="11" t="str">
        <f t="shared" si="49"/>
        <v>26/27</v>
      </c>
      <c r="F226" s="11" t="str">
        <f t="shared" si="50"/>
        <v>Jun</v>
      </c>
      <c r="G226" s="11" t="str">
        <f t="shared" si="51"/>
        <v>Jun'26/27</v>
      </c>
      <c r="H226" s="11" t="str">
        <f t="shared" si="52"/>
        <v>Jun'26/27</v>
      </c>
      <c r="I226" s="11" t="e">
        <f t="shared" si="53"/>
        <v>#N/A</v>
      </c>
    </row>
    <row r="227" spans="2:9" x14ac:dyDescent="0.55000000000000004">
      <c r="B227" s="11">
        <f t="shared" si="54"/>
        <v>13</v>
      </c>
      <c r="C227" s="11">
        <f t="shared" si="55"/>
        <v>10</v>
      </c>
      <c r="D227" s="12" t="e">
        <f t="shared" si="48"/>
        <v>#N/A</v>
      </c>
      <c r="E227" s="11" t="str">
        <f t="shared" si="49"/>
        <v>26/27</v>
      </c>
      <c r="F227" s="11" t="str">
        <f t="shared" si="50"/>
        <v>Jul</v>
      </c>
      <c r="G227" s="11" t="str">
        <f t="shared" si="51"/>
        <v>Jul'26/27</v>
      </c>
      <c r="H227" s="11" t="str">
        <f t="shared" si="52"/>
        <v>Jul'26/27</v>
      </c>
      <c r="I227" s="11" t="e">
        <f t="shared" si="53"/>
        <v>#N/A</v>
      </c>
    </row>
    <row r="228" spans="2:9" x14ac:dyDescent="0.55000000000000004">
      <c r="B228" s="11">
        <f t="shared" si="54"/>
        <v>13</v>
      </c>
      <c r="C228" s="11">
        <f t="shared" si="55"/>
        <v>11</v>
      </c>
      <c r="D228" s="12" t="e">
        <f t="shared" si="48"/>
        <v>#N/A</v>
      </c>
      <c r="E228" s="11" t="str">
        <f t="shared" si="49"/>
        <v>26/27</v>
      </c>
      <c r="F228" s="11" t="str">
        <f t="shared" si="50"/>
        <v>Aug</v>
      </c>
      <c r="G228" s="11" t="str">
        <f t="shared" si="51"/>
        <v>Aug'26/27</v>
      </c>
      <c r="H228" s="11" t="str">
        <f t="shared" si="52"/>
        <v>Aug'26/27</v>
      </c>
      <c r="I228" s="11" t="e">
        <f t="shared" si="53"/>
        <v>#N/A</v>
      </c>
    </row>
    <row r="229" spans="2:9" x14ac:dyDescent="0.55000000000000004">
      <c r="B229" s="11">
        <f t="shared" si="54"/>
        <v>13</v>
      </c>
      <c r="C229" s="11">
        <f t="shared" si="55"/>
        <v>12</v>
      </c>
      <c r="D229" s="12" t="e">
        <f t="shared" si="48"/>
        <v>#N/A</v>
      </c>
      <c r="E229" s="11" t="str">
        <f t="shared" si="49"/>
        <v>26/27</v>
      </c>
      <c r="F229" s="11" t="str">
        <f t="shared" si="50"/>
        <v>Sep</v>
      </c>
      <c r="G229" s="11" t="str">
        <f t="shared" si="51"/>
        <v>Sep'26/27</v>
      </c>
      <c r="H229" s="11" t="str">
        <f t="shared" si="52"/>
        <v>Sep'26/27</v>
      </c>
      <c r="I229" s="11" t="e">
        <f t="shared" si="53"/>
        <v>#N/A</v>
      </c>
    </row>
  </sheetData>
  <mergeCells count="4">
    <mergeCell ref="A1:Y2"/>
    <mergeCell ref="C5:N5"/>
    <mergeCell ref="S6:U6"/>
    <mergeCell ref="N74:Y74"/>
  </mergeCells>
  <conditionalFormatting sqref="C7:N19">
    <cfRule type="cellIs" dxfId="10" priority="1" operator="greaterThanOrEqual">
      <formula>0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{81D29C9D-CF13-4635-BCFB-8A36C55CF227}</x14:id>
        </ext>
      </extLst>
    </cfRule>
  </conditionalFormatting>
  <conditionalFormatting sqref="Q18:Q1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{D7AA4752-2690-45D9-97B8-E6F54E7E4ECE}</x14:id>
        </ext>
      </extLst>
    </cfRule>
  </conditionalFormatting>
  <conditionalFormatting sqref="T7:T1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{5361BABD-4198-43BA-B0C5-0850E9DC2C2A}</x14:id>
        </ext>
      </extLst>
    </cfRule>
  </conditionalFormatting>
  <conditionalFormatting sqref="U1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{E4444B3B-6538-41D9-A224-1332B0C0CE95}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29C9D-CF13-4635-BCFB-8A36C55CF2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Q8:Q17</xm:sqref>
        </x14:conditionalFormatting>
        <x14:conditionalFormatting xmlns:xm="http://schemas.microsoft.com/office/excel/2006/main">
          <x14:cfRule type="dataBar" id="{D7AA4752-2690-45D9-97B8-E6F54E7E4E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Q18:Q19</xm:sqref>
        </x14:conditionalFormatting>
        <x14:conditionalFormatting xmlns:xm="http://schemas.microsoft.com/office/excel/2006/main">
          <x14:cfRule type="dataBar" id="{5361BABD-4198-43BA-B0C5-0850E9DC2C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E4444B3B-6538-41D9-A224-1332B0C0CE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EC2E-5CEC-4B1F-8CDB-67677EFACBA2}">
  <sheetPr codeName="Sheet6"/>
  <dimension ref="A1:AI229"/>
  <sheetViews>
    <sheetView showGridLines="0" zoomScale="70" zoomScaleNormal="70" workbookViewId="0">
      <selection activeCell="B6" sqref="B6:N18"/>
    </sheetView>
  </sheetViews>
  <sheetFormatPr defaultColWidth="8.83984375" defaultRowHeight="14.4" x14ac:dyDescent="0.55000000000000004"/>
  <cols>
    <col min="1" max="16384" width="8.83984375" style="11"/>
  </cols>
  <sheetData>
    <row r="1" spans="1:35" s="17" customFormat="1" ht="25.8" x14ac:dyDescent="0.55000000000000004">
      <c r="A1" s="73" t="s">
        <v>72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Oct-May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Peru : Coffee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Oct-May</v>
      </c>
      <c r="T6" s="75"/>
      <c r="U6" s="75"/>
    </row>
    <row r="7" spans="1:35" x14ac:dyDescent="0.55000000000000004">
      <c r="A7" s="14">
        <v>1</v>
      </c>
      <c r="B7" s="6" t="s">
        <v>15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6" t="s">
        <v>15</v>
      </c>
      <c r="P7" s="20" t="str">
        <f t="shared" ref="P7:P19" si="0">IF(COUNT(C7:N7)=12,SUM(C7:N7),"")</f>
        <v/>
      </c>
      <c r="Q7" s="2"/>
      <c r="R7" s="2"/>
      <c r="S7" s="6" t="s">
        <v>15</v>
      </c>
      <c r="T7" s="20" t="str">
        <f ca="1">IFERROR(IF(SUM(OFFSET(C7,0,0,1,$C$56))=0,"",SUM(OFFSET(C7,0,0,1,$C$56))),"")</f>
        <v/>
      </c>
      <c r="U7" s="2"/>
    </row>
    <row r="8" spans="1:35" x14ac:dyDescent="0.55000000000000004">
      <c r="A8" s="14">
        <v>2</v>
      </c>
      <c r="B8" s="6" t="s">
        <v>16</v>
      </c>
      <c r="C8" s="23">
        <v>603273.10225766664</v>
      </c>
      <c r="D8" s="23">
        <v>564025.26750866673</v>
      </c>
      <c r="E8" s="23">
        <v>476711.90327933338</v>
      </c>
      <c r="F8" s="23">
        <v>159607.81213333333</v>
      </c>
      <c r="G8" s="23">
        <v>120958.64244833334</v>
      </c>
      <c r="H8" s="23">
        <v>111177.12384000001</v>
      </c>
      <c r="I8" s="23">
        <v>58556.828700000005</v>
      </c>
      <c r="J8" s="23">
        <v>79056.154968333343</v>
      </c>
      <c r="K8" s="23">
        <v>165547.15692499999</v>
      </c>
      <c r="L8" s="23">
        <v>368095.81802000001</v>
      </c>
      <c r="M8" s="23">
        <v>624792.59302999999</v>
      </c>
      <c r="N8" s="23">
        <v>621104.52845833346</v>
      </c>
      <c r="O8" s="6" t="s">
        <v>16</v>
      </c>
      <c r="P8" s="20">
        <f t="shared" si="0"/>
        <v>3952906.9315690002</v>
      </c>
      <c r="Q8" s="7" t="str">
        <f t="shared" ref="Q8:Q16" si="1">IFERROR(P8/P7-1,"")</f>
        <v/>
      </c>
      <c r="R8" s="2"/>
      <c r="S8" s="6" t="s">
        <v>16</v>
      </c>
      <c r="T8" s="20">
        <f t="shared" ref="T8:T19" ca="1" si="2">IFERROR(IF(SUM(OFFSET(C8,0,0,1,$C$56))=0,"",SUM(OFFSET(C8,0,0,1,$C$56))),"")</f>
        <v>2173366.8351356667</v>
      </c>
      <c r="U8" s="7" t="str">
        <f t="shared" ref="U8:U18" ca="1" si="3">IFERROR(T8/T7-1,"")</f>
        <v/>
      </c>
    </row>
    <row r="9" spans="1:35" x14ac:dyDescent="0.55000000000000004">
      <c r="A9" s="14">
        <v>3</v>
      </c>
      <c r="B9" s="6" t="s">
        <v>17</v>
      </c>
      <c r="C9" s="23">
        <v>620866.99886833341</v>
      </c>
      <c r="D9" s="23">
        <v>621166.82231999992</v>
      </c>
      <c r="E9" s="23">
        <v>549223.00270166667</v>
      </c>
      <c r="F9" s="23">
        <v>242434.6610133333</v>
      </c>
      <c r="G9" s="23">
        <v>109199.21389333333</v>
      </c>
      <c r="H9" s="23">
        <v>84514.888988333332</v>
      </c>
      <c r="I9" s="23">
        <v>45929.146191666667</v>
      </c>
      <c r="J9" s="23">
        <v>152535.308915</v>
      </c>
      <c r="K9" s="23">
        <v>225889.03268333332</v>
      </c>
      <c r="L9" s="23">
        <v>386324.83864999999</v>
      </c>
      <c r="M9" s="23">
        <v>558038.96962833346</v>
      </c>
      <c r="N9" s="23">
        <v>663082.19926333346</v>
      </c>
      <c r="O9" s="6" t="s">
        <v>17</v>
      </c>
      <c r="P9" s="20">
        <f t="shared" si="0"/>
        <v>4259205.0831166673</v>
      </c>
      <c r="Q9" s="7">
        <f t="shared" si="1"/>
        <v>7.7486810807885664E-2</v>
      </c>
      <c r="R9" s="2"/>
      <c r="S9" s="6" t="s">
        <v>17</v>
      </c>
      <c r="T9" s="20">
        <f t="shared" ca="1" si="2"/>
        <v>2425870.0428916668</v>
      </c>
      <c r="U9" s="7">
        <f t="shared" ca="1" si="3"/>
        <v>0.11618066663846838</v>
      </c>
    </row>
    <row r="10" spans="1:35" x14ac:dyDescent="0.55000000000000004">
      <c r="A10" s="14">
        <v>4</v>
      </c>
      <c r="B10" s="6" t="s">
        <v>18</v>
      </c>
      <c r="C10" s="23">
        <v>699246.32441500016</v>
      </c>
      <c r="D10" s="23">
        <v>654609.22124666686</v>
      </c>
      <c r="E10" s="23">
        <v>496709.52524833323</v>
      </c>
      <c r="F10" s="23">
        <v>272265.70384166669</v>
      </c>
      <c r="G10" s="23">
        <v>165377.17074999999</v>
      </c>
      <c r="H10" s="23">
        <v>79043.812028333341</v>
      </c>
      <c r="I10" s="23">
        <v>55530.932896666673</v>
      </c>
      <c r="J10" s="23">
        <v>115480.89510833332</v>
      </c>
      <c r="K10" s="23">
        <v>238385.15624499999</v>
      </c>
      <c r="L10" s="23">
        <v>376277.48863166664</v>
      </c>
      <c r="M10" s="23">
        <v>617224.07692000002</v>
      </c>
      <c r="N10" s="23">
        <v>686246.56855166657</v>
      </c>
      <c r="O10" s="6" t="s">
        <v>18</v>
      </c>
      <c r="P10" s="20">
        <f t="shared" si="0"/>
        <v>4456396.8758833334</v>
      </c>
      <c r="Q10" s="7">
        <f t="shared" si="1"/>
        <v>4.629779240927534E-2</v>
      </c>
      <c r="R10" s="2"/>
      <c r="S10" s="6" t="s">
        <v>18</v>
      </c>
      <c r="T10" s="20">
        <f t="shared" ca="1" si="2"/>
        <v>2538263.5855350005</v>
      </c>
      <c r="U10" s="7">
        <f t="shared" ca="1" si="3"/>
        <v>4.6331229891177328E-2</v>
      </c>
    </row>
    <row r="11" spans="1:35" x14ac:dyDescent="0.55000000000000004">
      <c r="A11" s="14">
        <v>5</v>
      </c>
      <c r="B11" s="6" t="s">
        <v>19</v>
      </c>
      <c r="C11" s="23">
        <v>845049.62895000004</v>
      </c>
      <c r="D11" s="23">
        <v>622059.97213333321</v>
      </c>
      <c r="E11" s="23">
        <v>501910.39634499996</v>
      </c>
      <c r="F11" s="23">
        <v>274622.19322500005</v>
      </c>
      <c r="G11" s="23">
        <v>119046.78180333333</v>
      </c>
      <c r="H11" s="23">
        <v>58865.133566666671</v>
      </c>
      <c r="I11" s="23">
        <v>61703.694438333354</v>
      </c>
      <c r="J11" s="23">
        <v>86927.433518333346</v>
      </c>
      <c r="K11" s="23">
        <v>182657.76676666667</v>
      </c>
      <c r="L11" s="23">
        <v>417948.33043166675</v>
      </c>
      <c r="M11" s="23">
        <v>530291.88400000008</v>
      </c>
      <c r="N11" s="23">
        <v>676803.92444166681</v>
      </c>
      <c r="O11" s="6" t="s">
        <v>19</v>
      </c>
      <c r="P11" s="20">
        <f t="shared" si="0"/>
        <v>4377887.1396200005</v>
      </c>
      <c r="Q11" s="7">
        <f t="shared" si="1"/>
        <v>-1.7617312472370639E-2</v>
      </c>
      <c r="R11" s="2"/>
      <c r="S11" s="6" t="s">
        <v>19</v>
      </c>
      <c r="T11" s="20">
        <f t="shared" ca="1" si="2"/>
        <v>2570185.23398</v>
      </c>
      <c r="U11" s="7">
        <f t="shared" ca="1" si="3"/>
        <v>1.2576175550448765E-2</v>
      </c>
    </row>
    <row r="12" spans="1:35" x14ac:dyDescent="0.55000000000000004">
      <c r="A12" s="14">
        <v>6</v>
      </c>
      <c r="B12" s="6" t="s">
        <v>20</v>
      </c>
      <c r="C12" s="23">
        <v>590875.85678000015</v>
      </c>
      <c r="D12" s="23">
        <v>549207.16330333345</v>
      </c>
      <c r="E12" s="23">
        <v>528813.00895666669</v>
      </c>
      <c r="F12" s="23">
        <v>169885.44611666669</v>
      </c>
      <c r="G12" s="23">
        <v>80773.137660000008</v>
      </c>
      <c r="H12" s="23">
        <v>36993.123366666674</v>
      </c>
      <c r="I12" s="23">
        <v>57443.824316666665</v>
      </c>
      <c r="J12" s="23">
        <v>108056.32600000002</v>
      </c>
      <c r="K12" s="23">
        <v>151061.63267500003</v>
      </c>
      <c r="L12" s="23">
        <v>364494.27547500003</v>
      </c>
      <c r="M12" s="23">
        <v>526501.2222983333</v>
      </c>
      <c r="N12" s="23">
        <v>587162.04218166659</v>
      </c>
      <c r="O12" s="6" t="s">
        <v>20</v>
      </c>
      <c r="P12" s="20">
        <f t="shared" si="0"/>
        <v>3751267.0591300004</v>
      </c>
      <c r="Q12" s="7">
        <f t="shared" si="1"/>
        <v>-0.14313299098532506</v>
      </c>
      <c r="R12" s="2"/>
      <c r="S12" s="6" t="s">
        <v>20</v>
      </c>
      <c r="T12" s="20">
        <f t="shared" ca="1" si="2"/>
        <v>2122047.8865000005</v>
      </c>
      <c r="U12" s="7">
        <f t="shared" ca="1" si="3"/>
        <v>-0.17435994167083702</v>
      </c>
    </row>
    <row r="13" spans="1:35" x14ac:dyDescent="0.55000000000000004">
      <c r="A13" s="14">
        <v>7</v>
      </c>
      <c r="B13" s="6" t="s">
        <v>21</v>
      </c>
      <c r="C13" s="23">
        <v>415830.10040833341</v>
      </c>
      <c r="D13" s="23">
        <v>523156.57553666673</v>
      </c>
      <c r="E13" s="23">
        <v>431296.28165000014</v>
      </c>
      <c r="F13" s="23">
        <v>183926.68382833331</v>
      </c>
      <c r="G13" s="23">
        <v>87231.137755000003</v>
      </c>
      <c r="H13" s="23">
        <v>62817.280278333354</v>
      </c>
      <c r="I13" s="23">
        <v>50258.801296666665</v>
      </c>
      <c r="J13" s="23">
        <v>64758.744708333354</v>
      </c>
      <c r="K13" s="23">
        <v>149565.91969333333</v>
      </c>
      <c r="L13" s="23">
        <v>262698.34537666669</v>
      </c>
      <c r="M13" s="23">
        <v>319354.37449666671</v>
      </c>
      <c r="N13" s="23">
        <v>554616.97728166659</v>
      </c>
      <c r="O13" s="6" t="s">
        <v>21</v>
      </c>
      <c r="P13" s="20">
        <f t="shared" si="0"/>
        <v>3105511.222310001</v>
      </c>
      <c r="Q13" s="7">
        <f t="shared" si="1"/>
        <v>-0.17214339225684561</v>
      </c>
      <c r="R13" s="2"/>
      <c r="S13" s="6" t="s">
        <v>21</v>
      </c>
      <c r="T13" s="20">
        <f t="shared" ca="1" si="2"/>
        <v>1819275.6054616673</v>
      </c>
      <c r="U13" s="7">
        <f t="shared" ca="1" si="3"/>
        <v>-0.14267928775995276</v>
      </c>
    </row>
    <row r="14" spans="1:35" x14ac:dyDescent="0.55000000000000004">
      <c r="A14" s="14">
        <v>8</v>
      </c>
      <c r="B14" s="6" t="s">
        <v>22</v>
      </c>
      <c r="C14" s="23">
        <v>564680.24459833337</v>
      </c>
      <c r="D14" s="23">
        <v>555440.44521999999</v>
      </c>
      <c r="E14" s="23">
        <v>566724.26891666662</v>
      </c>
      <c r="F14" s="23">
        <v>510481.16436000005</v>
      </c>
      <c r="G14" s="23">
        <v>438364.25685500004</v>
      </c>
      <c r="H14" s="23">
        <v>246661.72353333337</v>
      </c>
      <c r="I14" s="23">
        <v>107259.33783333335</v>
      </c>
      <c r="J14" s="23">
        <v>111980.52214333335</v>
      </c>
      <c r="K14" s="23">
        <v>214516.54013333336</v>
      </c>
      <c r="L14" s="23">
        <v>345258.15669666673</v>
      </c>
      <c r="M14" s="23">
        <v>519200.5262333334</v>
      </c>
      <c r="N14" s="23">
        <v>588587.19122166641</v>
      </c>
      <c r="O14" s="6" t="s">
        <v>22</v>
      </c>
      <c r="P14" s="20">
        <f t="shared" si="0"/>
        <v>4769154.3777449997</v>
      </c>
      <c r="Q14" s="7">
        <f t="shared" si="1"/>
        <v>0.53570669572319751</v>
      </c>
      <c r="R14" s="2"/>
      <c r="S14" s="6" t="s">
        <v>22</v>
      </c>
      <c r="T14" s="20">
        <f t="shared" ca="1" si="2"/>
        <v>3101591.9634599998</v>
      </c>
      <c r="U14" s="7">
        <f t="shared" ca="1" si="3"/>
        <v>0.70484997113613601</v>
      </c>
    </row>
    <row r="15" spans="1:35" x14ac:dyDescent="0.55000000000000004">
      <c r="A15" s="14">
        <v>9</v>
      </c>
      <c r="B15" s="6" t="s">
        <v>23</v>
      </c>
      <c r="C15" s="23">
        <v>541563.56504833337</v>
      </c>
      <c r="D15" s="23">
        <v>405447.31863000011</v>
      </c>
      <c r="E15" s="23">
        <v>322485.72636166669</v>
      </c>
      <c r="F15" s="23">
        <v>215112.87460666668</v>
      </c>
      <c r="G15" s="23">
        <v>78429.481545000017</v>
      </c>
      <c r="H15" s="23">
        <v>48724.747341666669</v>
      </c>
      <c r="I15" s="23">
        <v>42621.237365000001</v>
      </c>
      <c r="J15" s="23">
        <v>95305.505829999995</v>
      </c>
      <c r="K15" s="23">
        <v>133636.19315499999</v>
      </c>
      <c r="L15" s="23">
        <v>258092.01020166665</v>
      </c>
      <c r="M15" s="23">
        <v>422734.1767333335</v>
      </c>
      <c r="N15" s="23">
        <v>542129.49399166682</v>
      </c>
      <c r="O15" s="6" t="s">
        <v>23</v>
      </c>
      <c r="P15" s="20">
        <f t="shared" si="0"/>
        <v>3106282.3308100007</v>
      </c>
      <c r="Q15" s="7">
        <f t="shared" si="1"/>
        <v>-0.34867230440153107</v>
      </c>
      <c r="R15" s="2"/>
      <c r="S15" s="6" t="s">
        <v>23</v>
      </c>
      <c r="T15" s="20">
        <f t="shared" ca="1" si="2"/>
        <v>1749690.4567283334</v>
      </c>
      <c r="U15" s="7">
        <f t="shared" ca="1" si="3"/>
        <v>-0.43587342328019973</v>
      </c>
    </row>
    <row r="16" spans="1:35" x14ac:dyDescent="0.55000000000000004">
      <c r="A16" s="14">
        <v>10</v>
      </c>
      <c r="B16" s="6" t="s">
        <v>24</v>
      </c>
      <c r="C16" s="23">
        <v>620676.35617666668</v>
      </c>
      <c r="D16" s="23">
        <v>596656.71766000008</v>
      </c>
      <c r="E16" s="23">
        <v>584573.8697116666</v>
      </c>
      <c r="F16" s="23">
        <v>411682.3474150002</v>
      </c>
      <c r="G16" s="23">
        <v>278457.02482166671</v>
      </c>
      <c r="H16" s="23">
        <v>150369.85980499999</v>
      </c>
      <c r="I16" s="23">
        <v>79183.843096666649</v>
      </c>
      <c r="J16" s="23">
        <v>135214.87912166666</v>
      </c>
      <c r="K16" s="23">
        <v>261699.04462166666</v>
      </c>
      <c r="L16" s="23">
        <v>529329.54235999996</v>
      </c>
      <c r="M16" s="23">
        <v>593063.0255333333</v>
      </c>
      <c r="N16" s="23">
        <v>662615.65399000002</v>
      </c>
      <c r="O16" s="6" t="s">
        <v>24</v>
      </c>
      <c r="P16" s="20">
        <f t="shared" si="0"/>
        <v>4903522.1643133331</v>
      </c>
      <c r="Q16" s="7">
        <f t="shared" si="1"/>
        <v>0.57858225431642607</v>
      </c>
      <c r="R16" s="2"/>
      <c r="S16" s="6" t="s">
        <v>24</v>
      </c>
      <c r="T16" s="20">
        <f t="shared" ca="1" si="2"/>
        <v>2856814.8978083334</v>
      </c>
      <c r="U16" s="7">
        <f t="shared" ca="1" si="3"/>
        <v>0.63275446055193196</v>
      </c>
    </row>
    <row r="17" spans="1:21" x14ac:dyDescent="0.55000000000000004">
      <c r="A17" s="14">
        <v>11</v>
      </c>
      <c r="B17" s="6" t="s">
        <v>25</v>
      </c>
      <c r="C17" s="23">
        <v>533490.74623000005</v>
      </c>
      <c r="D17" s="23">
        <v>331077.30253333336</v>
      </c>
      <c r="E17" s="23">
        <v>254404.96045833331</v>
      </c>
      <c r="F17" s="23">
        <v>107175.89665333334</v>
      </c>
      <c r="G17" s="23">
        <v>69778.167696666686</v>
      </c>
      <c r="H17" s="23">
        <v>61298.947940000005</v>
      </c>
      <c r="I17" s="23">
        <v>68371.173429999995</v>
      </c>
      <c r="J17" s="23">
        <v>149008.51452333332</v>
      </c>
      <c r="K17" s="23">
        <v>342255.83606666664</v>
      </c>
      <c r="L17" s="23">
        <v>461718.47051666665</v>
      </c>
      <c r="M17" s="23">
        <v>597290.36733166664</v>
      </c>
      <c r="N17" s="23">
        <v>789835.01484000019</v>
      </c>
      <c r="O17" s="6" t="s">
        <v>25</v>
      </c>
      <c r="P17" s="5">
        <f t="shared" si="0"/>
        <v>3765705.3982200008</v>
      </c>
      <c r="Q17" s="7"/>
      <c r="R17" s="2"/>
      <c r="S17" s="6" t="s">
        <v>25</v>
      </c>
      <c r="T17" s="20">
        <f t="shared" ca="1" si="2"/>
        <v>1574605.7094650003</v>
      </c>
      <c r="U17" s="7">
        <f t="shared" ca="1" si="3"/>
        <v>-0.44882473461161498</v>
      </c>
    </row>
    <row r="18" spans="1:21" x14ac:dyDescent="0.55000000000000004">
      <c r="A18" s="14">
        <v>12</v>
      </c>
      <c r="B18" s="6" t="s">
        <v>26</v>
      </c>
      <c r="C18" s="23">
        <f>39569/0.06</f>
        <v>659483.33333333337</v>
      </c>
      <c r="D18" s="23">
        <f>31826/0.06</f>
        <v>530433.33333333337</v>
      </c>
      <c r="E18" s="23">
        <f>23580/0.06</f>
        <v>393000</v>
      </c>
      <c r="F18" s="23">
        <f>11381/0.06</f>
        <v>189683.33333333334</v>
      </c>
      <c r="G18" s="23">
        <f>4495/0.06</f>
        <v>74916.666666666672</v>
      </c>
      <c r="H18" s="23">
        <f>3092/0.06</f>
        <v>51533.333333333336</v>
      </c>
      <c r="I18" s="23">
        <f>3993/0.06</f>
        <v>66550</v>
      </c>
      <c r="J18" s="23">
        <f>10058/0.06</f>
        <v>167633.33333333334</v>
      </c>
      <c r="K18" s="23" t="e">
        <f>NA()</f>
        <v>#N/A</v>
      </c>
      <c r="L18" s="23" t="e">
        <f>NA()</f>
        <v>#N/A</v>
      </c>
      <c r="M18" s="23" t="e">
        <f>NA()</f>
        <v>#N/A</v>
      </c>
      <c r="N18" s="23" t="e">
        <f>NA()</f>
        <v>#N/A</v>
      </c>
      <c r="O18" s="6" t="s">
        <v>26</v>
      </c>
      <c r="P18" s="5" t="str">
        <f t="shared" si="0"/>
        <v/>
      </c>
      <c r="Q18" s="7"/>
      <c r="R18" s="2"/>
      <c r="S18" s="6" t="s">
        <v>26</v>
      </c>
      <c r="T18" s="20">
        <f t="shared" ca="1" si="2"/>
        <v>2133233.3333333335</v>
      </c>
      <c r="U18" s="7">
        <f t="shared" ca="1" si="3"/>
        <v>0.35477302064282279</v>
      </c>
    </row>
    <row r="19" spans="1:21" x14ac:dyDescent="0.55000000000000004">
      <c r="A19" s="14">
        <v>13</v>
      </c>
      <c r="B19" s="6" t="s">
        <v>27</v>
      </c>
      <c r="C19" s="23" t="e">
        <f>NA()</f>
        <v>#N/A</v>
      </c>
      <c r="D19" s="23" t="e">
        <f>NA()</f>
        <v>#N/A</v>
      </c>
      <c r="E19" s="23" t="e">
        <f>NA()</f>
        <v>#N/A</v>
      </c>
      <c r="F19" s="23" t="e">
        <f>NA()</f>
        <v>#N/A</v>
      </c>
      <c r="G19" s="23" t="e">
        <f>NA()</f>
        <v>#N/A</v>
      </c>
      <c r="H19" s="23" t="e">
        <f>NA()</f>
        <v>#N/A</v>
      </c>
      <c r="I19" s="23" t="e">
        <f>NA()</f>
        <v>#N/A</v>
      </c>
      <c r="J19" s="23" t="e">
        <f>NA()</f>
        <v>#N/A</v>
      </c>
      <c r="K19" s="23" t="e">
        <f>NA()</f>
        <v>#N/A</v>
      </c>
      <c r="L19" s="23" t="e">
        <f>NA()</f>
        <v>#N/A</v>
      </c>
      <c r="M19" s="23" t="e">
        <f>NA()</f>
        <v>#N/A</v>
      </c>
      <c r="N19" s="23" t="e">
        <f>NA()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t="shared" ca="1" si="2"/>
        <v/>
      </c>
      <c r="U19" s="7"/>
    </row>
    <row r="20" spans="1:21" x14ac:dyDescent="0.55000000000000004">
      <c r="B20" s="8" t="s">
        <v>28</v>
      </c>
      <c r="C20" s="22">
        <f>IFERROR(C18/C17-1,"")</f>
        <v>0.23616639650018412</v>
      </c>
      <c r="D20" s="22">
        <f t="shared" ref="D20:N20" si="4">IFERROR(D18/D17-1,"")</f>
        <v>0.60214345494109645</v>
      </c>
      <c r="E20" s="22">
        <f t="shared" si="4"/>
        <v>0.54478119959601146</v>
      </c>
      <c r="F20" s="22">
        <f t="shared" si="4"/>
        <v>0.76983201686546265</v>
      </c>
      <c r="G20" s="22">
        <f t="shared" si="4"/>
        <v>7.3640497301929786E-2</v>
      </c>
      <c r="H20" s="22">
        <f t="shared" si="4"/>
        <v>-0.1593112921974672</v>
      </c>
      <c r="I20" s="22">
        <f t="shared" si="4"/>
        <v>-2.6636568288016194E-2</v>
      </c>
      <c r="J20" s="22">
        <f t="shared" si="4"/>
        <v>0.12499164138089269</v>
      </c>
      <c r="K20" s="22" t="str">
        <f t="shared" si="4"/>
        <v/>
      </c>
      <c r="L20" s="22" t="str">
        <f t="shared" si="4"/>
        <v/>
      </c>
      <c r="M20" s="22" t="str">
        <f t="shared" si="4"/>
        <v/>
      </c>
      <c r="N20" s="22" t="str">
        <f t="shared" si="4"/>
        <v/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Peru : Coffee Exports | YTD : Oct-May</v>
      </c>
      <c r="Q27" s="13" t="str">
        <f>_xlfn.CONCAT(A1," | ","Cumulative")</f>
        <v>Peru : Coffee Exports | Cumulative</v>
      </c>
    </row>
    <row r="56" spans="2:6" x14ac:dyDescent="0.55000000000000004">
      <c r="B56" s="9" t="s">
        <v>29</v>
      </c>
      <c r="C56" s="9">
        <f>COUNT(C18:N18)</f>
        <v>8</v>
      </c>
      <c r="D56" s="25" t="str">
        <f ca="1">OFFSET(B6,0,$C$56,1,1)</f>
        <v>May</v>
      </c>
      <c r="E56" s="11" t="str">
        <f>B17</f>
        <v>24/25</v>
      </c>
      <c r="F56" s="11" t="str">
        <f ca="1">_xlfn.CONCAT(D56,"'",E56)</f>
        <v>May'24/25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659483.33333333337</v>
      </c>
      <c r="C66" s="12">
        <f t="shared" ref="C66:M66" si="5">D18</f>
        <v>530433.33333333337</v>
      </c>
      <c r="D66" s="12">
        <f t="shared" si="5"/>
        <v>393000</v>
      </c>
      <c r="E66" s="12">
        <f t="shared" si="5"/>
        <v>189683.33333333334</v>
      </c>
      <c r="F66" s="12">
        <f t="shared" si="5"/>
        <v>74916.666666666672</v>
      </c>
      <c r="G66" s="12">
        <f t="shared" si="5"/>
        <v>51533.333333333336</v>
      </c>
      <c r="H66" s="12">
        <f t="shared" si="5"/>
        <v>66550</v>
      </c>
      <c r="I66" s="12">
        <f t="shared" si="5"/>
        <v>167633.33333333334</v>
      </c>
      <c r="J66" s="12" t="e">
        <f t="shared" si="5"/>
        <v>#N/A</v>
      </c>
      <c r="K66" s="12" t="e">
        <f t="shared" si="5"/>
        <v>#N/A</v>
      </c>
      <c r="L66" s="12" t="e">
        <f t="shared" si="5"/>
        <v>#N/A</v>
      </c>
      <c r="M66" s="12" t="e">
        <f t="shared" si="5"/>
        <v>#N/A</v>
      </c>
    </row>
    <row r="67" spans="1:25" x14ac:dyDescent="0.55000000000000004">
      <c r="A67" s="11" t="s">
        <v>30</v>
      </c>
      <c r="B67" s="12">
        <f>MIN(C7:C17)</f>
        <v>415830.10040833341</v>
      </c>
      <c r="C67" s="12">
        <f t="shared" ref="C67:M67" si="6">MIN(D7:D17)</f>
        <v>331077.30253333336</v>
      </c>
      <c r="D67" s="12">
        <f t="shared" si="6"/>
        <v>254404.96045833331</v>
      </c>
      <c r="E67" s="12">
        <f t="shared" si="6"/>
        <v>107175.89665333334</v>
      </c>
      <c r="F67" s="12">
        <f t="shared" si="6"/>
        <v>69778.167696666686</v>
      </c>
      <c r="G67" s="12">
        <f t="shared" si="6"/>
        <v>36993.123366666674</v>
      </c>
      <c r="H67" s="12">
        <f t="shared" si="6"/>
        <v>42621.237365000001</v>
      </c>
      <c r="I67" s="12">
        <f t="shared" si="6"/>
        <v>64758.744708333354</v>
      </c>
      <c r="J67" s="12">
        <f t="shared" si="6"/>
        <v>133636.19315499999</v>
      </c>
      <c r="K67" s="12">
        <f t="shared" si="6"/>
        <v>258092.01020166665</v>
      </c>
      <c r="L67" s="12">
        <f t="shared" si="6"/>
        <v>319354.37449666671</v>
      </c>
      <c r="M67" s="12">
        <f t="shared" si="6"/>
        <v>542129.49399166682</v>
      </c>
      <c r="N67" s="12"/>
    </row>
    <row r="68" spans="1:25" x14ac:dyDescent="0.55000000000000004">
      <c r="A68" s="11" t="s">
        <v>31</v>
      </c>
      <c r="B68" s="12">
        <f>MAX(C7:C17)</f>
        <v>845049.62895000004</v>
      </c>
      <c r="C68" s="12">
        <f t="shared" ref="C68:M68" si="7">MAX(D7:D17)</f>
        <v>654609.22124666686</v>
      </c>
      <c r="D68" s="12">
        <f t="shared" si="7"/>
        <v>584573.8697116666</v>
      </c>
      <c r="E68" s="12">
        <f t="shared" si="7"/>
        <v>510481.16436000005</v>
      </c>
      <c r="F68" s="12">
        <f t="shared" si="7"/>
        <v>438364.25685500004</v>
      </c>
      <c r="G68" s="12">
        <f t="shared" si="7"/>
        <v>246661.72353333337</v>
      </c>
      <c r="H68" s="12">
        <f t="shared" si="7"/>
        <v>107259.33783333335</v>
      </c>
      <c r="I68" s="12">
        <f t="shared" si="7"/>
        <v>152535.308915</v>
      </c>
      <c r="J68" s="12">
        <f t="shared" si="7"/>
        <v>342255.83606666664</v>
      </c>
      <c r="K68" s="12">
        <f t="shared" si="7"/>
        <v>529329.54235999996</v>
      </c>
      <c r="L68" s="12">
        <f t="shared" si="7"/>
        <v>624792.59302999999</v>
      </c>
      <c r="M68" s="12">
        <f t="shared" si="7"/>
        <v>789835.01484000019</v>
      </c>
      <c r="N68" s="12"/>
    </row>
    <row r="69" spans="1:25" x14ac:dyDescent="0.55000000000000004">
      <c r="A69" s="11" t="s">
        <v>32</v>
      </c>
      <c r="B69" s="12">
        <f>AVERAGE(C12:C17)</f>
        <v>544519.47820694454</v>
      </c>
      <c r="C69" s="12">
        <f t="shared" ref="C69:M69" si="8">AVERAGE(D12:D17)</f>
        <v>493497.58714722231</v>
      </c>
      <c r="D69" s="12">
        <f t="shared" si="8"/>
        <v>448049.6860091667</v>
      </c>
      <c r="E69" s="12">
        <f t="shared" si="8"/>
        <v>266377.40216333338</v>
      </c>
      <c r="F69" s="12">
        <f t="shared" si="8"/>
        <v>172172.20105555558</v>
      </c>
      <c r="G69" s="12">
        <f t="shared" si="8"/>
        <v>101144.28037750001</v>
      </c>
      <c r="H69" s="12">
        <f t="shared" si="8"/>
        <v>67523.036223055562</v>
      </c>
      <c r="I69" s="12">
        <f t="shared" si="8"/>
        <v>110720.74872111111</v>
      </c>
      <c r="J69" s="12">
        <f t="shared" si="8"/>
        <v>208789.19439083329</v>
      </c>
      <c r="K69" s="12">
        <f t="shared" si="8"/>
        <v>370265.13343777781</v>
      </c>
      <c r="L69" s="12">
        <f t="shared" si="8"/>
        <v>496357.28210444452</v>
      </c>
      <c r="M69" s="12">
        <f t="shared" si="8"/>
        <v>620824.39558444452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0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9">INDEX($C$7:$N$19,MATCH(B75,$A$7:$A$19),MATCH(C75,$C$4:$N$4))</f>
        <v>0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9"/>
        <v>0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>
        <f>C7</f>
        <v>0</v>
      </c>
      <c r="O76" s="5">
        <f t="shared" ref="O76:O88" si="13">N76+D7</f>
        <v>0</v>
      </c>
      <c r="P76" s="5">
        <f t="shared" ref="P76:P88" si="14">O76+E7</f>
        <v>0</v>
      </c>
      <c r="Q76" s="5">
        <f t="shared" ref="Q76:Q88" si="15">P76+F7</f>
        <v>0</v>
      </c>
      <c r="R76" s="5">
        <f t="shared" ref="R76:R88" si="16">Q76+G7</f>
        <v>0</v>
      </c>
      <c r="S76" s="5">
        <f t="shared" ref="S76:S88" si="17">R76+H7</f>
        <v>0</v>
      </c>
      <c r="T76" s="5">
        <f t="shared" ref="T76:T88" si="18">S76+I7</f>
        <v>0</v>
      </c>
      <c r="U76" s="5">
        <f t="shared" ref="U76:U88" si="19">T76+J7</f>
        <v>0</v>
      </c>
      <c r="V76" s="5">
        <f t="shared" ref="V76:V88" si="20">U76+K7</f>
        <v>0</v>
      </c>
      <c r="W76" s="5">
        <f t="shared" ref="W76:W88" si="21">V76+L7</f>
        <v>0</v>
      </c>
      <c r="X76" s="5">
        <f t="shared" ref="X76:X88" si="22">W76+M7</f>
        <v>0</v>
      </c>
      <c r="Y76" s="5">
        <f t="shared" ref="Y76:Y88" si="23">X76+N7</f>
        <v>0</v>
      </c>
    </row>
    <row r="77" spans="1:25" x14ac:dyDescent="0.55000000000000004">
      <c r="B77" s="11">
        <v>1</v>
      </c>
      <c r="C77" s="11">
        <v>4</v>
      </c>
      <c r="D77" s="12">
        <f t="shared" si="9"/>
        <v>0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24">C8</f>
        <v>603273.10225766664</v>
      </c>
      <c r="O77" s="5">
        <f t="shared" si="13"/>
        <v>1167298.3697663334</v>
      </c>
      <c r="P77" s="5">
        <f t="shared" si="14"/>
        <v>1644010.2730456667</v>
      </c>
      <c r="Q77" s="5">
        <f t="shared" si="15"/>
        <v>1803618.0851790002</v>
      </c>
      <c r="R77" s="5">
        <f t="shared" si="16"/>
        <v>1924576.7276273335</v>
      </c>
      <c r="S77" s="5">
        <f t="shared" si="17"/>
        <v>2035753.8514673335</v>
      </c>
      <c r="T77" s="5">
        <f t="shared" si="18"/>
        <v>2094310.6801673335</v>
      </c>
      <c r="U77" s="5">
        <f t="shared" si="19"/>
        <v>2173366.8351356667</v>
      </c>
      <c r="V77" s="5">
        <f t="shared" si="20"/>
        <v>2338913.9920606664</v>
      </c>
      <c r="W77" s="5">
        <f t="shared" si="21"/>
        <v>2707009.8100806666</v>
      </c>
      <c r="X77" s="5">
        <f t="shared" si="22"/>
        <v>3331802.4031106667</v>
      </c>
      <c r="Y77" s="5">
        <f t="shared" si="23"/>
        <v>3952906.9315690002</v>
      </c>
    </row>
    <row r="78" spans="1:25" x14ac:dyDescent="0.55000000000000004">
      <c r="B78" s="11">
        <v>1</v>
      </c>
      <c r="C78" s="11">
        <v>5</v>
      </c>
      <c r="D78" s="12">
        <f t="shared" si="9"/>
        <v>0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24"/>
        <v>620866.99886833341</v>
      </c>
      <c r="O78" s="5">
        <f t="shared" si="13"/>
        <v>1242033.8211883334</v>
      </c>
      <c r="P78" s="5">
        <f t="shared" si="14"/>
        <v>1791256.8238900001</v>
      </c>
      <c r="Q78" s="5">
        <f t="shared" si="15"/>
        <v>2033691.4849033335</v>
      </c>
      <c r="R78" s="5">
        <f t="shared" si="16"/>
        <v>2142890.6987966667</v>
      </c>
      <c r="S78" s="5">
        <f t="shared" si="17"/>
        <v>2227405.587785</v>
      </c>
      <c r="T78" s="5">
        <f t="shared" si="18"/>
        <v>2273334.7339766668</v>
      </c>
      <c r="U78" s="5">
        <f t="shared" si="19"/>
        <v>2425870.0428916668</v>
      </c>
      <c r="V78" s="5">
        <f t="shared" si="20"/>
        <v>2651759.0755750001</v>
      </c>
      <c r="W78" s="5">
        <f t="shared" si="21"/>
        <v>3038083.914225</v>
      </c>
      <c r="X78" s="5">
        <f t="shared" si="22"/>
        <v>3596122.8838533335</v>
      </c>
      <c r="Y78" s="5">
        <f t="shared" si="23"/>
        <v>4259205.0831166673</v>
      </c>
    </row>
    <row r="79" spans="1:25" x14ac:dyDescent="0.55000000000000004">
      <c r="B79" s="11">
        <v>1</v>
      </c>
      <c r="C79" s="11">
        <v>6</v>
      </c>
      <c r="D79" s="12">
        <f t="shared" si="9"/>
        <v>0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24"/>
        <v>699246.32441500016</v>
      </c>
      <c r="O79" s="5">
        <f t="shared" si="13"/>
        <v>1353855.5456616669</v>
      </c>
      <c r="P79" s="5">
        <f t="shared" si="14"/>
        <v>1850565.0709100002</v>
      </c>
      <c r="Q79" s="5">
        <f t="shared" si="15"/>
        <v>2122830.7747516669</v>
      </c>
      <c r="R79" s="5">
        <f t="shared" si="16"/>
        <v>2288207.945501667</v>
      </c>
      <c r="S79" s="5">
        <f t="shared" si="17"/>
        <v>2367251.7575300005</v>
      </c>
      <c r="T79" s="5">
        <f t="shared" si="18"/>
        <v>2422782.6904266672</v>
      </c>
      <c r="U79" s="5">
        <f t="shared" si="19"/>
        <v>2538263.5855350005</v>
      </c>
      <c r="V79" s="5">
        <f t="shared" si="20"/>
        <v>2776648.7417800007</v>
      </c>
      <c r="W79" s="5">
        <f t="shared" si="21"/>
        <v>3152926.2304116674</v>
      </c>
      <c r="X79" s="5">
        <f t="shared" si="22"/>
        <v>3770150.3073316673</v>
      </c>
      <c r="Y79" s="5">
        <f t="shared" si="23"/>
        <v>4456396.8758833334</v>
      </c>
    </row>
    <row r="80" spans="1:25" x14ac:dyDescent="0.55000000000000004">
      <c r="B80" s="11">
        <v>1</v>
      </c>
      <c r="C80" s="11">
        <v>7</v>
      </c>
      <c r="D80" s="12">
        <f t="shared" si="9"/>
        <v>0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24"/>
        <v>845049.62895000004</v>
      </c>
      <c r="O80" s="5">
        <f t="shared" si="13"/>
        <v>1467109.6010833331</v>
      </c>
      <c r="P80" s="5">
        <f t="shared" si="14"/>
        <v>1969019.9974283332</v>
      </c>
      <c r="Q80" s="5">
        <f t="shared" si="15"/>
        <v>2243642.1906533334</v>
      </c>
      <c r="R80" s="5">
        <f t="shared" si="16"/>
        <v>2362688.9724566666</v>
      </c>
      <c r="S80" s="5">
        <f t="shared" si="17"/>
        <v>2421554.1060233335</v>
      </c>
      <c r="T80" s="5">
        <f t="shared" si="18"/>
        <v>2483257.8004616667</v>
      </c>
      <c r="U80" s="5">
        <f t="shared" si="19"/>
        <v>2570185.23398</v>
      </c>
      <c r="V80" s="5">
        <f t="shared" si="20"/>
        <v>2752843.0007466665</v>
      </c>
      <c r="W80" s="5">
        <f t="shared" si="21"/>
        <v>3170791.3311783331</v>
      </c>
      <c r="X80" s="5">
        <f t="shared" si="22"/>
        <v>3701083.2151783332</v>
      </c>
      <c r="Y80" s="5">
        <f t="shared" si="23"/>
        <v>4377887.1396200005</v>
      </c>
    </row>
    <row r="81" spans="2:25" x14ac:dyDescent="0.55000000000000004">
      <c r="B81" s="11">
        <v>1</v>
      </c>
      <c r="C81" s="11">
        <v>8</v>
      </c>
      <c r="D81" s="12">
        <f t="shared" si="9"/>
        <v>0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24"/>
        <v>590875.85678000015</v>
      </c>
      <c r="O81" s="5">
        <f t="shared" si="13"/>
        <v>1140083.0200833336</v>
      </c>
      <c r="P81" s="5">
        <f t="shared" si="14"/>
        <v>1668896.0290400004</v>
      </c>
      <c r="Q81" s="5">
        <f t="shared" si="15"/>
        <v>1838781.4751566672</v>
      </c>
      <c r="R81" s="5">
        <f t="shared" si="16"/>
        <v>1919554.6128166672</v>
      </c>
      <c r="S81" s="5">
        <f t="shared" si="17"/>
        <v>1956547.7361833339</v>
      </c>
      <c r="T81" s="5">
        <f t="shared" si="18"/>
        <v>2013991.5605000006</v>
      </c>
      <c r="U81" s="5">
        <f t="shared" si="19"/>
        <v>2122047.8865000005</v>
      </c>
      <c r="V81" s="5">
        <f t="shared" si="20"/>
        <v>2273109.5191750005</v>
      </c>
      <c r="W81" s="5">
        <f t="shared" si="21"/>
        <v>2637603.7946500005</v>
      </c>
      <c r="X81" s="5">
        <f t="shared" si="22"/>
        <v>3164105.0169483339</v>
      </c>
      <c r="Y81" s="5">
        <f t="shared" si="23"/>
        <v>3751267.0591300004</v>
      </c>
    </row>
    <row r="82" spans="2:25" x14ac:dyDescent="0.55000000000000004">
      <c r="B82" s="11">
        <v>1</v>
      </c>
      <c r="C82" s="11">
        <v>9</v>
      </c>
      <c r="D82" s="12">
        <f t="shared" si="9"/>
        <v>0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24"/>
        <v>415830.10040833341</v>
      </c>
      <c r="O82" s="5">
        <f t="shared" si="13"/>
        <v>938986.67594500014</v>
      </c>
      <c r="P82" s="5">
        <f t="shared" si="14"/>
        <v>1370282.9575950003</v>
      </c>
      <c r="Q82" s="5">
        <f t="shared" si="15"/>
        <v>1554209.6414233337</v>
      </c>
      <c r="R82" s="5">
        <f t="shared" si="16"/>
        <v>1641440.7791783337</v>
      </c>
      <c r="S82" s="5">
        <f t="shared" si="17"/>
        <v>1704258.0594566672</v>
      </c>
      <c r="T82" s="5">
        <f t="shared" si="18"/>
        <v>1754516.8607533339</v>
      </c>
      <c r="U82" s="5">
        <f t="shared" si="19"/>
        <v>1819275.6054616673</v>
      </c>
      <c r="V82" s="5">
        <f t="shared" si="20"/>
        <v>1968841.5251550006</v>
      </c>
      <c r="W82" s="5">
        <f t="shared" si="21"/>
        <v>2231539.8705316675</v>
      </c>
      <c r="X82" s="5">
        <f t="shared" si="22"/>
        <v>2550894.2450283342</v>
      </c>
      <c r="Y82" s="5">
        <f t="shared" si="23"/>
        <v>3105511.222310001</v>
      </c>
    </row>
    <row r="83" spans="2:25" x14ac:dyDescent="0.55000000000000004">
      <c r="B83" s="11">
        <v>1</v>
      </c>
      <c r="C83" s="11">
        <v>10</v>
      </c>
      <c r="D83" s="12">
        <f t="shared" si="9"/>
        <v>0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24"/>
        <v>564680.24459833337</v>
      </c>
      <c r="O83" s="5">
        <f t="shared" si="13"/>
        <v>1120120.6898183334</v>
      </c>
      <c r="P83" s="5">
        <f t="shared" si="14"/>
        <v>1686844.9587349999</v>
      </c>
      <c r="Q83" s="5">
        <f t="shared" si="15"/>
        <v>2197326.1230950002</v>
      </c>
      <c r="R83" s="5">
        <f t="shared" si="16"/>
        <v>2635690.37995</v>
      </c>
      <c r="S83" s="5">
        <f t="shared" si="17"/>
        <v>2882352.1034833333</v>
      </c>
      <c r="T83" s="5">
        <f t="shared" si="18"/>
        <v>2989611.4413166665</v>
      </c>
      <c r="U83" s="5">
        <f t="shared" si="19"/>
        <v>3101591.9634599998</v>
      </c>
      <c r="V83" s="5">
        <f t="shared" si="20"/>
        <v>3316108.5035933331</v>
      </c>
      <c r="W83" s="5">
        <f t="shared" si="21"/>
        <v>3661366.66029</v>
      </c>
      <c r="X83" s="5">
        <f t="shared" si="22"/>
        <v>4180567.1865233332</v>
      </c>
      <c r="Y83" s="5">
        <f t="shared" si="23"/>
        <v>4769154.3777449997</v>
      </c>
    </row>
    <row r="84" spans="2:25" x14ac:dyDescent="0.55000000000000004">
      <c r="B84" s="11">
        <v>1</v>
      </c>
      <c r="C84" s="11">
        <v>11</v>
      </c>
      <c r="D84" s="12">
        <f t="shared" si="9"/>
        <v>0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24"/>
        <v>541563.56504833337</v>
      </c>
      <c r="O84" s="5">
        <f t="shared" si="13"/>
        <v>947010.88367833348</v>
      </c>
      <c r="P84" s="5">
        <f t="shared" si="14"/>
        <v>1269496.6100400002</v>
      </c>
      <c r="Q84" s="5">
        <f t="shared" si="15"/>
        <v>1484609.4846466668</v>
      </c>
      <c r="R84" s="5">
        <f t="shared" si="16"/>
        <v>1563038.9661916669</v>
      </c>
      <c r="S84" s="5">
        <f t="shared" si="17"/>
        <v>1611763.7135333335</v>
      </c>
      <c r="T84" s="5">
        <f t="shared" si="18"/>
        <v>1654384.9508983335</v>
      </c>
      <c r="U84" s="5">
        <f t="shared" si="19"/>
        <v>1749690.4567283334</v>
      </c>
      <c r="V84" s="5">
        <f t="shared" si="20"/>
        <v>1883326.6498833334</v>
      </c>
      <c r="W84" s="5">
        <f t="shared" si="21"/>
        <v>2141418.6600850001</v>
      </c>
      <c r="X84" s="5">
        <f t="shared" si="22"/>
        <v>2564152.8368183337</v>
      </c>
      <c r="Y84" s="5">
        <f t="shared" si="23"/>
        <v>3106282.3308100007</v>
      </c>
    </row>
    <row r="85" spans="2:25" x14ac:dyDescent="0.55000000000000004">
      <c r="B85" s="11">
        <v>1</v>
      </c>
      <c r="C85" s="11">
        <v>12</v>
      </c>
      <c r="D85" s="12">
        <f t="shared" si="9"/>
        <v>0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>
        <f>SUM(D74:D85)/1000000</f>
        <v>0</v>
      </c>
      <c r="M85" s="6" t="s">
        <v>24</v>
      </c>
      <c r="N85" s="5">
        <f t="shared" si="24"/>
        <v>620676.35617666668</v>
      </c>
      <c r="O85" s="5">
        <f t="shared" si="13"/>
        <v>1217333.0738366668</v>
      </c>
      <c r="P85" s="5">
        <f t="shared" si="14"/>
        <v>1801906.9435483334</v>
      </c>
      <c r="Q85" s="5">
        <f t="shared" si="15"/>
        <v>2213589.2909633336</v>
      </c>
      <c r="R85" s="5">
        <f t="shared" si="16"/>
        <v>2492046.3157850001</v>
      </c>
      <c r="S85" s="5">
        <f t="shared" si="17"/>
        <v>2642416.1755900001</v>
      </c>
      <c r="T85" s="5">
        <f t="shared" si="18"/>
        <v>2721600.0186866666</v>
      </c>
      <c r="U85" s="5">
        <f t="shared" si="19"/>
        <v>2856814.8978083334</v>
      </c>
      <c r="V85" s="5">
        <f t="shared" si="20"/>
        <v>3118513.9424299998</v>
      </c>
      <c r="W85" s="5">
        <f t="shared" si="21"/>
        <v>3647843.4847899997</v>
      </c>
      <c r="X85" s="5">
        <f t="shared" si="22"/>
        <v>4240906.5103233326</v>
      </c>
      <c r="Y85" s="5">
        <f t="shared" si="23"/>
        <v>4903522.1643133331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603273.10225766664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25">G86</f>
        <v>Oct'15/16</v>
      </c>
      <c r="I86" s="11">
        <f t="shared" ref="I86:I149" si="26">SUM(D75:D86)/1000000</f>
        <v>0.60327310225766662</v>
      </c>
      <c r="M86" s="6" t="s">
        <v>25</v>
      </c>
      <c r="N86" s="5">
        <f t="shared" si="24"/>
        <v>533490.74623000005</v>
      </c>
      <c r="O86" s="5">
        <f t="shared" si="13"/>
        <v>864568.04876333335</v>
      </c>
      <c r="P86" s="5">
        <f t="shared" si="14"/>
        <v>1118973.0092216667</v>
      </c>
      <c r="Q86" s="5">
        <f t="shared" si="15"/>
        <v>1226148.9058750002</v>
      </c>
      <c r="R86" s="5">
        <f t="shared" si="16"/>
        <v>1295927.0735716668</v>
      </c>
      <c r="S86" s="5">
        <f t="shared" si="17"/>
        <v>1357226.0215116669</v>
      </c>
      <c r="T86" s="5">
        <f t="shared" si="18"/>
        <v>1425597.1949416669</v>
      </c>
      <c r="U86" s="5">
        <f t="shared" si="19"/>
        <v>1574605.7094650003</v>
      </c>
      <c r="V86" s="5">
        <f t="shared" si="20"/>
        <v>1916861.5455316668</v>
      </c>
      <c r="W86" s="5">
        <f t="shared" si="21"/>
        <v>2378580.0160483336</v>
      </c>
      <c r="X86" s="5">
        <f t="shared" si="22"/>
        <v>2975870.3833800005</v>
      </c>
      <c r="Y86" s="5">
        <f t="shared" si="23"/>
        <v>3765705.3982200008</v>
      </c>
    </row>
    <row r="87" spans="2:25" x14ac:dyDescent="0.55000000000000004">
      <c r="B87" s="11">
        <f t="shared" ref="B87:B150" si="27">B75+1</f>
        <v>2</v>
      </c>
      <c r="C87" s="11">
        <f t="shared" ref="C87:C150" si="28">C75</f>
        <v>2</v>
      </c>
      <c r="D87" s="12">
        <f t="shared" si="9"/>
        <v>564025.26750866673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25"/>
        <v>Nov'15/16</v>
      </c>
      <c r="I87" s="11">
        <f t="shared" si="26"/>
        <v>1.1672983697663333</v>
      </c>
      <c r="M87" s="6" t="s">
        <v>26</v>
      </c>
      <c r="N87" s="5">
        <f t="shared" si="24"/>
        <v>659483.33333333337</v>
      </c>
      <c r="O87" s="5">
        <f t="shared" si="13"/>
        <v>1189916.6666666667</v>
      </c>
      <c r="P87" s="5">
        <f t="shared" si="14"/>
        <v>1582916.6666666667</v>
      </c>
      <c r="Q87" s="5">
        <f t="shared" si="15"/>
        <v>1772600</v>
      </c>
      <c r="R87" s="5">
        <f t="shared" si="16"/>
        <v>1847516.6666666667</v>
      </c>
      <c r="S87" s="5">
        <f t="shared" si="17"/>
        <v>1899050</v>
      </c>
      <c r="T87" s="5">
        <f t="shared" si="18"/>
        <v>1965600</v>
      </c>
      <c r="U87" s="5">
        <f t="shared" si="19"/>
        <v>2133233.3333333335</v>
      </c>
      <c r="V87" s="5" t="e">
        <f t="shared" si="20"/>
        <v>#N/A</v>
      </c>
      <c r="W87" s="5" t="e">
        <f t="shared" si="21"/>
        <v>#N/A</v>
      </c>
      <c r="X87" s="5" t="e">
        <f t="shared" si="22"/>
        <v>#N/A</v>
      </c>
      <c r="Y87" s="5" t="e">
        <f t="shared" si="23"/>
        <v>#N/A</v>
      </c>
    </row>
    <row r="88" spans="2:25" x14ac:dyDescent="0.55000000000000004">
      <c r="B88" s="11">
        <f t="shared" si="27"/>
        <v>2</v>
      </c>
      <c r="C88" s="11">
        <f t="shared" si="28"/>
        <v>3</v>
      </c>
      <c r="D88" s="12">
        <f t="shared" si="9"/>
        <v>476711.90327933338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25"/>
        <v>Dec'15/16</v>
      </c>
      <c r="I88" s="11">
        <f t="shared" si="26"/>
        <v>1.6440102730456667</v>
      </c>
      <c r="M88" s="6" t="s">
        <v>27</v>
      </c>
      <c r="N88" s="5" t="e">
        <f t="shared" si="24"/>
        <v>#N/A</v>
      </c>
      <c r="O88" s="5" t="e">
        <f t="shared" si="13"/>
        <v>#N/A</v>
      </c>
      <c r="P88" s="5" t="e">
        <f t="shared" si="14"/>
        <v>#N/A</v>
      </c>
      <c r="Q88" s="5" t="e">
        <f t="shared" si="15"/>
        <v>#N/A</v>
      </c>
      <c r="R88" s="5" t="e">
        <f t="shared" si="16"/>
        <v>#N/A</v>
      </c>
      <c r="S88" s="5" t="e">
        <f t="shared" si="17"/>
        <v>#N/A</v>
      </c>
      <c r="T88" s="5" t="e">
        <f t="shared" si="18"/>
        <v>#N/A</v>
      </c>
      <c r="U88" s="5" t="e">
        <f t="shared" si="19"/>
        <v>#N/A</v>
      </c>
      <c r="V88" s="5" t="e">
        <f t="shared" si="20"/>
        <v>#N/A</v>
      </c>
      <c r="W88" s="5" t="e">
        <f t="shared" si="21"/>
        <v>#N/A</v>
      </c>
      <c r="X88" s="5" t="e">
        <f t="shared" si="22"/>
        <v>#N/A</v>
      </c>
      <c r="Y88" s="5" t="e">
        <f t="shared" si="23"/>
        <v>#N/A</v>
      </c>
    </row>
    <row r="89" spans="2:25" x14ac:dyDescent="0.55000000000000004">
      <c r="B89" s="11">
        <f t="shared" si="27"/>
        <v>2</v>
      </c>
      <c r="C89" s="11">
        <f t="shared" si="28"/>
        <v>4</v>
      </c>
      <c r="D89" s="12">
        <f t="shared" si="9"/>
        <v>159607.81213333333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25"/>
        <v>Jan'15/16</v>
      </c>
      <c r="I89" s="11">
        <f t="shared" si="26"/>
        <v>1.8036180851790002</v>
      </c>
    </row>
    <row r="90" spans="2:25" x14ac:dyDescent="0.55000000000000004">
      <c r="B90" s="11">
        <f t="shared" si="27"/>
        <v>2</v>
      </c>
      <c r="C90" s="11">
        <f t="shared" si="28"/>
        <v>5</v>
      </c>
      <c r="D90" s="12">
        <f t="shared" si="9"/>
        <v>120958.64244833334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25"/>
        <v>Feb'15/16</v>
      </c>
      <c r="I90" s="11">
        <f t="shared" si="26"/>
        <v>1.9245767276273336</v>
      </c>
    </row>
    <row r="91" spans="2:25" x14ac:dyDescent="0.55000000000000004">
      <c r="B91" s="11">
        <f t="shared" si="27"/>
        <v>2</v>
      </c>
      <c r="C91" s="11">
        <f t="shared" si="28"/>
        <v>6</v>
      </c>
      <c r="D91" s="12">
        <f t="shared" si="9"/>
        <v>111177.12384000001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25"/>
        <v>Mar'15/16</v>
      </c>
      <c r="I91" s="11">
        <f t="shared" si="26"/>
        <v>2.0357538514673337</v>
      </c>
    </row>
    <row r="92" spans="2:25" x14ac:dyDescent="0.55000000000000004">
      <c r="B92" s="11">
        <f t="shared" si="27"/>
        <v>2</v>
      </c>
      <c r="C92" s="11">
        <f t="shared" si="28"/>
        <v>7</v>
      </c>
      <c r="D92" s="12">
        <f t="shared" si="9"/>
        <v>58556.828700000005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25"/>
        <v>Apr'15/16</v>
      </c>
      <c r="I92" s="11">
        <f t="shared" si="26"/>
        <v>2.0943106801673332</v>
      </c>
    </row>
    <row r="93" spans="2:25" x14ac:dyDescent="0.55000000000000004">
      <c r="B93" s="11">
        <f t="shared" si="27"/>
        <v>2</v>
      </c>
      <c r="C93" s="11">
        <f t="shared" si="28"/>
        <v>8</v>
      </c>
      <c r="D93" s="12">
        <f t="shared" si="9"/>
        <v>79056.154968333343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25"/>
        <v>May'15/16</v>
      </c>
      <c r="I93" s="11">
        <f t="shared" si="26"/>
        <v>2.1733668351356665</v>
      </c>
    </row>
    <row r="94" spans="2:25" x14ac:dyDescent="0.55000000000000004">
      <c r="B94" s="11">
        <f t="shared" si="27"/>
        <v>2</v>
      </c>
      <c r="C94" s="11">
        <f t="shared" si="28"/>
        <v>9</v>
      </c>
      <c r="D94" s="12">
        <f t="shared" si="9"/>
        <v>165547.15692499999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25"/>
        <v>Jun'15/16</v>
      </c>
      <c r="I94" s="11">
        <f t="shared" si="26"/>
        <v>2.3389139920606663</v>
      </c>
    </row>
    <row r="95" spans="2:25" x14ac:dyDescent="0.55000000000000004">
      <c r="B95" s="11">
        <f t="shared" si="27"/>
        <v>2</v>
      </c>
      <c r="C95" s="11">
        <f t="shared" si="28"/>
        <v>10</v>
      </c>
      <c r="D95" s="12">
        <f t="shared" si="9"/>
        <v>368095.81802000001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25"/>
        <v>Jul'15/16</v>
      </c>
      <c r="I95" s="11">
        <f t="shared" si="26"/>
        <v>2.7070098100806668</v>
      </c>
    </row>
    <row r="96" spans="2:25" x14ac:dyDescent="0.55000000000000004">
      <c r="B96" s="11">
        <f t="shared" si="27"/>
        <v>2</v>
      </c>
      <c r="C96" s="11">
        <f t="shared" si="28"/>
        <v>11</v>
      </c>
      <c r="D96" s="12">
        <f t="shared" si="9"/>
        <v>624792.59302999999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25"/>
        <v>Aug'15/16</v>
      </c>
      <c r="I96" s="11">
        <f t="shared" si="26"/>
        <v>3.3318024031106668</v>
      </c>
    </row>
    <row r="97" spans="2:9" x14ac:dyDescent="0.55000000000000004">
      <c r="B97" s="11">
        <f t="shared" si="27"/>
        <v>2</v>
      </c>
      <c r="C97" s="11">
        <f t="shared" si="28"/>
        <v>12</v>
      </c>
      <c r="D97" s="12">
        <f t="shared" si="9"/>
        <v>621104.52845833346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25"/>
        <v>Sep'15/16</v>
      </c>
      <c r="I97" s="11">
        <f t="shared" si="26"/>
        <v>3.9529069315690002</v>
      </c>
    </row>
    <row r="98" spans="2:9" x14ac:dyDescent="0.55000000000000004">
      <c r="B98" s="11">
        <f t="shared" si="27"/>
        <v>3</v>
      </c>
      <c r="C98" s="11">
        <f t="shared" si="28"/>
        <v>1</v>
      </c>
      <c r="D98" s="12">
        <f t="shared" si="9"/>
        <v>620866.99886833341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25"/>
        <v>Oct'16/17</v>
      </c>
      <c r="I98" s="11">
        <f t="shared" si="26"/>
        <v>3.9705008281796679</v>
      </c>
    </row>
    <row r="99" spans="2:9" x14ac:dyDescent="0.55000000000000004">
      <c r="B99" s="11">
        <f t="shared" si="27"/>
        <v>3</v>
      </c>
      <c r="C99" s="11">
        <f t="shared" si="28"/>
        <v>2</v>
      </c>
      <c r="D99" s="12">
        <f t="shared" si="9"/>
        <v>621166.82231999992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25"/>
        <v>Nov'16/17</v>
      </c>
      <c r="I99" s="11">
        <f t="shared" si="26"/>
        <v>4.0276423829910009</v>
      </c>
    </row>
    <row r="100" spans="2:9" x14ac:dyDescent="0.55000000000000004">
      <c r="B100" s="11">
        <f t="shared" si="27"/>
        <v>3</v>
      </c>
      <c r="C100" s="11">
        <f t="shared" si="28"/>
        <v>3</v>
      </c>
      <c r="D100" s="12">
        <f t="shared" si="9"/>
        <v>549223.00270166667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25"/>
        <v>Dec'16/17</v>
      </c>
      <c r="I100" s="11">
        <f t="shared" si="26"/>
        <v>4.1001534824133339</v>
      </c>
    </row>
    <row r="101" spans="2:9" x14ac:dyDescent="0.55000000000000004">
      <c r="B101" s="11">
        <f t="shared" si="27"/>
        <v>3</v>
      </c>
      <c r="C101" s="11">
        <f t="shared" si="28"/>
        <v>4</v>
      </c>
      <c r="D101" s="12">
        <f t="shared" si="9"/>
        <v>242434.6610133333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25"/>
        <v>Jan'16/17</v>
      </c>
      <c r="I101" s="11">
        <f t="shared" si="26"/>
        <v>4.1829803312933329</v>
      </c>
    </row>
    <row r="102" spans="2:9" x14ac:dyDescent="0.55000000000000004">
      <c r="B102" s="11">
        <f t="shared" si="27"/>
        <v>3</v>
      </c>
      <c r="C102" s="11">
        <f t="shared" si="28"/>
        <v>5</v>
      </c>
      <c r="D102" s="12">
        <f t="shared" si="9"/>
        <v>109199.21389333333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25"/>
        <v>Feb'16/17</v>
      </c>
      <c r="I102" s="11">
        <f t="shared" si="26"/>
        <v>4.1712209027383338</v>
      </c>
    </row>
    <row r="103" spans="2:9" x14ac:dyDescent="0.55000000000000004">
      <c r="B103" s="11">
        <f t="shared" si="27"/>
        <v>3</v>
      </c>
      <c r="C103" s="11">
        <f t="shared" si="28"/>
        <v>6</v>
      </c>
      <c r="D103" s="12">
        <f t="shared" si="9"/>
        <v>84514.888988333332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25"/>
        <v>Mar'16/17</v>
      </c>
      <c r="I103" s="11">
        <f t="shared" si="26"/>
        <v>4.1445586678866668</v>
      </c>
    </row>
    <row r="104" spans="2:9" x14ac:dyDescent="0.55000000000000004">
      <c r="B104" s="11">
        <f t="shared" si="27"/>
        <v>3</v>
      </c>
      <c r="C104" s="11">
        <f t="shared" si="28"/>
        <v>7</v>
      </c>
      <c r="D104" s="12">
        <f t="shared" si="9"/>
        <v>45929.146191666667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25"/>
        <v>Apr'16/17</v>
      </c>
      <c r="I104" s="11">
        <f t="shared" si="26"/>
        <v>4.1319309853783341</v>
      </c>
    </row>
    <row r="105" spans="2:9" x14ac:dyDescent="0.55000000000000004">
      <c r="B105" s="11">
        <f t="shared" si="27"/>
        <v>3</v>
      </c>
      <c r="C105" s="11">
        <f t="shared" si="28"/>
        <v>8</v>
      </c>
      <c r="D105" s="12">
        <f t="shared" si="9"/>
        <v>152535.308915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25"/>
        <v>May'16/17</v>
      </c>
      <c r="I105" s="11">
        <f t="shared" si="26"/>
        <v>4.2054101393250001</v>
      </c>
    </row>
    <row r="106" spans="2:9" x14ac:dyDescent="0.55000000000000004">
      <c r="B106" s="11">
        <f t="shared" si="27"/>
        <v>3</v>
      </c>
      <c r="C106" s="11">
        <f t="shared" si="28"/>
        <v>9</v>
      </c>
      <c r="D106" s="12">
        <f t="shared" si="9"/>
        <v>225889.03268333332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25"/>
        <v>Jun'16/17</v>
      </c>
      <c r="I106" s="11">
        <f t="shared" si="26"/>
        <v>4.2657520150833337</v>
      </c>
    </row>
    <row r="107" spans="2:9" x14ac:dyDescent="0.55000000000000004">
      <c r="B107" s="11">
        <f t="shared" si="27"/>
        <v>3</v>
      </c>
      <c r="C107" s="11">
        <f t="shared" si="28"/>
        <v>10</v>
      </c>
      <c r="D107" s="12">
        <f t="shared" si="9"/>
        <v>386324.83864999999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25"/>
        <v>Jul'16/17</v>
      </c>
      <c r="I107" s="11">
        <f t="shared" si="26"/>
        <v>4.2839810357133334</v>
      </c>
    </row>
    <row r="108" spans="2:9" x14ac:dyDescent="0.55000000000000004">
      <c r="B108" s="11">
        <f t="shared" si="27"/>
        <v>3</v>
      </c>
      <c r="C108" s="11">
        <f t="shared" si="28"/>
        <v>11</v>
      </c>
      <c r="D108" s="12">
        <f t="shared" si="9"/>
        <v>558038.96962833346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25"/>
        <v>Aug'16/17</v>
      </c>
      <c r="I108" s="11">
        <f t="shared" si="26"/>
        <v>4.2172274123116669</v>
      </c>
    </row>
    <row r="109" spans="2:9" x14ac:dyDescent="0.55000000000000004">
      <c r="B109" s="11">
        <f t="shared" si="27"/>
        <v>3</v>
      </c>
      <c r="C109" s="11">
        <f t="shared" si="28"/>
        <v>12</v>
      </c>
      <c r="D109" s="12">
        <f t="shared" si="9"/>
        <v>663082.19926333346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25"/>
        <v>Sep'16/17</v>
      </c>
      <c r="I109" s="11">
        <f t="shared" si="26"/>
        <v>4.259205083116667</v>
      </c>
    </row>
    <row r="110" spans="2:9" x14ac:dyDescent="0.55000000000000004">
      <c r="B110" s="11">
        <f t="shared" si="27"/>
        <v>4</v>
      </c>
      <c r="C110" s="11">
        <f t="shared" si="28"/>
        <v>1</v>
      </c>
      <c r="D110" s="12">
        <f t="shared" si="9"/>
        <v>699246.32441500016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25"/>
        <v>Oct'17/18</v>
      </c>
      <c r="I110" s="11">
        <f t="shared" si="26"/>
        <v>4.3375844086633331</v>
      </c>
    </row>
    <row r="111" spans="2:9" x14ac:dyDescent="0.55000000000000004">
      <c r="B111" s="11">
        <f t="shared" si="27"/>
        <v>4</v>
      </c>
      <c r="C111" s="11">
        <f t="shared" si="28"/>
        <v>2</v>
      </c>
      <c r="D111" s="12">
        <f t="shared" si="9"/>
        <v>654609.22124666686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25"/>
        <v>Nov'17/18</v>
      </c>
      <c r="I111" s="11">
        <f t="shared" si="26"/>
        <v>4.3710268075900007</v>
      </c>
    </row>
    <row r="112" spans="2:9" x14ac:dyDescent="0.55000000000000004">
      <c r="B112" s="11">
        <f t="shared" si="27"/>
        <v>4</v>
      </c>
      <c r="C112" s="11">
        <f t="shared" si="28"/>
        <v>3</v>
      </c>
      <c r="D112" s="12">
        <f t="shared" si="9"/>
        <v>496709.52524833323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25"/>
        <v>Dec'17/18</v>
      </c>
      <c r="I112" s="11">
        <f t="shared" si="26"/>
        <v>4.3185133301366667</v>
      </c>
    </row>
    <row r="113" spans="2:9" x14ac:dyDescent="0.55000000000000004">
      <c r="B113" s="11">
        <f t="shared" si="27"/>
        <v>4</v>
      </c>
      <c r="C113" s="11">
        <f t="shared" si="28"/>
        <v>4</v>
      </c>
      <c r="D113" s="12">
        <f t="shared" si="9"/>
        <v>272265.70384166669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25"/>
        <v>Jan'17/18</v>
      </c>
      <c r="I113" s="11">
        <f t="shared" si="26"/>
        <v>4.3483443729650002</v>
      </c>
    </row>
    <row r="114" spans="2:9" x14ac:dyDescent="0.55000000000000004">
      <c r="B114" s="11">
        <f t="shared" si="27"/>
        <v>4</v>
      </c>
      <c r="C114" s="11">
        <f t="shared" si="28"/>
        <v>5</v>
      </c>
      <c r="D114" s="12">
        <f t="shared" si="9"/>
        <v>165377.17074999999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25"/>
        <v>Feb'17/18</v>
      </c>
      <c r="I114" s="11">
        <f t="shared" si="26"/>
        <v>4.4045223298216669</v>
      </c>
    </row>
    <row r="115" spans="2:9" x14ac:dyDescent="0.55000000000000004">
      <c r="B115" s="11">
        <f t="shared" si="27"/>
        <v>4</v>
      </c>
      <c r="C115" s="11">
        <f t="shared" si="28"/>
        <v>6</v>
      </c>
      <c r="D115" s="12">
        <f t="shared" si="9"/>
        <v>79043.812028333341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25"/>
        <v>Mar'17/18</v>
      </c>
      <c r="I115" s="11">
        <f t="shared" si="26"/>
        <v>4.3990512528616676</v>
      </c>
    </row>
    <row r="116" spans="2:9" x14ac:dyDescent="0.55000000000000004">
      <c r="B116" s="11">
        <f t="shared" si="27"/>
        <v>4</v>
      </c>
      <c r="C116" s="11">
        <f t="shared" si="28"/>
        <v>7</v>
      </c>
      <c r="D116" s="12">
        <f t="shared" si="9"/>
        <v>55530.932896666673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25"/>
        <v>Apr'17/18</v>
      </c>
      <c r="I116" s="11">
        <f t="shared" si="26"/>
        <v>4.4086530395666665</v>
      </c>
    </row>
    <row r="117" spans="2:9" x14ac:dyDescent="0.55000000000000004">
      <c r="B117" s="11">
        <f t="shared" si="27"/>
        <v>4</v>
      </c>
      <c r="C117" s="11">
        <f t="shared" si="28"/>
        <v>8</v>
      </c>
      <c r="D117" s="12">
        <f t="shared" si="9"/>
        <v>115480.89510833332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25"/>
        <v>May'17/18</v>
      </c>
      <c r="I117" s="11">
        <f t="shared" si="26"/>
        <v>4.3715986257599999</v>
      </c>
    </row>
    <row r="118" spans="2:9" x14ac:dyDescent="0.55000000000000004">
      <c r="B118" s="11">
        <f t="shared" si="27"/>
        <v>4</v>
      </c>
      <c r="C118" s="11">
        <f t="shared" si="28"/>
        <v>9</v>
      </c>
      <c r="D118" s="12">
        <f t="shared" si="9"/>
        <v>238385.15624499999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25"/>
        <v>Jun'17/18</v>
      </c>
      <c r="I118" s="11">
        <f t="shared" si="26"/>
        <v>4.3840947493216671</v>
      </c>
    </row>
    <row r="119" spans="2:9" x14ac:dyDescent="0.55000000000000004">
      <c r="B119" s="11">
        <f t="shared" si="27"/>
        <v>4</v>
      </c>
      <c r="C119" s="11">
        <f t="shared" si="28"/>
        <v>10</v>
      </c>
      <c r="D119" s="12">
        <f t="shared" si="9"/>
        <v>376277.48863166664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25"/>
        <v>Jul'17/18</v>
      </c>
      <c r="I119" s="11">
        <f t="shared" si="26"/>
        <v>4.3740473993033335</v>
      </c>
    </row>
    <row r="120" spans="2:9" x14ac:dyDescent="0.55000000000000004">
      <c r="B120" s="11">
        <f t="shared" si="27"/>
        <v>4</v>
      </c>
      <c r="C120" s="11">
        <f t="shared" si="28"/>
        <v>11</v>
      </c>
      <c r="D120" s="12">
        <f t="shared" si="9"/>
        <v>617224.07692000002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25"/>
        <v>Aug'17/18</v>
      </c>
      <c r="I120" s="11">
        <f t="shared" si="26"/>
        <v>4.4332325065950009</v>
      </c>
    </row>
    <row r="121" spans="2:9" x14ac:dyDescent="0.55000000000000004">
      <c r="B121" s="11">
        <f t="shared" si="27"/>
        <v>4</v>
      </c>
      <c r="C121" s="11">
        <f t="shared" si="28"/>
        <v>12</v>
      </c>
      <c r="D121" s="12">
        <f t="shared" si="9"/>
        <v>686246.56855166657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25"/>
        <v>Sep'17/18</v>
      </c>
      <c r="I121" s="11">
        <f t="shared" si="26"/>
        <v>4.4563968758833337</v>
      </c>
    </row>
    <row r="122" spans="2:9" x14ac:dyDescent="0.55000000000000004">
      <c r="B122" s="11">
        <f t="shared" si="27"/>
        <v>5</v>
      </c>
      <c r="C122" s="11">
        <f t="shared" si="28"/>
        <v>1</v>
      </c>
      <c r="D122" s="12">
        <f t="shared" si="9"/>
        <v>845049.62895000004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25"/>
        <v>Oct'18/19</v>
      </c>
      <c r="I122" s="11">
        <f t="shared" si="26"/>
        <v>4.6022001804183335</v>
      </c>
    </row>
    <row r="123" spans="2:9" x14ac:dyDescent="0.55000000000000004">
      <c r="B123" s="11">
        <f t="shared" si="27"/>
        <v>5</v>
      </c>
      <c r="C123" s="11">
        <f t="shared" si="28"/>
        <v>2</v>
      </c>
      <c r="D123" s="12">
        <f t="shared" si="9"/>
        <v>622059.97213333321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25"/>
        <v>Nov'18/19</v>
      </c>
      <c r="I123" s="11">
        <f t="shared" si="26"/>
        <v>4.5696509313049996</v>
      </c>
    </row>
    <row r="124" spans="2:9" x14ac:dyDescent="0.55000000000000004">
      <c r="B124" s="11">
        <f t="shared" si="27"/>
        <v>5</v>
      </c>
      <c r="C124" s="11">
        <f t="shared" si="28"/>
        <v>3</v>
      </c>
      <c r="D124" s="12">
        <f t="shared" si="9"/>
        <v>501910.39634499996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25"/>
        <v>Dec'18/19</v>
      </c>
      <c r="I124" s="11">
        <f t="shared" si="26"/>
        <v>4.5748518024016667</v>
      </c>
    </row>
    <row r="125" spans="2:9" x14ac:dyDescent="0.55000000000000004">
      <c r="B125" s="11">
        <f t="shared" si="27"/>
        <v>5</v>
      </c>
      <c r="C125" s="11">
        <f t="shared" si="28"/>
        <v>4</v>
      </c>
      <c r="D125" s="12">
        <f t="shared" si="9"/>
        <v>274622.19322500005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25"/>
        <v>Jan'18/19</v>
      </c>
      <c r="I125" s="11">
        <f t="shared" si="26"/>
        <v>4.5772082917850003</v>
      </c>
    </row>
    <row r="126" spans="2:9" x14ac:dyDescent="0.55000000000000004">
      <c r="B126" s="11">
        <f t="shared" si="27"/>
        <v>5</v>
      </c>
      <c r="C126" s="11">
        <f t="shared" si="28"/>
        <v>5</v>
      </c>
      <c r="D126" s="12">
        <f t="shared" si="9"/>
        <v>119046.78180333333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25"/>
        <v>Feb'18/19</v>
      </c>
      <c r="I126" s="11">
        <f t="shared" si="26"/>
        <v>4.5308779028383332</v>
      </c>
    </row>
    <row r="127" spans="2:9" x14ac:dyDescent="0.55000000000000004">
      <c r="B127" s="11">
        <f t="shared" si="27"/>
        <v>5</v>
      </c>
      <c r="C127" s="11">
        <f t="shared" si="28"/>
        <v>6</v>
      </c>
      <c r="D127" s="12">
        <f t="shared" si="9"/>
        <v>58865.133566666671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25"/>
        <v>Mar'18/19</v>
      </c>
      <c r="I127" s="11">
        <f t="shared" si="26"/>
        <v>4.5106992243766664</v>
      </c>
    </row>
    <row r="128" spans="2:9" x14ac:dyDescent="0.55000000000000004">
      <c r="B128" s="11">
        <f t="shared" si="27"/>
        <v>5</v>
      </c>
      <c r="C128" s="11">
        <f t="shared" si="28"/>
        <v>7</v>
      </c>
      <c r="D128" s="12">
        <f t="shared" si="9"/>
        <v>61703.694438333354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25"/>
        <v>Apr'18/19</v>
      </c>
      <c r="I128" s="11">
        <f t="shared" si="26"/>
        <v>4.5168719859183337</v>
      </c>
    </row>
    <row r="129" spans="2:9" x14ac:dyDescent="0.55000000000000004">
      <c r="B129" s="11">
        <f t="shared" si="27"/>
        <v>5</v>
      </c>
      <c r="C129" s="11">
        <f t="shared" si="28"/>
        <v>8</v>
      </c>
      <c r="D129" s="12">
        <f t="shared" si="9"/>
        <v>86927.433518333346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25"/>
        <v>May'18/19</v>
      </c>
      <c r="I129" s="11">
        <f t="shared" si="26"/>
        <v>4.4883185243283332</v>
      </c>
    </row>
    <row r="130" spans="2:9" x14ac:dyDescent="0.55000000000000004">
      <c r="B130" s="11">
        <f t="shared" si="27"/>
        <v>5</v>
      </c>
      <c r="C130" s="11">
        <f t="shared" si="28"/>
        <v>9</v>
      </c>
      <c r="D130" s="12">
        <f t="shared" si="9"/>
        <v>182657.76676666667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25"/>
        <v>Jun'18/19</v>
      </c>
      <c r="I130" s="11">
        <f t="shared" si="26"/>
        <v>4.4325911348499991</v>
      </c>
    </row>
    <row r="131" spans="2:9" x14ac:dyDescent="0.55000000000000004">
      <c r="B131" s="11">
        <f t="shared" si="27"/>
        <v>5</v>
      </c>
      <c r="C131" s="11">
        <f t="shared" si="28"/>
        <v>10</v>
      </c>
      <c r="D131" s="12">
        <f t="shared" si="9"/>
        <v>417948.33043166675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25"/>
        <v>Jul'18/19</v>
      </c>
      <c r="I131" s="11">
        <f t="shared" si="26"/>
        <v>4.4742619766500002</v>
      </c>
    </row>
    <row r="132" spans="2:9" x14ac:dyDescent="0.55000000000000004">
      <c r="B132" s="11">
        <f t="shared" si="27"/>
        <v>5</v>
      </c>
      <c r="C132" s="11">
        <f t="shared" si="28"/>
        <v>11</v>
      </c>
      <c r="D132" s="12">
        <f t="shared" si="9"/>
        <v>530291.88400000008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25"/>
        <v>Aug'18/19</v>
      </c>
      <c r="I132" s="11">
        <f t="shared" si="26"/>
        <v>4.3873297837299994</v>
      </c>
    </row>
    <row r="133" spans="2:9" x14ac:dyDescent="0.55000000000000004">
      <c r="B133" s="11">
        <f t="shared" si="27"/>
        <v>5</v>
      </c>
      <c r="C133" s="11">
        <f t="shared" si="28"/>
        <v>12</v>
      </c>
      <c r="D133" s="12">
        <f t="shared" si="9"/>
        <v>676803.92444166681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25"/>
        <v>Sep'18/19</v>
      </c>
      <c r="I133" s="11">
        <f t="shared" si="26"/>
        <v>4.3778871396200003</v>
      </c>
    </row>
    <row r="134" spans="2:9" x14ac:dyDescent="0.55000000000000004">
      <c r="B134" s="11">
        <f t="shared" si="27"/>
        <v>6</v>
      </c>
      <c r="C134" s="11">
        <f t="shared" si="28"/>
        <v>1</v>
      </c>
      <c r="D134" s="12">
        <f t="shared" si="9"/>
        <v>590875.85678000015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25"/>
        <v>Oct'19/20</v>
      </c>
      <c r="I134" s="11">
        <f t="shared" si="26"/>
        <v>4.1237133674500006</v>
      </c>
    </row>
    <row r="135" spans="2:9" x14ac:dyDescent="0.55000000000000004">
      <c r="B135" s="11">
        <f t="shared" si="27"/>
        <v>6</v>
      </c>
      <c r="C135" s="11">
        <f t="shared" si="28"/>
        <v>2</v>
      </c>
      <c r="D135" s="12">
        <f t="shared" si="9"/>
        <v>549207.16330333345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25"/>
        <v>Nov'19/20</v>
      </c>
      <c r="I135" s="11">
        <f t="shared" si="26"/>
        <v>4.0508605586200002</v>
      </c>
    </row>
    <row r="136" spans="2:9" x14ac:dyDescent="0.55000000000000004">
      <c r="B136" s="11">
        <f t="shared" si="27"/>
        <v>6</v>
      </c>
      <c r="C136" s="11">
        <f t="shared" si="28"/>
        <v>3</v>
      </c>
      <c r="D136" s="12">
        <f t="shared" si="9"/>
        <v>528813.00895666669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25"/>
        <v>Dec'19/20</v>
      </c>
      <c r="I136" s="11">
        <f t="shared" si="26"/>
        <v>4.0777631712316671</v>
      </c>
    </row>
    <row r="137" spans="2:9" x14ac:dyDescent="0.55000000000000004">
      <c r="B137" s="11">
        <f t="shared" si="27"/>
        <v>6</v>
      </c>
      <c r="C137" s="11">
        <f t="shared" si="28"/>
        <v>4</v>
      </c>
      <c r="D137" s="12">
        <f t="shared" si="9"/>
        <v>169885.44611666669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25"/>
        <v>Jan'19/20</v>
      </c>
      <c r="I137" s="11">
        <f t="shared" si="26"/>
        <v>3.9730264241233337</v>
      </c>
    </row>
    <row r="138" spans="2:9" x14ac:dyDescent="0.55000000000000004">
      <c r="B138" s="11">
        <f t="shared" si="27"/>
        <v>6</v>
      </c>
      <c r="C138" s="11">
        <f t="shared" si="28"/>
        <v>5</v>
      </c>
      <c r="D138" s="12">
        <f t="shared" si="9"/>
        <v>80773.137660000008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25"/>
        <v>Feb'19/20</v>
      </c>
      <c r="I138" s="11">
        <f t="shared" si="26"/>
        <v>3.9347527799800006</v>
      </c>
    </row>
    <row r="139" spans="2:9" x14ac:dyDescent="0.55000000000000004">
      <c r="B139" s="11">
        <f t="shared" si="27"/>
        <v>6</v>
      </c>
      <c r="C139" s="11">
        <f t="shared" si="28"/>
        <v>6</v>
      </c>
      <c r="D139" s="12">
        <f t="shared" ref="D139:D202" si="29">INDEX($C$7:$N$19,MATCH(B139,$A$7:$A$19),MATCH(C139,$C$4:$N$4))</f>
        <v>36993.123366666674</v>
      </c>
      <c r="E139" s="11" t="str">
        <f t="shared" ref="E139:E202" si="30">_xlfn.XLOOKUP(B139,$A$7:$A$19,$B$7:$B$19)</f>
        <v>19/20</v>
      </c>
      <c r="F139" s="11" t="str">
        <f t="shared" ref="F139:F202" si="31">_xlfn.XLOOKUP(C139,$C$4:$N$4,$C$6:$N$6)</f>
        <v>Mar</v>
      </c>
      <c r="G139" s="11" t="str">
        <f t="shared" ref="G139:G202" si="32">_xlfn.CONCAT(F139,"'",E139)</f>
        <v>Mar'19/20</v>
      </c>
      <c r="H139" s="11" t="str">
        <f t="shared" si="25"/>
        <v>Mar'19/20</v>
      </c>
      <c r="I139" s="11">
        <f t="shared" si="26"/>
        <v>3.9128807697800001</v>
      </c>
    </row>
    <row r="140" spans="2:9" x14ac:dyDescent="0.55000000000000004">
      <c r="B140" s="11">
        <f t="shared" si="27"/>
        <v>6</v>
      </c>
      <c r="C140" s="11">
        <f t="shared" si="28"/>
        <v>7</v>
      </c>
      <c r="D140" s="12">
        <f t="shared" si="29"/>
        <v>57443.824316666665</v>
      </c>
      <c r="E140" s="11" t="str">
        <f t="shared" si="30"/>
        <v>19/20</v>
      </c>
      <c r="F140" s="11" t="str">
        <f t="shared" si="31"/>
        <v>Apr</v>
      </c>
      <c r="G140" s="11" t="str">
        <f t="shared" si="32"/>
        <v>Apr'19/20</v>
      </c>
      <c r="H140" s="11" t="str">
        <f t="shared" si="25"/>
        <v>Apr'19/20</v>
      </c>
      <c r="I140" s="11">
        <f t="shared" si="26"/>
        <v>3.9086208996583336</v>
      </c>
    </row>
    <row r="141" spans="2:9" x14ac:dyDescent="0.55000000000000004">
      <c r="B141" s="11">
        <f t="shared" si="27"/>
        <v>6</v>
      </c>
      <c r="C141" s="11">
        <f t="shared" si="28"/>
        <v>8</v>
      </c>
      <c r="D141" s="12">
        <f t="shared" si="29"/>
        <v>108056.32600000002</v>
      </c>
      <c r="E141" s="11" t="str">
        <f t="shared" si="30"/>
        <v>19/20</v>
      </c>
      <c r="F141" s="11" t="str">
        <f t="shared" si="31"/>
        <v>May</v>
      </c>
      <c r="G141" s="11" t="str">
        <f t="shared" si="32"/>
        <v>May'19/20</v>
      </c>
      <c r="H141" s="11" t="str">
        <f t="shared" si="25"/>
        <v>May'19/20</v>
      </c>
      <c r="I141" s="11">
        <f t="shared" si="26"/>
        <v>3.92974979214</v>
      </c>
    </row>
    <row r="142" spans="2:9" x14ac:dyDescent="0.55000000000000004">
      <c r="B142" s="11">
        <f t="shared" si="27"/>
        <v>6</v>
      </c>
      <c r="C142" s="11">
        <f t="shared" si="28"/>
        <v>9</v>
      </c>
      <c r="D142" s="12">
        <f t="shared" si="29"/>
        <v>151061.63267500003</v>
      </c>
      <c r="E142" s="11" t="str">
        <f t="shared" si="30"/>
        <v>19/20</v>
      </c>
      <c r="F142" s="11" t="str">
        <f t="shared" si="31"/>
        <v>Jun</v>
      </c>
      <c r="G142" s="11" t="str">
        <f t="shared" si="32"/>
        <v>Jun'19/20</v>
      </c>
      <c r="H142" s="11" t="str">
        <f t="shared" si="25"/>
        <v>Jun'19/20</v>
      </c>
      <c r="I142" s="11">
        <f t="shared" si="26"/>
        <v>3.8981536580483329</v>
      </c>
    </row>
    <row r="143" spans="2:9" x14ac:dyDescent="0.55000000000000004">
      <c r="B143" s="11">
        <f t="shared" si="27"/>
        <v>6</v>
      </c>
      <c r="C143" s="11">
        <f t="shared" si="28"/>
        <v>10</v>
      </c>
      <c r="D143" s="12">
        <f t="shared" si="29"/>
        <v>364494.27547500003</v>
      </c>
      <c r="E143" s="11" t="str">
        <f t="shared" si="30"/>
        <v>19/20</v>
      </c>
      <c r="F143" s="11" t="str">
        <f t="shared" si="31"/>
        <v>Jul</v>
      </c>
      <c r="G143" s="11" t="str">
        <f t="shared" si="32"/>
        <v>Jul'19/20</v>
      </c>
      <c r="H143" s="11" t="str">
        <f t="shared" si="25"/>
        <v>Jul'19/20</v>
      </c>
      <c r="I143" s="11">
        <f t="shared" si="26"/>
        <v>3.8446996030916667</v>
      </c>
    </row>
    <row r="144" spans="2:9" x14ac:dyDescent="0.55000000000000004">
      <c r="B144" s="11">
        <f t="shared" si="27"/>
        <v>6</v>
      </c>
      <c r="C144" s="11">
        <f t="shared" si="28"/>
        <v>11</v>
      </c>
      <c r="D144" s="12">
        <f t="shared" si="29"/>
        <v>526501.2222983333</v>
      </c>
      <c r="E144" s="11" t="str">
        <f t="shared" si="30"/>
        <v>19/20</v>
      </c>
      <c r="F144" s="11" t="str">
        <f t="shared" si="31"/>
        <v>Aug</v>
      </c>
      <c r="G144" s="11" t="str">
        <f t="shared" si="32"/>
        <v>Aug'19/20</v>
      </c>
      <c r="H144" s="11" t="str">
        <f t="shared" si="25"/>
        <v>Aug'19/20</v>
      </c>
      <c r="I144" s="11">
        <f t="shared" si="26"/>
        <v>3.8409089413899999</v>
      </c>
    </row>
    <row r="145" spans="2:9" x14ac:dyDescent="0.55000000000000004">
      <c r="B145" s="11">
        <f t="shared" si="27"/>
        <v>6</v>
      </c>
      <c r="C145" s="11">
        <f t="shared" si="28"/>
        <v>12</v>
      </c>
      <c r="D145" s="12">
        <f t="shared" si="29"/>
        <v>587162.04218166659</v>
      </c>
      <c r="E145" s="11" t="str">
        <f t="shared" si="30"/>
        <v>19/20</v>
      </c>
      <c r="F145" s="11" t="str">
        <f t="shared" si="31"/>
        <v>Sep</v>
      </c>
      <c r="G145" s="11" t="str">
        <f t="shared" si="32"/>
        <v>Sep'19/20</v>
      </c>
      <c r="H145" s="11" t="str">
        <f t="shared" si="25"/>
        <v>Sep'19/20</v>
      </c>
      <c r="I145" s="11">
        <f t="shared" si="26"/>
        <v>3.7512670591300004</v>
      </c>
    </row>
    <row r="146" spans="2:9" x14ac:dyDescent="0.55000000000000004">
      <c r="B146" s="11">
        <f t="shared" si="27"/>
        <v>7</v>
      </c>
      <c r="C146" s="11">
        <f t="shared" si="28"/>
        <v>1</v>
      </c>
      <c r="D146" s="12">
        <f t="shared" si="29"/>
        <v>415830.10040833341</v>
      </c>
      <c r="E146" s="11" t="str">
        <f t="shared" si="30"/>
        <v>20/21</v>
      </c>
      <c r="F146" s="11" t="str">
        <f t="shared" si="31"/>
        <v>Oct</v>
      </c>
      <c r="G146" s="11" t="str">
        <f t="shared" si="32"/>
        <v>Oct'20/21</v>
      </c>
      <c r="H146" s="11" t="str">
        <f t="shared" si="25"/>
        <v>Oct'20/21</v>
      </c>
      <c r="I146" s="11">
        <f t="shared" si="26"/>
        <v>3.5762213027583338</v>
      </c>
    </row>
    <row r="147" spans="2:9" x14ac:dyDescent="0.55000000000000004">
      <c r="B147" s="11">
        <f t="shared" si="27"/>
        <v>7</v>
      </c>
      <c r="C147" s="11">
        <f t="shared" si="28"/>
        <v>2</v>
      </c>
      <c r="D147" s="12">
        <f t="shared" si="29"/>
        <v>523156.57553666673</v>
      </c>
      <c r="E147" s="11" t="str">
        <f t="shared" si="30"/>
        <v>20/21</v>
      </c>
      <c r="F147" s="11" t="str">
        <f t="shared" si="31"/>
        <v>Nov</v>
      </c>
      <c r="G147" s="11" t="str">
        <f t="shared" si="32"/>
        <v>Nov'20/21</v>
      </c>
      <c r="H147" s="11" t="str">
        <f t="shared" si="25"/>
        <v>Nov'20/21</v>
      </c>
      <c r="I147" s="11">
        <f t="shared" si="26"/>
        <v>3.5501707149916668</v>
      </c>
    </row>
    <row r="148" spans="2:9" x14ac:dyDescent="0.55000000000000004">
      <c r="B148" s="11">
        <f t="shared" si="27"/>
        <v>7</v>
      </c>
      <c r="C148" s="11">
        <f t="shared" si="28"/>
        <v>3</v>
      </c>
      <c r="D148" s="12">
        <f t="shared" si="29"/>
        <v>431296.28165000014</v>
      </c>
      <c r="E148" s="11" t="str">
        <f t="shared" si="30"/>
        <v>20/21</v>
      </c>
      <c r="F148" s="11" t="str">
        <f t="shared" si="31"/>
        <v>Dec</v>
      </c>
      <c r="G148" s="11" t="str">
        <f t="shared" si="32"/>
        <v>Dec'20/21</v>
      </c>
      <c r="H148" s="11" t="str">
        <f t="shared" si="25"/>
        <v>Dec'20/21</v>
      </c>
      <c r="I148" s="11">
        <f t="shared" si="26"/>
        <v>3.4526539876850006</v>
      </c>
    </row>
    <row r="149" spans="2:9" x14ac:dyDescent="0.55000000000000004">
      <c r="B149" s="11">
        <f t="shared" si="27"/>
        <v>7</v>
      </c>
      <c r="C149" s="11">
        <f t="shared" si="28"/>
        <v>4</v>
      </c>
      <c r="D149" s="12">
        <f t="shared" si="29"/>
        <v>183926.68382833331</v>
      </c>
      <c r="E149" s="11" t="str">
        <f t="shared" si="30"/>
        <v>20/21</v>
      </c>
      <c r="F149" s="11" t="str">
        <f t="shared" si="31"/>
        <v>Jan</v>
      </c>
      <c r="G149" s="11" t="str">
        <f t="shared" si="32"/>
        <v>Jan'20/21</v>
      </c>
      <c r="H149" s="11" t="str">
        <f t="shared" si="25"/>
        <v>Jan'20/21</v>
      </c>
      <c r="I149" s="11">
        <f t="shared" si="26"/>
        <v>3.4666952253966672</v>
      </c>
    </row>
    <row r="150" spans="2:9" x14ac:dyDescent="0.55000000000000004">
      <c r="B150" s="11">
        <f t="shared" si="27"/>
        <v>7</v>
      </c>
      <c r="C150" s="11">
        <f t="shared" si="28"/>
        <v>5</v>
      </c>
      <c r="D150" s="12">
        <f t="shared" si="29"/>
        <v>87231.137755000003</v>
      </c>
      <c r="E150" s="11" t="str">
        <f t="shared" si="30"/>
        <v>20/21</v>
      </c>
      <c r="F150" s="11" t="str">
        <f t="shared" si="31"/>
        <v>Feb</v>
      </c>
      <c r="G150" s="11" t="str">
        <f t="shared" si="32"/>
        <v>Feb'20/21</v>
      </c>
      <c r="H150" s="11" t="str">
        <f t="shared" ref="H150:H213" si="33">G150</f>
        <v>Feb'20/21</v>
      </c>
      <c r="I150" s="11">
        <f t="shared" ref="I150:I213" si="34">SUM(D139:D150)/1000000</f>
        <v>3.4731532254916671</v>
      </c>
    </row>
    <row r="151" spans="2:9" x14ac:dyDescent="0.55000000000000004">
      <c r="B151" s="11">
        <f t="shared" ref="B151:B214" si="35">B139+1</f>
        <v>7</v>
      </c>
      <c r="C151" s="11">
        <f t="shared" ref="C151:C214" si="36">C139</f>
        <v>6</v>
      </c>
      <c r="D151" s="12">
        <f t="shared" si="29"/>
        <v>62817.280278333354</v>
      </c>
      <c r="E151" s="11" t="str">
        <f t="shared" si="30"/>
        <v>20/21</v>
      </c>
      <c r="F151" s="11" t="str">
        <f t="shared" si="31"/>
        <v>Mar</v>
      </c>
      <c r="G151" s="11" t="str">
        <f t="shared" si="32"/>
        <v>Mar'20/21</v>
      </c>
      <c r="H151" s="11" t="str">
        <f t="shared" si="33"/>
        <v>Mar'20/21</v>
      </c>
      <c r="I151" s="11">
        <f t="shared" si="34"/>
        <v>3.4989773824033343</v>
      </c>
    </row>
    <row r="152" spans="2:9" x14ac:dyDescent="0.55000000000000004">
      <c r="B152" s="11">
        <f t="shared" si="35"/>
        <v>7</v>
      </c>
      <c r="C152" s="11">
        <f t="shared" si="36"/>
        <v>7</v>
      </c>
      <c r="D152" s="12">
        <f t="shared" si="29"/>
        <v>50258.801296666665</v>
      </c>
      <c r="E152" s="11" t="str">
        <f t="shared" si="30"/>
        <v>20/21</v>
      </c>
      <c r="F152" s="11" t="str">
        <f t="shared" si="31"/>
        <v>Apr</v>
      </c>
      <c r="G152" s="11" t="str">
        <f t="shared" si="32"/>
        <v>Apr'20/21</v>
      </c>
      <c r="H152" s="11" t="str">
        <f t="shared" si="33"/>
        <v>Apr'20/21</v>
      </c>
      <c r="I152" s="11">
        <f t="shared" si="34"/>
        <v>3.491792359383334</v>
      </c>
    </row>
    <row r="153" spans="2:9" x14ac:dyDescent="0.55000000000000004">
      <c r="B153" s="11">
        <f t="shared" si="35"/>
        <v>7</v>
      </c>
      <c r="C153" s="11">
        <f t="shared" si="36"/>
        <v>8</v>
      </c>
      <c r="D153" s="12">
        <f t="shared" si="29"/>
        <v>64758.744708333354</v>
      </c>
      <c r="E153" s="11" t="str">
        <f t="shared" si="30"/>
        <v>20/21</v>
      </c>
      <c r="F153" s="11" t="str">
        <f t="shared" si="31"/>
        <v>May</v>
      </c>
      <c r="G153" s="11" t="str">
        <f t="shared" si="32"/>
        <v>May'20/21</v>
      </c>
      <c r="H153" s="11" t="str">
        <f t="shared" si="33"/>
        <v>May'20/21</v>
      </c>
      <c r="I153" s="11">
        <f t="shared" si="34"/>
        <v>3.4484947780916673</v>
      </c>
    </row>
    <row r="154" spans="2:9" x14ac:dyDescent="0.55000000000000004">
      <c r="B154" s="11">
        <f t="shared" si="35"/>
        <v>7</v>
      </c>
      <c r="C154" s="11">
        <f t="shared" si="36"/>
        <v>9</v>
      </c>
      <c r="D154" s="12">
        <f t="shared" si="29"/>
        <v>149565.91969333333</v>
      </c>
      <c r="E154" s="11" t="str">
        <f t="shared" si="30"/>
        <v>20/21</v>
      </c>
      <c r="F154" s="11" t="str">
        <f t="shared" si="31"/>
        <v>Jun</v>
      </c>
      <c r="G154" s="11" t="str">
        <f t="shared" si="32"/>
        <v>Jun'20/21</v>
      </c>
      <c r="H154" s="11" t="str">
        <f t="shared" si="33"/>
        <v>Jun'20/21</v>
      </c>
      <c r="I154" s="11">
        <f t="shared" si="34"/>
        <v>3.4469990651100009</v>
      </c>
    </row>
    <row r="155" spans="2:9" x14ac:dyDescent="0.55000000000000004">
      <c r="B155" s="11">
        <f t="shared" si="35"/>
        <v>7</v>
      </c>
      <c r="C155" s="11">
        <f t="shared" si="36"/>
        <v>10</v>
      </c>
      <c r="D155" s="12">
        <f t="shared" si="29"/>
        <v>262698.34537666669</v>
      </c>
      <c r="E155" s="11" t="str">
        <f t="shared" si="30"/>
        <v>20/21</v>
      </c>
      <c r="F155" s="11" t="str">
        <f t="shared" si="31"/>
        <v>Jul</v>
      </c>
      <c r="G155" s="11" t="str">
        <f t="shared" si="32"/>
        <v>Jul'20/21</v>
      </c>
      <c r="H155" s="11" t="str">
        <f t="shared" si="33"/>
        <v>Jul'20/21</v>
      </c>
      <c r="I155" s="11">
        <f t="shared" si="34"/>
        <v>3.3452031350116664</v>
      </c>
    </row>
    <row r="156" spans="2:9" x14ac:dyDescent="0.55000000000000004">
      <c r="B156" s="11">
        <f t="shared" si="35"/>
        <v>7</v>
      </c>
      <c r="C156" s="11">
        <f t="shared" si="36"/>
        <v>11</v>
      </c>
      <c r="D156" s="12">
        <f t="shared" si="29"/>
        <v>319354.37449666671</v>
      </c>
      <c r="E156" s="11" t="str">
        <f t="shared" si="30"/>
        <v>20/21</v>
      </c>
      <c r="F156" s="11" t="str">
        <f t="shared" si="31"/>
        <v>Aug</v>
      </c>
      <c r="G156" s="11" t="str">
        <f t="shared" si="32"/>
        <v>Aug'20/21</v>
      </c>
      <c r="H156" s="11" t="str">
        <f t="shared" si="33"/>
        <v>Aug'20/21</v>
      </c>
      <c r="I156" s="11">
        <f t="shared" si="34"/>
        <v>3.1380562872100008</v>
      </c>
    </row>
    <row r="157" spans="2:9" x14ac:dyDescent="0.55000000000000004">
      <c r="B157" s="11">
        <f t="shared" si="35"/>
        <v>7</v>
      </c>
      <c r="C157" s="11">
        <f t="shared" si="36"/>
        <v>12</v>
      </c>
      <c r="D157" s="12">
        <f t="shared" si="29"/>
        <v>554616.97728166659</v>
      </c>
      <c r="E157" s="11" t="str">
        <f t="shared" si="30"/>
        <v>20/21</v>
      </c>
      <c r="F157" s="11" t="str">
        <f t="shared" si="31"/>
        <v>Sep</v>
      </c>
      <c r="G157" s="11" t="str">
        <f t="shared" si="32"/>
        <v>Sep'20/21</v>
      </c>
      <c r="H157" s="11" t="str">
        <f t="shared" si="33"/>
        <v>Sep'20/21</v>
      </c>
      <c r="I157" s="11">
        <f t="shared" si="34"/>
        <v>3.105511222310001</v>
      </c>
    </row>
    <row r="158" spans="2:9" x14ac:dyDescent="0.55000000000000004">
      <c r="B158" s="11">
        <f t="shared" si="35"/>
        <v>8</v>
      </c>
      <c r="C158" s="11">
        <f t="shared" si="36"/>
        <v>1</v>
      </c>
      <c r="D158" s="12">
        <f t="shared" si="29"/>
        <v>564680.24459833337</v>
      </c>
      <c r="E158" s="11" t="str">
        <f t="shared" si="30"/>
        <v>21/22</v>
      </c>
      <c r="F158" s="11" t="str">
        <f t="shared" si="31"/>
        <v>Oct</v>
      </c>
      <c r="G158" s="11" t="str">
        <f t="shared" si="32"/>
        <v>Oct'21/22</v>
      </c>
      <c r="H158" s="11" t="str">
        <f t="shared" si="33"/>
        <v>Oct'21/22</v>
      </c>
      <c r="I158" s="11">
        <f t="shared" si="34"/>
        <v>3.2543613665</v>
      </c>
    </row>
    <row r="159" spans="2:9" x14ac:dyDescent="0.55000000000000004">
      <c r="B159" s="11">
        <f t="shared" si="35"/>
        <v>8</v>
      </c>
      <c r="C159" s="11">
        <f t="shared" si="36"/>
        <v>2</v>
      </c>
      <c r="D159" s="12">
        <f t="shared" si="29"/>
        <v>555440.44521999999</v>
      </c>
      <c r="E159" s="11" t="str">
        <f t="shared" si="30"/>
        <v>21/22</v>
      </c>
      <c r="F159" s="11" t="str">
        <f t="shared" si="31"/>
        <v>Nov</v>
      </c>
      <c r="G159" s="11" t="str">
        <f t="shared" si="32"/>
        <v>Nov'21/22</v>
      </c>
      <c r="H159" s="11" t="str">
        <f t="shared" si="33"/>
        <v>Nov'21/22</v>
      </c>
      <c r="I159" s="11">
        <f t="shared" si="34"/>
        <v>3.2866452361833338</v>
      </c>
    </row>
    <row r="160" spans="2:9" x14ac:dyDescent="0.55000000000000004">
      <c r="B160" s="11">
        <f t="shared" si="35"/>
        <v>8</v>
      </c>
      <c r="C160" s="11">
        <f t="shared" si="36"/>
        <v>3</v>
      </c>
      <c r="D160" s="12">
        <f t="shared" si="29"/>
        <v>566724.26891666662</v>
      </c>
      <c r="E160" s="11" t="str">
        <f t="shared" si="30"/>
        <v>21/22</v>
      </c>
      <c r="F160" s="11" t="str">
        <f t="shared" si="31"/>
        <v>Dec</v>
      </c>
      <c r="G160" s="11" t="str">
        <f t="shared" si="32"/>
        <v>Dec'21/22</v>
      </c>
      <c r="H160" s="11" t="str">
        <f t="shared" si="33"/>
        <v>Dec'21/22</v>
      </c>
      <c r="I160" s="11">
        <f t="shared" si="34"/>
        <v>3.42207322345</v>
      </c>
    </row>
    <row r="161" spans="2:9" x14ac:dyDescent="0.55000000000000004">
      <c r="B161" s="11">
        <f t="shared" si="35"/>
        <v>8</v>
      </c>
      <c r="C161" s="11">
        <f t="shared" si="36"/>
        <v>4</v>
      </c>
      <c r="D161" s="12">
        <f t="shared" si="29"/>
        <v>510481.16436000005</v>
      </c>
      <c r="E161" s="11" t="str">
        <f t="shared" si="30"/>
        <v>21/22</v>
      </c>
      <c r="F161" s="11" t="str">
        <f t="shared" si="31"/>
        <v>Jan</v>
      </c>
      <c r="G161" s="11" t="str">
        <f t="shared" si="32"/>
        <v>Jan'21/22</v>
      </c>
      <c r="H161" s="11" t="str">
        <f t="shared" si="33"/>
        <v>Jan'21/22</v>
      </c>
      <c r="I161" s="11">
        <f t="shared" si="34"/>
        <v>3.7486277039816667</v>
      </c>
    </row>
    <row r="162" spans="2:9" x14ac:dyDescent="0.55000000000000004">
      <c r="B162" s="11">
        <f t="shared" si="35"/>
        <v>8</v>
      </c>
      <c r="C162" s="11">
        <f t="shared" si="36"/>
        <v>5</v>
      </c>
      <c r="D162" s="12">
        <f t="shared" si="29"/>
        <v>438364.25685500004</v>
      </c>
      <c r="E162" s="11" t="str">
        <f t="shared" si="30"/>
        <v>21/22</v>
      </c>
      <c r="F162" s="11" t="str">
        <f t="shared" si="31"/>
        <v>Feb</v>
      </c>
      <c r="G162" s="11" t="str">
        <f t="shared" si="32"/>
        <v>Feb'21/22</v>
      </c>
      <c r="H162" s="11" t="str">
        <f t="shared" si="33"/>
        <v>Feb'21/22</v>
      </c>
      <c r="I162" s="11">
        <f t="shared" si="34"/>
        <v>4.0997608230816667</v>
      </c>
    </row>
    <row r="163" spans="2:9" x14ac:dyDescent="0.55000000000000004">
      <c r="B163" s="11">
        <f t="shared" si="35"/>
        <v>8</v>
      </c>
      <c r="C163" s="11">
        <f t="shared" si="36"/>
        <v>6</v>
      </c>
      <c r="D163" s="12">
        <f t="shared" si="29"/>
        <v>246661.72353333337</v>
      </c>
      <c r="E163" s="11" t="str">
        <f t="shared" si="30"/>
        <v>21/22</v>
      </c>
      <c r="F163" s="11" t="str">
        <f t="shared" si="31"/>
        <v>Mar</v>
      </c>
      <c r="G163" s="11" t="str">
        <f t="shared" si="32"/>
        <v>Mar'21/22</v>
      </c>
      <c r="H163" s="11" t="str">
        <f t="shared" si="33"/>
        <v>Mar'21/22</v>
      </c>
      <c r="I163" s="11">
        <f t="shared" si="34"/>
        <v>4.2836052663366662</v>
      </c>
    </row>
    <row r="164" spans="2:9" x14ac:dyDescent="0.55000000000000004">
      <c r="B164" s="11">
        <f t="shared" si="35"/>
        <v>8</v>
      </c>
      <c r="C164" s="11">
        <f t="shared" si="36"/>
        <v>7</v>
      </c>
      <c r="D164" s="12">
        <f t="shared" si="29"/>
        <v>107259.33783333335</v>
      </c>
      <c r="E164" s="11" t="str">
        <f t="shared" si="30"/>
        <v>21/22</v>
      </c>
      <c r="F164" s="11" t="str">
        <f t="shared" si="31"/>
        <v>Apr</v>
      </c>
      <c r="G164" s="11" t="str">
        <f t="shared" si="32"/>
        <v>Apr'21/22</v>
      </c>
      <c r="H164" s="11" t="str">
        <f t="shared" si="33"/>
        <v>Apr'21/22</v>
      </c>
      <c r="I164" s="11">
        <f t="shared" si="34"/>
        <v>4.3406058028733341</v>
      </c>
    </row>
    <row r="165" spans="2:9" x14ac:dyDescent="0.55000000000000004">
      <c r="B165" s="11">
        <f t="shared" si="35"/>
        <v>8</v>
      </c>
      <c r="C165" s="11">
        <f t="shared" si="36"/>
        <v>8</v>
      </c>
      <c r="D165" s="12">
        <f t="shared" si="29"/>
        <v>111980.52214333335</v>
      </c>
      <c r="E165" s="11" t="str">
        <f t="shared" si="30"/>
        <v>21/22</v>
      </c>
      <c r="F165" s="11" t="str">
        <f t="shared" si="31"/>
        <v>May</v>
      </c>
      <c r="G165" s="11" t="str">
        <f t="shared" si="32"/>
        <v>May'21/22</v>
      </c>
      <c r="H165" s="11" t="str">
        <f t="shared" si="33"/>
        <v>May'21/22</v>
      </c>
      <c r="I165" s="11">
        <f t="shared" si="34"/>
        <v>4.3878275803083326</v>
      </c>
    </row>
    <row r="166" spans="2:9" x14ac:dyDescent="0.55000000000000004">
      <c r="B166" s="11">
        <f t="shared" si="35"/>
        <v>8</v>
      </c>
      <c r="C166" s="11">
        <f t="shared" si="36"/>
        <v>9</v>
      </c>
      <c r="D166" s="12">
        <f t="shared" si="29"/>
        <v>214516.54013333336</v>
      </c>
      <c r="E166" s="11" t="str">
        <f t="shared" si="30"/>
        <v>21/22</v>
      </c>
      <c r="F166" s="11" t="str">
        <f t="shared" si="31"/>
        <v>Jun</v>
      </c>
      <c r="G166" s="11" t="str">
        <f t="shared" si="32"/>
        <v>Jun'21/22</v>
      </c>
      <c r="H166" s="11" t="str">
        <f t="shared" si="33"/>
        <v>Jun'21/22</v>
      </c>
      <c r="I166" s="11">
        <f t="shared" si="34"/>
        <v>4.4527782007483339</v>
      </c>
    </row>
    <row r="167" spans="2:9" x14ac:dyDescent="0.55000000000000004">
      <c r="B167" s="11">
        <f t="shared" si="35"/>
        <v>8</v>
      </c>
      <c r="C167" s="11">
        <f t="shared" si="36"/>
        <v>10</v>
      </c>
      <c r="D167" s="12">
        <f t="shared" si="29"/>
        <v>345258.15669666673</v>
      </c>
      <c r="E167" s="11" t="str">
        <f t="shared" si="30"/>
        <v>21/22</v>
      </c>
      <c r="F167" s="11" t="str">
        <f t="shared" si="31"/>
        <v>Jul</v>
      </c>
      <c r="G167" s="11" t="str">
        <f t="shared" si="32"/>
        <v>Jul'21/22</v>
      </c>
      <c r="H167" s="11" t="str">
        <f t="shared" si="33"/>
        <v>Jul'21/22</v>
      </c>
      <c r="I167" s="11">
        <f t="shared" si="34"/>
        <v>4.5353380120683333</v>
      </c>
    </row>
    <row r="168" spans="2:9" x14ac:dyDescent="0.55000000000000004">
      <c r="B168" s="11">
        <f t="shared" si="35"/>
        <v>8</v>
      </c>
      <c r="C168" s="11">
        <f t="shared" si="36"/>
        <v>11</v>
      </c>
      <c r="D168" s="12">
        <f t="shared" si="29"/>
        <v>519200.5262333334</v>
      </c>
      <c r="E168" s="11" t="str">
        <f t="shared" si="30"/>
        <v>21/22</v>
      </c>
      <c r="F168" s="11" t="str">
        <f t="shared" si="31"/>
        <v>Aug</v>
      </c>
      <c r="G168" s="11" t="str">
        <f t="shared" si="32"/>
        <v>Aug'21/22</v>
      </c>
      <c r="H168" s="11" t="str">
        <f t="shared" si="33"/>
        <v>Aug'21/22</v>
      </c>
      <c r="I168" s="11">
        <f t="shared" si="34"/>
        <v>4.7351841638049992</v>
      </c>
    </row>
    <row r="169" spans="2:9" x14ac:dyDescent="0.55000000000000004">
      <c r="B169" s="11">
        <f t="shared" si="35"/>
        <v>8</v>
      </c>
      <c r="C169" s="11">
        <f t="shared" si="36"/>
        <v>12</v>
      </c>
      <c r="D169" s="12">
        <f t="shared" si="29"/>
        <v>588587.19122166641</v>
      </c>
      <c r="E169" s="11" t="str">
        <f t="shared" si="30"/>
        <v>21/22</v>
      </c>
      <c r="F169" s="11" t="str">
        <f t="shared" si="31"/>
        <v>Sep</v>
      </c>
      <c r="G169" s="11" t="str">
        <f t="shared" si="32"/>
        <v>Sep'21/22</v>
      </c>
      <c r="H169" s="11" t="str">
        <f t="shared" si="33"/>
        <v>Sep'21/22</v>
      </c>
      <c r="I169" s="11">
        <f t="shared" si="34"/>
        <v>4.7691543777450001</v>
      </c>
    </row>
    <row r="170" spans="2:9" x14ac:dyDescent="0.55000000000000004">
      <c r="B170" s="11">
        <f t="shared" si="35"/>
        <v>9</v>
      </c>
      <c r="C170" s="11">
        <f t="shared" si="36"/>
        <v>1</v>
      </c>
      <c r="D170" s="12">
        <f t="shared" si="29"/>
        <v>541563.56504833337</v>
      </c>
      <c r="E170" s="11" t="str">
        <f t="shared" si="30"/>
        <v>22/23</v>
      </c>
      <c r="F170" s="11" t="str">
        <f t="shared" si="31"/>
        <v>Oct</v>
      </c>
      <c r="G170" s="11" t="str">
        <f t="shared" si="32"/>
        <v>Oct'22/23</v>
      </c>
      <c r="H170" s="11" t="str">
        <f t="shared" si="33"/>
        <v>Oct'22/23</v>
      </c>
      <c r="I170" s="11">
        <f t="shared" si="34"/>
        <v>4.746037698194999</v>
      </c>
    </row>
    <row r="171" spans="2:9" x14ac:dyDescent="0.55000000000000004">
      <c r="B171" s="11">
        <f t="shared" si="35"/>
        <v>9</v>
      </c>
      <c r="C171" s="11">
        <f t="shared" si="36"/>
        <v>2</v>
      </c>
      <c r="D171" s="12">
        <f t="shared" si="29"/>
        <v>405447.31863000011</v>
      </c>
      <c r="E171" s="11" t="str">
        <f t="shared" si="30"/>
        <v>22/23</v>
      </c>
      <c r="F171" s="11" t="str">
        <f t="shared" si="31"/>
        <v>Nov</v>
      </c>
      <c r="G171" s="11" t="str">
        <f t="shared" si="32"/>
        <v>Nov'22/23</v>
      </c>
      <c r="H171" s="11" t="str">
        <f t="shared" si="33"/>
        <v>Nov'22/23</v>
      </c>
      <c r="I171" s="11">
        <f t="shared" si="34"/>
        <v>4.5960445716050007</v>
      </c>
    </row>
    <row r="172" spans="2:9" x14ac:dyDescent="0.55000000000000004">
      <c r="B172" s="11">
        <f t="shared" si="35"/>
        <v>9</v>
      </c>
      <c r="C172" s="11">
        <f t="shared" si="36"/>
        <v>3</v>
      </c>
      <c r="D172" s="12">
        <f t="shared" si="29"/>
        <v>322485.72636166669</v>
      </c>
      <c r="E172" s="11" t="str">
        <f t="shared" si="30"/>
        <v>22/23</v>
      </c>
      <c r="F172" s="11" t="str">
        <f t="shared" si="31"/>
        <v>Dec</v>
      </c>
      <c r="G172" s="11" t="str">
        <f t="shared" si="32"/>
        <v>Dec'22/23</v>
      </c>
      <c r="H172" s="11" t="str">
        <f t="shared" si="33"/>
        <v>Dec'22/23</v>
      </c>
      <c r="I172" s="11">
        <f t="shared" si="34"/>
        <v>4.3518060290499996</v>
      </c>
    </row>
    <row r="173" spans="2:9" x14ac:dyDescent="0.55000000000000004">
      <c r="B173" s="11">
        <f t="shared" si="35"/>
        <v>9</v>
      </c>
      <c r="C173" s="11">
        <f t="shared" si="36"/>
        <v>4</v>
      </c>
      <c r="D173" s="12">
        <f t="shared" si="29"/>
        <v>215112.87460666668</v>
      </c>
      <c r="E173" s="11" t="str">
        <f t="shared" si="30"/>
        <v>22/23</v>
      </c>
      <c r="F173" s="11" t="str">
        <f t="shared" si="31"/>
        <v>Jan</v>
      </c>
      <c r="G173" s="11" t="str">
        <f t="shared" si="32"/>
        <v>Jan'22/23</v>
      </c>
      <c r="H173" s="11" t="str">
        <f t="shared" si="33"/>
        <v>Jan'22/23</v>
      </c>
      <c r="I173" s="11">
        <f t="shared" si="34"/>
        <v>4.0564377392966664</v>
      </c>
    </row>
    <row r="174" spans="2:9" x14ac:dyDescent="0.55000000000000004">
      <c r="B174" s="11">
        <f t="shared" si="35"/>
        <v>9</v>
      </c>
      <c r="C174" s="11">
        <f t="shared" si="36"/>
        <v>5</v>
      </c>
      <c r="D174" s="12">
        <f t="shared" si="29"/>
        <v>78429.481545000017</v>
      </c>
      <c r="E174" s="11" t="str">
        <f t="shared" si="30"/>
        <v>22/23</v>
      </c>
      <c r="F174" s="11" t="str">
        <f t="shared" si="31"/>
        <v>Feb</v>
      </c>
      <c r="G174" s="11" t="str">
        <f t="shared" si="32"/>
        <v>Feb'22/23</v>
      </c>
      <c r="H174" s="11" t="str">
        <f t="shared" si="33"/>
        <v>Feb'22/23</v>
      </c>
      <c r="I174" s="11">
        <f t="shared" si="34"/>
        <v>3.6965029639866662</v>
      </c>
    </row>
    <row r="175" spans="2:9" x14ac:dyDescent="0.55000000000000004">
      <c r="B175" s="11">
        <f t="shared" si="35"/>
        <v>9</v>
      </c>
      <c r="C175" s="11">
        <f t="shared" si="36"/>
        <v>6</v>
      </c>
      <c r="D175" s="12">
        <f t="shared" si="29"/>
        <v>48724.747341666669</v>
      </c>
      <c r="E175" s="11" t="str">
        <f t="shared" si="30"/>
        <v>22/23</v>
      </c>
      <c r="F175" s="11" t="str">
        <f t="shared" si="31"/>
        <v>Mar</v>
      </c>
      <c r="G175" s="11" t="str">
        <f t="shared" si="32"/>
        <v>Mar'22/23</v>
      </c>
      <c r="H175" s="11" t="str">
        <f t="shared" si="33"/>
        <v>Mar'22/23</v>
      </c>
      <c r="I175" s="11">
        <f t="shared" si="34"/>
        <v>3.4985659877950002</v>
      </c>
    </row>
    <row r="176" spans="2:9" x14ac:dyDescent="0.55000000000000004">
      <c r="B176" s="11">
        <f t="shared" si="35"/>
        <v>9</v>
      </c>
      <c r="C176" s="11">
        <f t="shared" si="36"/>
        <v>7</v>
      </c>
      <c r="D176" s="12">
        <f t="shared" si="29"/>
        <v>42621.237365000001</v>
      </c>
      <c r="E176" s="11" t="str">
        <f t="shared" si="30"/>
        <v>22/23</v>
      </c>
      <c r="F176" s="11" t="str">
        <f t="shared" si="31"/>
        <v>Apr</v>
      </c>
      <c r="G176" s="11" t="str">
        <f t="shared" si="32"/>
        <v>Apr'22/23</v>
      </c>
      <c r="H176" s="11" t="str">
        <f t="shared" si="33"/>
        <v>Apr'22/23</v>
      </c>
      <c r="I176" s="11">
        <f t="shared" si="34"/>
        <v>3.4339278873266665</v>
      </c>
    </row>
    <row r="177" spans="2:9" x14ac:dyDescent="0.55000000000000004">
      <c r="B177" s="11">
        <f t="shared" si="35"/>
        <v>9</v>
      </c>
      <c r="C177" s="11">
        <f t="shared" si="36"/>
        <v>8</v>
      </c>
      <c r="D177" s="12">
        <f t="shared" si="29"/>
        <v>95305.505829999995</v>
      </c>
      <c r="E177" s="11" t="str">
        <f t="shared" si="30"/>
        <v>22/23</v>
      </c>
      <c r="F177" s="11" t="str">
        <f t="shared" si="31"/>
        <v>May</v>
      </c>
      <c r="G177" s="11" t="str">
        <f t="shared" si="32"/>
        <v>May'22/23</v>
      </c>
      <c r="H177" s="11" t="str">
        <f t="shared" si="33"/>
        <v>May'22/23</v>
      </c>
      <c r="I177" s="11">
        <f t="shared" si="34"/>
        <v>3.4172528710133334</v>
      </c>
    </row>
    <row r="178" spans="2:9" x14ac:dyDescent="0.55000000000000004">
      <c r="B178" s="11">
        <f t="shared" si="35"/>
        <v>9</v>
      </c>
      <c r="C178" s="11">
        <f t="shared" si="36"/>
        <v>9</v>
      </c>
      <c r="D178" s="12">
        <f t="shared" si="29"/>
        <v>133636.19315499999</v>
      </c>
      <c r="E178" s="11" t="str">
        <f t="shared" si="30"/>
        <v>22/23</v>
      </c>
      <c r="F178" s="11" t="str">
        <f t="shared" si="31"/>
        <v>Jun</v>
      </c>
      <c r="G178" s="11" t="str">
        <f t="shared" si="32"/>
        <v>Jun'22/23</v>
      </c>
      <c r="H178" s="11" t="str">
        <f t="shared" si="33"/>
        <v>Jun'22/23</v>
      </c>
      <c r="I178" s="11">
        <f t="shared" si="34"/>
        <v>3.3363725240350002</v>
      </c>
    </row>
    <row r="179" spans="2:9" x14ac:dyDescent="0.55000000000000004">
      <c r="B179" s="11">
        <f t="shared" si="35"/>
        <v>9</v>
      </c>
      <c r="C179" s="11">
        <f t="shared" si="36"/>
        <v>10</v>
      </c>
      <c r="D179" s="12">
        <f t="shared" si="29"/>
        <v>258092.01020166665</v>
      </c>
      <c r="E179" s="11" t="str">
        <f t="shared" si="30"/>
        <v>22/23</v>
      </c>
      <c r="F179" s="11" t="str">
        <f t="shared" si="31"/>
        <v>Jul</v>
      </c>
      <c r="G179" s="11" t="str">
        <f t="shared" si="32"/>
        <v>Jul'22/23</v>
      </c>
      <c r="H179" s="11" t="str">
        <f t="shared" si="33"/>
        <v>Jul'22/23</v>
      </c>
      <c r="I179" s="11">
        <f t="shared" si="34"/>
        <v>3.2492063775399997</v>
      </c>
    </row>
    <row r="180" spans="2:9" x14ac:dyDescent="0.55000000000000004">
      <c r="B180" s="11">
        <f t="shared" si="35"/>
        <v>9</v>
      </c>
      <c r="C180" s="11">
        <f t="shared" si="36"/>
        <v>11</v>
      </c>
      <c r="D180" s="12">
        <f t="shared" si="29"/>
        <v>422734.1767333335</v>
      </c>
      <c r="E180" s="11" t="str">
        <f t="shared" si="30"/>
        <v>22/23</v>
      </c>
      <c r="F180" s="11" t="str">
        <f t="shared" si="31"/>
        <v>Aug</v>
      </c>
      <c r="G180" s="11" t="str">
        <f t="shared" si="32"/>
        <v>Aug'22/23</v>
      </c>
      <c r="H180" s="11" t="str">
        <f t="shared" si="33"/>
        <v>Aug'22/23</v>
      </c>
      <c r="I180" s="11">
        <f t="shared" si="34"/>
        <v>3.1527400280400002</v>
      </c>
    </row>
    <row r="181" spans="2:9" x14ac:dyDescent="0.55000000000000004">
      <c r="B181" s="11">
        <f t="shared" si="35"/>
        <v>9</v>
      </c>
      <c r="C181" s="11">
        <f t="shared" si="36"/>
        <v>12</v>
      </c>
      <c r="D181" s="12">
        <f t="shared" si="29"/>
        <v>542129.49399166682</v>
      </c>
      <c r="E181" s="11" t="str">
        <f t="shared" si="30"/>
        <v>22/23</v>
      </c>
      <c r="F181" s="11" t="str">
        <f t="shared" si="31"/>
        <v>Sep</v>
      </c>
      <c r="G181" s="11" t="str">
        <f t="shared" si="32"/>
        <v>Sep'22/23</v>
      </c>
      <c r="H181" s="11" t="str">
        <f t="shared" si="33"/>
        <v>Sep'22/23</v>
      </c>
      <c r="I181" s="11">
        <f t="shared" si="34"/>
        <v>3.1062823308100005</v>
      </c>
    </row>
    <row r="182" spans="2:9" x14ac:dyDescent="0.55000000000000004">
      <c r="B182" s="11">
        <f t="shared" si="35"/>
        <v>10</v>
      </c>
      <c r="C182" s="11">
        <f t="shared" si="36"/>
        <v>1</v>
      </c>
      <c r="D182" s="12">
        <f t="shared" si="29"/>
        <v>620676.35617666668</v>
      </c>
      <c r="E182" s="11" t="str">
        <f t="shared" si="30"/>
        <v>23/24</v>
      </c>
      <c r="F182" s="11" t="str">
        <f t="shared" si="31"/>
        <v>Oct</v>
      </c>
      <c r="G182" s="11" t="str">
        <f t="shared" si="32"/>
        <v>Oct'23/24</v>
      </c>
      <c r="H182" s="11" t="str">
        <f t="shared" si="33"/>
        <v>Oct'23/24</v>
      </c>
      <c r="I182" s="11">
        <f t="shared" si="34"/>
        <v>3.1853951219383339</v>
      </c>
    </row>
    <row r="183" spans="2:9" x14ac:dyDescent="0.55000000000000004">
      <c r="B183" s="11">
        <f t="shared" si="35"/>
        <v>10</v>
      </c>
      <c r="C183" s="11">
        <f t="shared" si="36"/>
        <v>2</v>
      </c>
      <c r="D183" s="12">
        <f t="shared" si="29"/>
        <v>596656.71766000008</v>
      </c>
      <c r="E183" s="11" t="str">
        <f t="shared" si="30"/>
        <v>23/24</v>
      </c>
      <c r="F183" s="11" t="str">
        <f t="shared" si="31"/>
        <v>Nov</v>
      </c>
      <c r="G183" s="11" t="str">
        <f t="shared" si="32"/>
        <v>Nov'23/24</v>
      </c>
      <c r="H183" s="11" t="str">
        <f t="shared" si="33"/>
        <v>Nov'23/24</v>
      </c>
      <c r="I183" s="11">
        <f t="shared" si="34"/>
        <v>3.3766045209683342</v>
      </c>
    </row>
    <row r="184" spans="2:9" x14ac:dyDescent="0.55000000000000004">
      <c r="B184" s="11">
        <f t="shared" si="35"/>
        <v>10</v>
      </c>
      <c r="C184" s="11">
        <f t="shared" si="36"/>
        <v>3</v>
      </c>
      <c r="D184" s="12">
        <f t="shared" si="29"/>
        <v>584573.8697116666</v>
      </c>
      <c r="E184" s="11" t="str">
        <f t="shared" si="30"/>
        <v>23/24</v>
      </c>
      <c r="F184" s="11" t="str">
        <f t="shared" si="31"/>
        <v>Dec</v>
      </c>
      <c r="G184" s="11" t="str">
        <f t="shared" si="32"/>
        <v>Dec'23/24</v>
      </c>
      <c r="H184" s="11" t="str">
        <f t="shared" si="33"/>
        <v>Dec'23/24</v>
      </c>
      <c r="I184" s="11">
        <f t="shared" si="34"/>
        <v>3.6386926643183344</v>
      </c>
    </row>
    <row r="185" spans="2:9" x14ac:dyDescent="0.55000000000000004">
      <c r="B185" s="11">
        <f t="shared" si="35"/>
        <v>10</v>
      </c>
      <c r="C185" s="11">
        <f t="shared" si="36"/>
        <v>4</v>
      </c>
      <c r="D185" s="12">
        <f t="shared" si="29"/>
        <v>411682.3474150002</v>
      </c>
      <c r="E185" s="11" t="str">
        <f t="shared" si="30"/>
        <v>23/24</v>
      </c>
      <c r="F185" s="11" t="str">
        <f t="shared" si="31"/>
        <v>Jan</v>
      </c>
      <c r="G185" s="11" t="str">
        <f t="shared" si="32"/>
        <v>Jan'23/24</v>
      </c>
      <c r="H185" s="11" t="str">
        <f t="shared" si="33"/>
        <v>Jan'23/24</v>
      </c>
      <c r="I185" s="11">
        <f t="shared" si="34"/>
        <v>3.8352621371266675</v>
      </c>
    </row>
    <row r="186" spans="2:9" x14ac:dyDescent="0.55000000000000004">
      <c r="B186" s="11">
        <f t="shared" si="35"/>
        <v>10</v>
      </c>
      <c r="C186" s="11">
        <f t="shared" si="36"/>
        <v>5</v>
      </c>
      <c r="D186" s="12">
        <f t="shared" si="29"/>
        <v>278457.02482166671</v>
      </c>
      <c r="E186" s="11" t="str">
        <f t="shared" si="30"/>
        <v>23/24</v>
      </c>
      <c r="F186" s="11" t="str">
        <f t="shared" si="31"/>
        <v>Feb</v>
      </c>
      <c r="G186" s="11" t="str">
        <f t="shared" si="32"/>
        <v>Feb'23/24</v>
      </c>
      <c r="H186" s="11" t="str">
        <f t="shared" si="33"/>
        <v>Feb'23/24</v>
      </c>
      <c r="I186" s="11">
        <f t="shared" si="34"/>
        <v>4.0352896804033334</v>
      </c>
    </row>
    <row r="187" spans="2:9" x14ac:dyDescent="0.55000000000000004">
      <c r="B187" s="11">
        <f t="shared" si="35"/>
        <v>10</v>
      </c>
      <c r="C187" s="11">
        <f t="shared" si="36"/>
        <v>6</v>
      </c>
      <c r="D187" s="12">
        <f t="shared" si="29"/>
        <v>150369.85980499999</v>
      </c>
      <c r="E187" s="11" t="str">
        <f t="shared" si="30"/>
        <v>23/24</v>
      </c>
      <c r="F187" s="11" t="str">
        <f t="shared" si="31"/>
        <v>Mar</v>
      </c>
      <c r="G187" s="11" t="str">
        <f t="shared" si="32"/>
        <v>Mar'23/24</v>
      </c>
      <c r="H187" s="11" t="str">
        <f t="shared" si="33"/>
        <v>Mar'23/24</v>
      </c>
      <c r="I187" s="11">
        <f t="shared" si="34"/>
        <v>4.1369347928666675</v>
      </c>
    </row>
    <row r="188" spans="2:9" x14ac:dyDescent="0.55000000000000004">
      <c r="B188" s="11">
        <f t="shared" si="35"/>
        <v>10</v>
      </c>
      <c r="C188" s="11">
        <f t="shared" si="36"/>
        <v>7</v>
      </c>
      <c r="D188" s="12">
        <f t="shared" si="29"/>
        <v>79183.843096666649</v>
      </c>
      <c r="E188" s="11" t="str">
        <f t="shared" si="30"/>
        <v>23/24</v>
      </c>
      <c r="F188" s="11" t="str">
        <f t="shared" si="31"/>
        <v>Apr</v>
      </c>
      <c r="G188" s="11" t="str">
        <f t="shared" si="32"/>
        <v>Apr'23/24</v>
      </c>
      <c r="H188" s="11" t="str">
        <f t="shared" si="33"/>
        <v>Apr'23/24</v>
      </c>
      <c r="I188" s="11">
        <f t="shared" si="34"/>
        <v>4.1734973985983341</v>
      </c>
    </row>
    <row r="189" spans="2:9" x14ac:dyDescent="0.55000000000000004">
      <c r="B189" s="11">
        <f t="shared" si="35"/>
        <v>10</v>
      </c>
      <c r="C189" s="11">
        <f t="shared" si="36"/>
        <v>8</v>
      </c>
      <c r="D189" s="12">
        <f t="shared" si="29"/>
        <v>135214.87912166666</v>
      </c>
      <c r="E189" s="11" t="str">
        <f t="shared" si="30"/>
        <v>23/24</v>
      </c>
      <c r="F189" s="11" t="str">
        <f t="shared" si="31"/>
        <v>May</v>
      </c>
      <c r="G189" s="11" t="str">
        <f t="shared" si="32"/>
        <v>May'23/24</v>
      </c>
      <c r="H189" s="11" t="str">
        <f t="shared" si="33"/>
        <v>May'23/24</v>
      </c>
      <c r="I189" s="11">
        <f t="shared" si="34"/>
        <v>4.2134067718900008</v>
      </c>
    </row>
    <row r="190" spans="2:9" x14ac:dyDescent="0.55000000000000004">
      <c r="B190" s="11">
        <f t="shared" si="35"/>
        <v>10</v>
      </c>
      <c r="C190" s="11">
        <f t="shared" si="36"/>
        <v>9</v>
      </c>
      <c r="D190" s="12">
        <f t="shared" si="29"/>
        <v>261699.04462166666</v>
      </c>
      <c r="E190" s="11" t="str">
        <f t="shared" si="30"/>
        <v>23/24</v>
      </c>
      <c r="F190" s="11" t="str">
        <f t="shared" si="31"/>
        <v>Jun</v>
      </c>
      <c r="G190" s="11" t="str">
        <f t="shared" si="32"/>
        <v>Jun'23/24</v>
      </c>
      <c r="H190" s="11" t="str">
        <f t="shared" si="33"/>
        <v>Jun'23/24</v>
      </c>
      <c r="I190" s="11">
        <f t="shared" si="34"/>
        <v>4.3414696233566676</v>
      </c>
    </row>
    <row r="191" spans="2:9" x14ac:dyDescent="0.55000000000000004">
      <c r="B191" s="11">
        <f t="shared" si="35"/>
        <v>10</v>
      </c>
      <c r="C191" s="11">
        <f t="shared" si="36"/>
        <v>10</v>
      </c>
      <c r="D191" s="12">
        <f t="shared" si="29"/>
        <v>529329.54235999996</v>
      </c>
      <c r="E191" s="11" t="str">
        <f t="shared" si="30"/>
        <v>23/24</v>
      </c>
      <c r="F191" s="11" t="str">
        <f t="shared" si="31"/>
        <v>Jul</v>
      </c>
      <c r="G191" s="11" t="str">
        <f t="shared" si="32"/>
        <v>Jul'23/24</v>
      </c>
      <c r="H191" s="11" t="str">
        <f t="shared" si="33"/>
        <v>Jul'23/24</v>
      </c>
      <c r="I191" s="11">
        <f t="shared" si="34"/>
        <v>4.6127071555150012</v>
      </c>
    </row>
    <row r="192" spans="2:9" x14ac:dyDescent="0.55000000000000004">
      <c r="B192" s="11">
        <f t="shared" si="35"/>
        <v>10</v>
      </c>
      <c r="C192" s="11">
        <f t="shared" si="36"/>
        <v>11</v>
      </c>
      <c r="D192" s="12">
        <f t="shared" si="29"/>
        <v>593063.0255333333</v>
      </c>
      <c r="E192" s="11" t="str">
        <f t="shared" si="30"/>
        <v>23/24</v>
      </c>
      <c r="F192" s="11" t="str">
        <f t="shared" si="31"/>
        <v>Aug</v>
      </c>
      <c r="G192" s="11" t="str">
        <f t="shared" si="32"/>
        <v>Aug'23/24</v>
      </c>
      <c r="H192" s="11" t="str">
        <f t="shared" si="33"/>
        <v>Aug'23/24</v>
      </c>
      <c r="I192" s="11">
        <f t="shared" si="34"/>
        <v>4.783036004315</v>
      </c>
    </row>
    <row r="193" spans="2:9" x14ac:dyDescent="0.55000000000000004">
      <c r="B193" s="11">
        <f t="shared" si="35"/>
        <v>10</v>
      </c>
      <c r="C193" s="11">
        <f t="shared" si="36"/>
        <v>12</v>
      </c>
      <c r="D193" s="12">
        <f t="shared" si="29"/>
        <v>662615.65399000002</v>
      </c>
      <c r="E193" s="11" t="str">
        <f t="shared" si="30"/>
        <v>23/24</v>
      </c>
      <c r="F193" s="11" t="str">
        <f t="shared" si="31"/>
        <v>Sep</v>
      </c>
      <c r="G193" s="11" t="str">
        <f t="shared" si="32"/>
        <v>Sep'23/24</v>
      </c>
      <c r="H193" s="11" t="str">
        <f t="shared" si="33"/>
        <v>Sep'23/24</v>
      </c>
      <c r="I193" s="11">
        <f t="shared" si="34"/>
        <v>4.9035221643133333</v>
      </c>
    </row>
    <row r="194" spans="2:9" x14ac:dyDescent="0.55000000000000004">
      <c r="B194" s="11">
        <f t="shared" si="35"/>
        <v>11</v>
      </c>
      <c r="C194" s="11">
        <f t="shared" si="36"/>
        <v>1</v>
      </c>
      <c r="D194" s="12">
        <f t="shared" si="29"/>
        <v>533490.74623000005</v>
      </c>
      <c r="E194" s="11" t="str">
        <f t="shared" si="30"/>
        <v>24/25</v>
      </c>
      <c r="F194" s="11" t="str">
        <f t="shared" si="31"/>
        <v>Oct</v>
      </c>
      <c r="G194" s="11" t="str">
        <f t="shared" si="32"/>
        <v>Oct'24/25</v>
      </c>
      <c r="H194" s="11" t="str">
        <f t="shared" si="33"/>
        <v>Oct'24/25</v>
      </c>
      <c r="I194" s="11">
        <f t="shared" si="34"/>
        <v>4.816336554366667</v>
      </c>
    </row>
    <row r="195" spans="2:9" x14ac:dyDescent="0.55000000000000004">
      <c r="B195" s="11">
        <f t="shared" si="35"/>
        <v>11</v>
      </c>
      <c r="C195" s="11">
        <f t="shared" si="36"/>
        <v>2</v>
      </c>
      <c r="D195" s="12">
        <f t="shared" si="29"/>
        <v>331077.30253333336</v>
      </c>
      <c r="E195" s="11" t="str">
        <f t="shared" si="30"/>
        <v>24/25</v>
      </c>
      <c r="F195" s="11" t="str">
        <f t="shared" si="31"/>
        <v>Nov</v>
      </c>
      <c r="G195" s="11" t="str">
        <f t="shared" si="32"/>
        <v>Nov'24/25</v>
      </c>
      <c r="H195" s="11" t="str">
        <f t="shared" si="33"/>
        <v>Nov'24/25</v>
      </c>
      <c r="I195" s="11">
        <f t="shared" si="34"/>
        <v>4.5507571392400008</v>
      </c>
    </row>
    <row r="196" spans="2:9" x14ac:dyDescent="0.55000000000000004">
      <c r="B196" s="11">
        <f t="shared" si="35"/>
        <v>11</v>
      </c>
      <c r="C196" s="11">
        <f t="shared" si="36"/>
        <v>3</v>
      </c>
      <c r="D196" s="12">
        <f t="shared" si="29"/>
        <v>254404.96045833331</v>
      </c>
      <c r="E196" s="11" t="str">
        <f t="shared" si="30"/>
        <v>24/25</v>
      </c>
      <c r="F196" s="11" t="str">
        <f t="shared" si="31"/>
        <v>Dec</v>
      </c>
      <c r="G196" s="11" t="str">
        <f t="shared" si="32"/>
        <v>Dec'24/25</v>
      </c>
      <c r="H196" s="11" t="str">
        <f t="shared" si="33"/>
        <v>Dec'24/25</v>
      </c>
      <c r="I196" s="11">
        <f t="shared" si="34"/>
        <v>4.2205882299866664</v>
      </c>
    </row>
    <row r="197" spans="2:9" x14ac:dyDescent="0.55000000000000004">
      <c r="B197" s="11">
        <f t="shared" si="35"/>
        <v>11</v>
      </c>
      <c r="C197" s="11">
        <f t="shared" si="36"/>
        <v>4</v>
      </c>
      <c r="D197" s="12">
        <f t="shared" si="29"/>
        <v>107175.89665333334</v>
      </c>
      <c r="E197" s="11" t="str">
        <f t="shared" si="30"/>
        <v>24/25</v>
      </c>
      <c r="F197" s="11" t="str">
        <f t="shared" si="31"/>
        <v>Jan</v>
      </c>
      <c r="G197" s="11" t="str">
        <f t="shared" si="32"/>
        <v>Jan'24/25</v>
      </c>
      <c r="H197" s="11" t="str">
        <f t="shared" si="33"/>
        <v>Jan'24/25</v>
      </c>
      <c r="I197" s="11">
        <f t="shared" si="34"/>
        <v>3.9160817792249998</v>
      </c>
    </row>
    <row r="198" spans="2:9" x14ac:dyDescent="0.55000000000000004">
      <c r="B198" s="11">
        <f t="shared" si="35"/>
        <v>11</v>
      </c>
      <c r="C198" s="11">
        <f t="shared" si="36"/>
        <v>5</v>
      </c>
      <c r="D198" s="12">
        <f t="shared" si="29"/>
        <v>69778.167696666686</v>
      </c>
      <c r="E198" s="11" t="str">
        <f t="shared" si="30"/>
        <v>24/25</v>
      </c>
      <c r="F198" s="11" t="str">
        <f t="shared" si="31"/>
        <v>Feb</v>
      </c>
      <c r="G198" s="11" t="str">
        <f t="shared" si="32"/>
        <v>Feb'24/25</v>
      </c>
      <c r="H198" s="11" t="str">
        <f t="shared" si="33"/>
        <v>Feb'24/25</v>
      </c>
      <c r="I198" s="11">
        <f t="shared" si="34"/>
        <v>3.7074029221</v>
      </c>
    </row>
    <row r="199" spans="2:9" x14ac:dyDescent="0.55000000000000004">
      <c r="B199" s="11">
        <f t="shared" si="35"/>
        <v>11</v>
      </c>
      <c r="C199" s="11">
        <f t="shared" si="36"/>
        <v>6</v>
      </c>
      <c r="D199" s="12">
        <f t="shared" si="29"/>
        <v>61298.947940000005</v>
      </c>
      <c r="E199" s="11" t="str">
        <f t="shared" si="30"/>
        <v>24/25</v>
      </c>
      <c r="F199" s="11" t="str">
        <f t="shared" si="31"/>
        <v>Mar</v>
      </c>
      <c r="G199" s="11" t="str">
        <f t="shared" si="32"/>
        <v>Mar'24/25</v>
      </c>
      <c r="H199" s="11" t="str">
        <f t="shared" si="33"/>
        <v>Mar'24/25</v>
      </c>
      <c r="I199" s="11">
        <f t="shared" si="34"/>
        <v>3.6183320102349996</v>
      </c>
    </row>
    <row r="200" spans="2:9" x14ac:dyDescent="0.55000000000000004">
      <c r="B200" s="11">
        <f t="shared" si="35"/>
        <v>11</v>
      </c>
      <c r="C200" s="11">
        <f t="shared" si="36"/>
        <v>7</v>
      </c>
      <c r="D200" s="12">
        <f t="shared" si="29"/>
        <v>68371.173429999995</v>
      </c>
      <c r="E200" s="11" t="str">
        <f t="shared" si="30"/>
        <v>24/25</v>
      </c>
      <c r="F200" s="11" t="str">
        <f t="shared" si="31"/>
        <v>Apr</v>
      </c>
      <c r="G200" s="11" t="str">
        <f t="shared" si="32"/>
        <v>Apr'24/25</v>
      </c>
      <c r="H200" s="11" t="str">
        <f t="shared" si="33"/>
        <v>Apr'24/25</v>
      </c>
      <c r="I200" s="11">
        <f t="shared" si="34"/>
        <v>3.607519340568333</v>
      </c>
    </row>
    <row r="201" spans="2:9" x14ac:dyDescent="0.55000000000000004">
      <c r="B201" s="11">
        <f t="shared" si="35"/>
        <v>11</v>
      </c>
      <c r="C201" s="11">
        <f t="shared" si="36"/>
        <v>8</v>
      </c>
      <c r="D201" s="12">
        <f t="shared" si="29"/>
        <v>149008.51452333332</v>
      </c>
      <c r="E201" s="11" t="str">
        <f t="shared" si="30"/>
        <v>24/25</v>
      </c>
      <c r="F201" s="11" t="str">
        <f t="shared" si="31"/>
        <v>May</v>
      </c>
      <c r="G201" s="11" t="str">
        <f t="shared" si="32"/>
        <v>May'24/25</v>
      </c>
      <c r="H201" s="11" t="str">
        <f t="shared" si="33"/>
        <v>May'24/25</v>
      </c>
      <c r="I201" s="11">
        <f t="shared" si="34"/>
        <v>3.6213129759699996</v>
      </c>
    </row>
    <row r="202" spans="2:9" x14ac:dyDescent="0.55000000000000004">
      <c r="B202" s="11">
        <f t="shared" si="35"/>
        <v>11</v>
      </c>
      <c r="C202" s="11">
        <f t="shared" si="36"/>
        <v>9</v>
      </c>
      <c r="D202" s="12">
        <f t="shared" si="29"/>
        <v>342255.83606666664</v>
      </c>
      <c r="E202" s="11" t="str">
        <f t="shared" si="30"/>
        <v>24/25</v>
      </c>
      <c r="F202" s="11" t="str">
        <f t="shared" si="31"/>
        <v>Jun</v>
      </c>
      <c r="G202" s="11" t="str">
        <f t="shared" si="32"/>
        <v>Jun'24/25</v>
      </c>
      <c r="H202" s="11" t="str">
        <f t="shared" si="33"/>
        <v>Jun'24/25</v>
      </c>
      <c r="I202" s="11">
        <f t="shared" si="34"/>
        <v>3.7018697674149998</v>
      </c>
    </row>
    <row r="203" spans="2:9" x14ac:dyDescent="0.55000000000000004">
      <c r="B203" s="11">
        <f t="shared" si="35"/>
        <v>11</v>
      </c>
      <c r="C203" s="11">
        <f t="shared" si="36"/>
        <v>10</v>
      </c>
      <c r="D203" s="12">
        <f t="shared" ref="D203:D229" si="37">INDEX($C$7:$N$19,MATCH(B203,$A$7:$A$19),MATCH(C203,$C$4:$N$4))</f>
        <v>461718.47051666665</v>
      </c>
      <c r="E203" s="11" t="str">
        <f t="shared" ref="E203:E229" si="38">_xlfn.XLOOKUP(B203,$A$7:$A$19,$B$7:$B$19)</f>
        <v>24/25</v>
      </c>
      <c r="F203" s="11" t="str">
        <f t="shared" ref="F203:F229" si="39">_xlfn.XLOOKUP(C203,$C$4:$N$4,$C$6:$N$6)</f>
        <v>Jul</v>
      </c>
      <c r="G203" s="11" t="str">
        <f t="shared" ref="G203:G229" si="40">_xlfn.CONCAT(F203,"'",E203)</f>
        <v>Jul'24/25</v>
      </c>
      <c r="H203" s="11" t="str">
        <f t="shared" si="33"/>
        <v>Jul'24/25</v>
      </c>
      <c r="I203" s="11">
        <f t="shared" si="34"/>
        <v>3.6342586955716665</v>
      </c>
    </row>
    <row r="204" spans="2:9" x14ac:dyDescent="0.55000000000000004">
      <c r="B204" s="11">
        <f t="shared" si="35"/>
        <v>11</v>
      </c>
      <c r="C204" s="11">
        <f t="shared" si="36"/>
        <v>11</v>
      </c>
      <c r="D204" s="12">
        <f t="shared" si="37"/>
        <v>597290.36733166664</v>
      </c>
      <c r="E204" s="11" t="str">
        <f t="shared" si="38"/>
        <v>24/25</v>
      </c>
      <c r="F204" s="11" t="str">
        <f t="shared" si="39"/>
        <v>Aug</v>
      </c>
      <c r="G204" s="11" t="str">
        <f t="shared" si="40"/>
        <v>Aug'24/25</v>
      </c>
      <c r="H204" s="11" t="str">
        <f t="shared" si="33"/>
        <v>Aug'24/25</v>
      </c>
      <c r="I204" s="11">
        <f t="shared" si="34"/>
        <v>3.6384860373699999</v>
      </c>
    </row>
    <row r="205" spans="2:9" x14ac:dyDescent="0.55000000000000004">
      <c r="B205" s="11">
        <f t="shared" si="35"/>
        <v>11</v>
      </c>
      <c r="C205" s="11">
        <f t="shared" si="36"/>
        <v>12</v>
      </c>
      <c r="D205" s="12">
        <f t="shared" si="37"/>
        <v>789835.01484000019</v>
      </c>
      <c r="E205" s="11" t="str">
        <f t="shared" si="38"/>
        <v>24/25</v>
      </c>
      <c r="F205" s="11" t="str">
        <f t="shared" si="39"/>
        <v>Sep</v>
      </c>
      <c r="G205" s="11" t="str">
        <f t="shared" si="40"/>
        <v>Sep'24/25</v>
      </c>
      <c r="H205" s="11" t="str">
        <f t="shared" si="33"/>
        <v>Sep'24/25</v>
      </c>
      <c r="I205" s="11">
        <f t="shared" si="34"/>
        <v>3.7657053982200006</v>
      </c>
    </row>
    <row r="206" spans="2:9" x14ac:dyDescent="0.55000000000000004">
      <c r="B206" s="11">
        <f t="shared" si="35"/>
        <v>12</v>
      </c>
      <c r="C206" s="11">
        <f t="shared" si="36"/>
        <v>1</v>
      </c>
      <c r="D206" s="12">
        <f t="shared" si="37"/>
        <v>659483.33333333337</v>
      </c>
      <c r="E206" s="11" t="str">
        <f t="shared" si="38"/>
        <v>25/26</v>
      </c>
      <c r="F206" s="11" t="str">
        <f t="shared" si="39"/>
        <v>Oct</v>
      </c>
      <c r="G206" s="11" t="str">
        <f t="shared" si="40"/>
        <v>Oct'25/26</v>
      </c>
      <c r="H206" s="11" t="str">
        <f t="shared" si="33"/>
        <v>Oct'25/26</v>
      </c>
      <c r="I206" s="11">
        <f t="shared" si="34"/>
        <v>3.8916979853233338</v>
      </c>
    </row>
    <row r="207" spans="2:9" x14ac:dyDescent="0.55000000000000004">
      <c r="B207" s="11">
        <f t="shared" si="35"/>
        <v>12</v>
      </c>
      <c r="C207" s="11">
        <f t="shared" si="36"/>
        <v>2</v>
      </c>
      <c r="D207" s="12">
        <f t="shared" si="37"/>
        <v>530433.33333333337</v>
      </c>
      <c r="E207" s="11" t="str">
        <f t="shared" si="38"/>
        <v>25/26</v>
      </c>
      <c r="F207" s="11" t="str">
        <f t="shared" si="39"/>
        <v>Nov</v>
      </c>
      <c r="G207" s="11" t="str">
        <f t="shared" si="40"/>
        <v>Nov'25/26</v>
      </c>
      <c r="H207" s="11" t="str">
        <f t="shared" si="33"/>
        <v>Nov'25/26</v>
      </c>
      <c r="I207" s="11">
        <f t="shared" si="34"/>
        <v>4.0910540161233335</v>
      </c>
    </row>
    <row r="208" spans="2:9" x14ac:dyDescent="0.55000000000000004">
      <c r="B208" s="11">
        <f t="shared" si="35"/>
        <v>12</v>
      </c>
      <c r="C208" s="11">
        <f t="shared" si="36"/>
        <v>3</v>
      </c>
      <c r="D208" s="12">
        <f t="shared" si="37"/>
        <v>393000</v>
      </c>
      <c r="E208" s="11" t="str">
        <f t="shared" si="38"/>
        <v>25/26</v>
      </c>
      <c r="F208" s="11" t="str">
        <f t="shared" si="39"/>
        <v>Dec</v>
      </c>
      <c r="G208" s="11" t="str">
        <f t="shared" si="40"/>
        <v>Dec'25/26</v>
      </c>
      <c r="H208" s="11" t="str">
        <f t="shared" si="33"/>
        <v>Dec'25/26</v>
      </c>
      <c r="I208" s="11">
        <f t="shared" si="34"/>
        <v>4.2296490556649999</v>
      </c>
    </row>
    <row r="209" spans="2:9" x14ac:dyDescent="0.55000000000000004">
      <c r="B209" s="11">
        <f t="shared" si="35"/>
        <v>12</v>
      </c>
      <c r="C209" s="11">
        <f t="shared" si="36"/>
        <v>4</v>
      </c>
      <c r="D209" s="12">
        <f t="shared" si="37"/>
        <v>189683.33333333334</v>
      </c>
      <c r="E209" s="11" t="str">
        <f t="shared" si="38"/>
        <v>25/26</v>
      </c>
      <c r="F209" s="11" t="str">
        <f t="shared" si="39"/>
        <v>Jan</v>
      </c>
      <c r="G209" s="11" t="str">
        <f t="shared" si="40"/>
        <v>Jan'25/26</v>
      </c>
      <c r="H209" s="11" t="str">
        <f t="shared" si="33"/>
        <v>Jan'25/26</v>
      </c>
      <c r="I209" s="11">
        <f t="shared" si="34"/>
        <v>4.3121564923450002</v>
      </c>
    </row>
    <row r="210" spans="2:9" x14ac:dyDescent="0.55000000000000004">
      <c r="B210" s="11">
        <f t="shared" si="35"/>
        <v>12</v>
      </c>
      <c r="C210" s="11">
        <f t="shared" si="36"/>
        <v>5</v>
      </c>
      <c r="D210" s="12">
        <f t="shared" si="37"/>
        <v>74916.666666666672</v>
      </c>
      <c r="E210" s="11" t="str">
        <f t="shared" si="38"/>
        <v>25/26</v>
      </c>
      <c r="F210" s="11" t="str">
        <f t="shared" si="39"/>
        <v>Feb</v>
      </c>
      <c r="G210" s="11" t="str">
        <f t="shared" si="40"/>
        <v>Feb'25/26</v>
      </c>
      <c r="H210" s="11" t="str">
        <f t="shared" si="33"/>
        <v>Feb'25/26</v>
      </c>
      <c r="I210" s="11">
        <f t="shared" si="34"/>
        <v>4.3172949913150003</v>
      </c>
    </row>
    <row r="211" spans="2:9" x14ac:dyDescent="0.55000000000000004">
      <c r="B211" s="11">
        <f t="shared" si="35"/>
        <v>12</v>
      </c>
      <c r="C211" s="11">
        <f t="shared" si="36"/>
        <v>6</v>
      </c>
      <c r="D211" s="12">
        <f t="shared" si="37"/>
        <v>51533.333333333336</v>
      </c>
      <c r="E211" s="11" t="str">
        <f t="shared" si="38"/>
        <v>25/26</v>
      </c>
      <c r="F211" s="11" t="str">
        <f t="shared" si="39"/>
        <v>Mar</v>
      </c>
      <c r="G211" s="11" t="str">
        <f t="shared" si="40"/>
        <v>Mar'25/26</v>
      </c>
      <c r="H211" s="11" t="str">
        <f t="shared" si="33"/>
        <v>Mar'25/26</v>
      </c>
      <c r="I211" s="11">
        <f t="shared" si="34"/>
        <v>4.3075293767083336</v>
      </c>
    </row>
    <row r="212" spans="2:9" x14ac:dyDescent="0.55000000000000004">
      <c r="B212" s="11">
        <f t="shared" si="35"/>
        <v>12</v>
      </c>
      <c r="C212" s="11">
        <f t="shared" si="36"/>
        <v>7</v>
      </c>
      <c r="D212" s="12">
        <f t="shared" si="37"/>
        <v>66550</v>
      </c>
      <c r="E212" s="11" t="str">
        <f t="shared" si="38"/>
        <v>25/26</v>
      </c>
      <c r="F212" s="11" t="str">
        <f t="shared" si="39"/>
        <v>Apr</v>
      </c>
      <c r="G212" s="11" t="str">
        <f t="shared" si="40"/>
        <v>Apr'25/26</v>
      </c>
      <c r="H212" s="11" t="str">
        <f t="shared" si="33"/>
        <v>Apr'25/26</v>
      </c>
      <c r="I212" s="11">
        <f t="shared" si="34"/>
        <v>4.3057082032783338</v>
      </c>
    </row>
    <row r="213" spans="2:9" x14ac:dyDescent="0.55000000000000004">
      <c r="B213" s="11">
        <f t="shared" si="35"/>
        <v>12</v>
      </c>
      <c r="C213" s="11">
        <f t="shared" si="36"/>
        <v>8</v>
      </c>
      <c r="D213" s="12">
        <f t="shared" si="37"/>
        <v>167633.33333333334</v>
      </c>
      <c r="E213" s="11" t="str">
        <f t="shared" si="38"/>
        <v>25/26</v>
      </c>
      <c r="F213" s="11" t="str">
        <f t="shared" si="39"/>
        <v>May</v>
      </c>
      <c r="G213" s="11" t="str">
        <f t="shared" si="40"/>
        <v>May'25/26</v>
      </c>
      <c r="H213" s="11" t="str">
        <f t="shared" si="33"/>
        <v>May'25/26</v>
      </c>
      <c r="I213" s="11">
        <f t="shared" si="34"/>
        <v>4.324333022088334</v>
      </c>
    </row>
    <row r="214" spans="2:9" x14ac:dyDescent="0.55000000000000004">
      <c r="B214" s="11">
        <f t="shared" si="35"/>
        <v>12</v>
      </c>
      <c r="C214" s="11">
        <f t="shared" si="36"/>
        <v>9</v>
      </c>
      <c r="D214" s="12" t="e">
        <f t="shared" si="37"/>
        <v>#N/A</v>
      </c>
      <c r="E214" s="11" t="str">
        <f t="shared" si="38"/>
        <v>25/26</v>
      </c>
      <c r="F214" s="11" t="str">
        <f t="shared" si="39"/>
        <v>Jun</v>
      </c>
      <c r="G214" s="11" t="str">
        <f t="shared" si="40"/>
        <v>Jun'25/26</v>
      </c>
      <c r="H214" s="11" t="str">
        <f t="shared" ref="H214:H229" si="41">G214</f>
        <v>Jun'25/26</v>
      </c>
      <c r="I214" s="11" t="e">
        <f t="shared" ref="I214:I229" si="42">SUM(D203:D214)/1000000</f>
        <v>#N/A</v>
      </c>
    </row>
    <row r="215" spans="2:9" x14ac:dyDescent="0.55000000000000004">
      <c r="B215" s="11">
        <f t="shared" ref="B215:B229" si="43">B203+1</f>
        <v>12</v>
      </c>
      <c r="C215" s="11">
        <f t="shared" ref="C215:C229" si="44">C203</f>
        <v>10</v>
      </c>
      <c r="D215" s="12" t="e">
        <f t="shared" si="37"/>
        <v>#N/A</v>
      </c>
      <c r="E215" s="11" t="str">
        <f t="shared" si="38"/>
        <v>25/26</v>
      </c>
      <c r="F215" s="11" t="str">
        <f t="shared" si="39"/>
        <v>Jul</v>
      </c>
      <c r="G215" s="11" t="str">
        <f t="shared" si="40"/>
        <v>Jul'25/26</v>
      </c>
      <c r="H215" s="11" t="str">
        <f t="shared" si="41"/>
        <v>Jul'25/26</v>
      </c>
      <c r="I215" s="11" t="e">
        <f t="shared" si="42"/>
        <v>#N/A</v>
      </c>
    </row>
    <row r="216" spans="2:9" x14ac:dyDescent="0.55000000000000004">
      <c r="B216" s="11">
        <f t="shared" si="43"/>
        <v>12</v>
      </c>
      <c r="C216" s="11">
        <f t="shared" si="44"/>
        <v>11</v>
      </c>
      <c r="D216" s="12" t="e">
        <f t="shared" si="37"/>
        <v>#N/A</v>
      </c>
      <c r="E216" s="11" t="str">
        <f t="shared" si="38"/>
        <v>25/26</v>
      </c>
      <c r="F216" s="11" t="str">
        <f t="shared" si="39"/>
        <v>Aug</v>
      </c>
      <c r="G216" s="11" t="str">
        <f t="shared" si="40"/>
        <v>Aug'25/26</v>
      </c>
      <c r="H216" s="11" t="str">
        <f t="shared" si="41"/>
        <v>Aug'25/26</v>
      </c>
      <c r="I216" s="11" t="e">
        <f t="shared" si="42"/>
        <v>#N/A</v>
      </c>
    </row>
    <row r="217" spans="2:9" x14ac:dyDescent="0.55000000000000004">
      <c r="B217" s="11">
        <f t="shared" si="43"/>
        <v>12</v>
      </c>
      <c r="C217" s="11">
        <f t="shared" si="44"/>
        <v>12</v>
      </c>
      <c r="D217" s="12" t="e">
        <f t="shared" si="37"/>
        <v>#N/A</v>
      </c>
      <c r="E217" s="11" t="str">
        <f t="shared" si="38"/>
        <v>25/26</v>
      </c>
      <c r="F217" s="11" t="str">
        <f t="shared" si="39"/>
        <v>Sep</v>
      </c>
      <c r="G217" s="11" t="str">
        <f t="shared" si="40"/>
        <v>Sep'25/26</v>
      </c>
      <c r="H217" s="11" t="str">
        <f t="shared" si="41"/>
        <v>Sep'25/26</v>
      </c>
      <c r="I217" s="11" t="e">
        <f t="shared" si="42"/>
        <v>#N/A</v>
      </c>
    </row>
    <row r="218" spans="2:9" x14ac:dyDescent="0.55000000000000004">
      <c r="B218" s="11">
        <f t="shared" si="43"/>
        <v>13</v>
      </c>
      <c r="C218" s="11">
        <f t="shared" si="44"/>
        <v>1</v>
      </c>
      <c r="D218" s="12" t="e">
        <f t="shared" si="37"/>
        <v>#N/A</v>
      </c>
      <c r="E218" s="11" t="str">
        <f t="shared" si="38"/>
        <v>26/27</v>
      </c>
      <c r="F218" s="11" t="str">
        <f t="shared" si="39"/>
        <v>Oct</v>
      </c>
      <c r="G218" s="11" t="str">
        <f t="shared" si="40"/>
        <v>Oct'26/27</v>
      </c>
      <c r="H218" s="11" t="str">
        <f t="shared" si="41"/>
        <v>Oct'26/27</v>
      </c>
      <c r="I218" s="11" t="e">
        <f t="shared" si="42"/>
        <v>#N/A</v>
      </c>
    </row>
    <row r="219" spans="2:9" x14ac:dyDescent="0.55000000000000004">
      <c r="B219" s="11">
        <f t="shared" si="43"/>
        <v>13</v>
      </c>
      <c r="C219" s="11">
        <f t="shared" si="44"/>
        <v>2</v>
      </c>
      <c r="D219" s="12" t="e">
        <f t="shared" si="37"/>
        <v>#N/A</v>
      </c>
      <c r="E219" s="11" t="str">
        <f t="shared" si="38"/>
        <v>26/27</v>
      </c>
      <c r="F219" s="11" t="str">
        <f t="shared" si="39"/>
        <v>Nov</v>
      </c>
      <c r="G219" s="11" t="str">
        <f t="shared" si="40"/>
        <v>Nov'26/27</v>
      </c>
      <c r="H219" s="11" t="str">
        <f t="shared" si="41"/>
        <v>Nov'26/27</v>
      </c>
      <c r="I219" s="11" t="e">
        <f t="shared" si="42"/>
        <v>#N/A</v>
      </c>
    </row>
    <row r="220" spans="2:9" x14ac:dyDescent="0.55000000000000004">
      <c r="B220" s="11">
        <f t="shared" si="43"/>
        <v>13</v>
      </c>
      <c r="C220" s="11">
        <f t="shared" si="44"/>
        <v>3</v>
      </c>
      <c r="D220" s="12" t="e">
        <f t="shared" si="37"/>
        <v>#N/A</v>
      </c>
      <c r="E220" s="11" t="str">
        <f t="shared" si="38"/>
        <v>26/27</v>
      </c>
      <c r="F220" s="11" t="str">
        <f t="shared" si="39"/>
        <v>Dec</v>
      </c>
      <c r="G220" s="11" t="str">
        <f t="shared" si="40"/>
        <v>Dec'26/27</v>
      </c>
      <c r="H220" s="11" t="str">
        <f t="shared" si="41"/>
        <v>Dec'26/27</v>
      </c>
      <c r="I220" s="11" t="e">
        <f t="shared" si="42"/>
        <v>#N/A</v>
      </c>
    </row>
    <row r="221" spans="2:9" x14ac:dyDescent="0.55000000000000004">
      <c r="B221" s="11">
        <f t="shared" si="43"/>
        <v>13</v>
      </c>
      <c r="C221" s="11">
        <f t="shared" si="44"/>
        <v>4</v>
      </c>
      <c r="D221" s="12" t="e">
        <f t="shared" si="37"/>
        <v>#N/A</v>
      </c>
      <c r="E221" s="11" t="str">
        <f t="shared" si="38"/>
        <v>26/27</v>
      </c>
      <c r="F221" s="11" t="str">
        <f t="shared" si="39"/>
        <v>Jan</v>
      </c>
      <c r="G221" s="11" t="str">
        <f t="shared" si="40"/>
        <v>Jan'26/27</v>
      </c>
      <c r="H221" s="11" t="str">
        <f t="shared" si="41"/>
        <v>Jan'26/27</v>
      </c>
      <c r="I221" s="11" t="e">
        <f t="shared" si="42"/>
        <v>#N/A</v>
      </c>
    </row>
    <row r="222" spans="2:9" x14ac:dyDescent="0.55000000000000004">
      <c r="B222" s="11">
        <f t="shared" si="43"/>
        <v>13</v>
      </c>
      <c r="C222" s="11">
        <f t="shared" si="44"/>
        <v>5</v>
      </c>
      <c r="D222" s="12" t="e">
        <f t="shared" si="37"/>
        <v>#N/A</v>
      </c>
      <c r="E222" s="11" t="str">
        <f t="shared" si="38"/>
        <v>26/27</v>
      </c>
      <c r="F222" s="11" t="str">
        <f t="shared" si="39"/>
        <v>Feb</v>
      </c>
      <c r="G222" s="11" t="str">
        <f t="shared" si="40"/>
        <v>Feb'26/27</v>
      </c>
      <c r="H222" s="11" t="str">
        <f t="shared" si="41"/>
        <v>Feb'26/27</v>
      </c>
      <c r="I222" s="11" t="e">
        <f t="shared" si="42"/>
        <v>#N/A</v>
      </c>
    </row>
    <row r="223" spans="2:9" x14ac:dyDescent="0.55000000000000004">
      <c r="B223" s="11">
        <f t="shared" si="43"/>
        <v>13</v>
      </c>
      <c r="C223" s="11">
        <f t="shared" si="44"/>
        <v>6</v>
      </c>
      <c r="D223" s="12" t="e">
        <f t="shared" si="37"/>
        <v>#N/A</v>
      </c>
      <c r="E223" s="11" t="str">
        <f t="shared" si="38"/>
        <v>26/27</v>
      </c>
      <c r="F223" s="11" t="str">
        <f t="shared" si="39"/>
        <v>Mar</v>
      </c>
      <c r="G223" s="11" t="str">
        <f t="shared" si="40"/>
        <v>Mar'26/27</v>
      </c>
      <c r="H223" s="11" t="str">
        <f t="shared" si="41"/>
        <v>Mar'26/27</v>
      </c>
      <c r="I223" s="11" t="e">
        <f t="shared" si="42"/>
        <v>#N/A</v>
      </c>
    </row>
    <row r="224" spans="2:9" x14ac:dyDescent="0.55000000000000004">
      <c r="B224" s="11">
        <f t="shared" si="43"/>
        <v>13</v>
      </c>
      <c r="C224" s="11">
        <f t="shared" si="44"/>
        <v>7</v>
      </c>
      <c r="D224" s="12" t="e">
        <f t="shared" si="37"/>
        <v>#N/A</v>
      </c>
      <c r="E224" s="11" t="str">
        <f t="shared" si="38"/>
        <v>26/27</v>
      </c>
      <c r="F224" s="11" t="str">
        <f t="shared" si="39"/>
        <v>Apr</v>
      </c>
      <c r="G224" s="11" t="str">
        <f t="shared" si="40"/>
        <v>Apr'26/27</v>
      </c>
      <c r="H224" s="11" t="str">
        <f t="shared" si="41"/>
        <v>Apr'26/27</v>
      </c>
      <c r="I224" s="11" t="e">
        <f t="shared" si="42"/>
        <v>#N/A</v>
      </c>
    </row>
    <row r="225" spans="2:9" x14ac:dyDescent="0.55000000000000004">
      <c r="B225" s="11">
        <f t="shared" si="43"/>
        <v>13</v>
      </c>
      <c r="C225" s="11">
        <f t="shared" si="44"/>
        <v>8</v>
      </c>
      <c r="D225" s="12" t="e">
        <f t="shared" si="37"/>
        <v>#N/A</v>
      </c>
      <c r="E225" s="11" t="str">
        <f t="shared" si="38"/>
        <v>26/27</v>
      </c>
      <c r="F225" s="11" t="str">
        <f t="shared" si="39"/>
        <v>May</v>
      </c>
      <c r="G225" s="11" t="str">
        <f t="shared" si="40"/>
        <v>May'26/27</v>
      </c>
      <c r="H225" s="11" t="str">
        <f t="shared" si="41"/>
        <v>May'26/27</v>
      </c>
      <c r="I225" s="11" t="e">
        <f t="shared" si="42"/>
        <v>#N/A</v>
      </c>
    </row>
    <row r="226" spans="2:9" x14ac:dyDescent="0.55000000000000004">
      <c r="B226" s="11">
        <f t="shared" si="43"/>
        <v>13</v>
      </c>
      <c r="C226" s="11">
        <f t="shared" si="44"/>
        <v>9</v>
      </c>
      <c r="D226" s="12" t="e">
        <f t="shared" si="37"/>
        <v>#N/A</v>
      </c>
      <c r="E226" s="11" t="str">
        <f t="shared" si="38"/>
        <v>26/27</v>
      </c>
      <c r="F226" s="11" t="str">
        <f t="shared" si="39"/>
        <v>Jun</v>
      </c>
      <c r="G226" s="11" t="str">
        <f t="shared" si="40"/>
        <v>Jun'26/27</v>
      </c>
      <c r="H226" s="11" t="str">
        <f t="shared" si="41"/>
        <v>Jun'26/27</v>
      </c>
      <c r="I226" s="11" t="e">
        <f t="shared" si="42"/>
        <v>#N/A</v>
      </c>
    </row>
    <row r="227" spans="2:9" x14ac:dyDescent="0.55000000000000004">
      <c r="B227" s="11">
        <f t="shared" si="43"/>
        <v>13</v>
      </c>
      <c r="C227" s="11">
        <f t="shared" si="44"/>
        <v>10</v>
      </c>
      <c r="D227" s="12" t="e">
        <f t="shared" si="37"/>
        <v>#N/A</v>
      </c>
      <c r="E227" s="11" t="str">
        <f t="shared" si="38"/>
        <v>26/27</v>
      </c>
      <c r="F227" s="11" t="str">
        <f t="shared" si="39"/>
        <v>Jul</v>
      </c>
      <c r="G227" s="11" t="str">
        <f t="shared" si="40"/>
        <v>Jul'26/27</v>
      </c>
      <c r="H227" s="11" t="str">
        <f t="shared" si="41"/>
        <v>Jul'26/27</v>
      </c>
      <c r="I227" s="11" t="e">
        <f t="shared" si="42"/>
        <v>#N/A</v>
      </c>
    </row>
    <row r="228" spans="2:9" x14ac:dyDescent="0.55000000000000004">
      <c r="B228" s="11">
        <f t="shared" si="43"/>
        <v>13</v>
      </c>
      <c r="C228" s="11">
        <f t="shared" si="44"/>
        <v>11</v>
      </c>
      <c r="D228" s="12" t="e">
        <f t="shared" si="37"/>
        <v>#N/A</v>
      </c>
      <c r="E228" s="11" t="str">
        <f t="shared" si="38"/>
        <v>26/27</v>
      </c>
      <c r="F228" s="11" t="str">
        <f t="shared" si="39"/>
        <v>Aug</v>
      </c>
      <c r="G228" s="11" t="str">
        <f t="shared" si="40"/>
        <v>Aug'26/27</v>
      </c>
      <c r="H228" s="11" t="str">
        <f t="shared" si="41"/>
        <v>Aug'26/27</v>
      </c>
      <c r="I228" s="11" t="e">
        <f t="shared" si="42"/>
        <v>#N/A</v>
      </c>
    </row>
    <row r="229" spans="2:9" x14ac:dyDescent="0.55000000000000004">
      <c r="B229" s="11">
        <f t="shared" si="43"/>
        <v>13</v>
      </c>
      <c r="C229" s="11">
        <f t="shared" si="44"/>
        <v>12</v>
      </c>
      <c r="D229" s="12" t="e">
        <f t="shared" si="37"/>
        <v>#N/A</v>
      </c>
      <c r="E229" s="11" t="str">
        <f t="shared" si="38"/>
        <v>26/27</v>
      </c>
      <c r="F229" s="11" t="str">
        <f t="shared" si="39"/>
        <v>Sep</v>
      </c>
      <c r="G229" s="11" t="str">
        <f t="shared" si="40"/>
        <v>Sep'26/27</v>
      </c>
      <c r="H229" s="11" t="str">
        <f t="shared" si="41"/>
        <v>Sep'26/27</v>
      </c>
      <c r="I229" s="11" t="e">
        <f t="shared" si="42"/>
        <v>#N/A</v>
      </c>
    </row>
  </sheetData>
  <mergeCells count="4">
    <mergeCell ref="A1:Y2"/>
    <mergeCell ref="C5:N5"/>
    <mergeCell ref="S6:U6"/>
    <mergeCell ref="N74:Y74"/>
  </mergeCells>
  <conditionalFormatting sqref="C7:N19">
    <cfRule type="cellIs" dxfId="9" priority="1" operator="greaterThanOrEqual">
      <formula>0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{77141AB7-7085-4BAF-8E9C-174F0CC032DD}</x14:id>
        </ext>
      </extLst>
    </cfRule>
  </conditionalFormatting>
  <conditionalFormatting sqref="Q17:Q1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{ABC58366-5DB9-4FD4-B091-A03132E253CB}</x14:id>
        </ext>
      </extLst>
    </cfRule>
  </conditionalFormatting>
  <conditionalFormatting sqref="T7:T19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{C62FB967-E09F-4E3A-B39E-AED59E7E6CAD}</x14:id>
        </ext>
      </extLst>
    </cfRule>
  </conditionalFormatting>
  <conditionalFormatting sqref="U1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{5DD7C073-1BBC-459C-9945-37025B770478}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141AB7-7085-4BAF-8E9C-174F0CC032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Q8:Q16</xm:sqref>
        </x14:conditionalFormatting>
        <x14:conditionalFormatting xmlns:xm="http://schemas.microsoft.com/office/excel/2006/main">
          <x14:cfRule type="dataBar" id="{ABC58366-5DB9-4FD4-B091-A03132E253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Q17:Q19</xm:sqref>
        </x14:conditionalFormatting>
        <x14:conditionalFormatting xmlns:xm="http://schemas.microsoft.com/office/excel/2006/main">
          <x14:cfRule type="dataBar" id="{C62FB967-E09F-4E3A-B39E-AED59E7E6C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5DD7C073-1BBC-459C-9945-37025B7704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136B-2089-4099-9E50-31C7A899098B}">
  <sheetPr codeName="Sheet14"/>
  <dimension ref="A1:AI229"/>
  <sheetViews>
    <sheetView showGridLines="0" zoomScaleNormal="100" workbookViewId="0">
      <selection sqref="A1:Y2"/>
    </sheetView>
  </sheetViews>
  <sheetFormatPr defaultColWidth="8.83984375" defaultRowHeight="14.4" x14ac:dyDescent="0.55000000000000004"/>
  <cols>
    <col min="1" max="7" width="8.83984375" style="11"/>
    <col min="8" max="8" width="11.83984375" style="11" customWidth="1"/>
    <col min="9" max="15" width="8.83984375" style="11"/>
    <col min="16" max="16" width="11.83984375" style="11" customWidth="1"/>
    <col min="17" max="19" width="8.83984375" style="11"/>
    <col min="20" max="20" width="12.26171875" style="11" customWidth="1"/>
    <col min="21" max="16384" width="8.83984375" style="11"/>
  </cols>
  <sheetData>
    <row r="1" spans="1:35" s="17" customFormat="1" ht="10.5" customHeight="1" x14ac:dyDescent="0.55000000000000004">
      <c r="A1" s="73" t="s">
        <v>60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16"/>
      <c r="AA1" s="16"/>
    </row>
    <row r="2" spans="1:35" s="17" customFormat="1" ht="27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Oct-Sep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Vietnam &amp; Brazil : Robusta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Oct-Sep</v>
      </c>
      <c r="T6" s="75"/>
      <c r="U6" s="75"/>
    </row>
    <row r="7" spans="1:35" x14ac:dyDescent="0.55000000000000004">
      <c r="A7" s="14">
        <v>1</v>
      </c>
      <c r="B7" s="6" t="s">
        <v>15</v>
      </c>
      <c r="C7" s="23">
        <f>Vietnam!C7+'Brazil Robusta'!C7</f>
        <v>2024547</v>
      </c>
      <c r="D7" s="23">
        <f>Vietnam!D7+'Brazil Robusta'!D7</f>
        <v>1782702.6666666667</v>
      </c>
      <c r="E7" s="23">
        <f>Vietnam!E7+'Brazil Robusta'!E7</f>
        <v>2171788.3333333335</v>
      </c>
      <c r="F7" s="23">
        <f>Vietnam!F7+'Brazil Robusta'!F7</f>
        <v>2715404.666666667</v>
      </c>
      <c r="G7" s="23">
        <f>Vietnam!G7+'Brazil Robusta'!G7</f>
        <v>2073377.1697574896</v>
      </c>
      <c r="H7" s="23">
        <f>Vietnam!H7+'Brazil Robusta'!H7</f>
        <v>2739115</v>
      </c>
      <c r="I7" s="23">
        <f>Vietnam!I7+'Brazil Robusta'!I7</f>
        <v>2122760.666666667</v>
      </c>
      <c r="J7" s="23">
        <f>Vietnam!J7+'Brazil Robusta'!J7</f>
        <v>2060048.6666666667</v>
      </c>
      <c r="K7" s="23">
        <f>Vietnam!K7+'Brazil Robusta'!K7</f>
        <v>2176444.666666667</v>
      </c>
      <c r="L7" s="23">
        <f>Vietnam!L7+'Brazil Robusta'!L7</f>
        <v>2387949</v>
      </c>
      <c r="M7" s="23">
        <f>Vietnam!M7+'Brazil Robusta'!M7</f>
        <v>1996822</v>
      </c>
      <c r="N7" s="23">
        <f>Vietnam!N7+'Brazil Robusta'!N7</f>
        <v>1867354.7359735975</v>
      </c>
      <c r="O7" s="6" t="s">
        <v>15</v>
      </c>
      <c r="P7" s="20">
        <f t="shared" ref="P7:P19" si="0">IF(COUNT(C7:N7)=12,SUM(C7:N7),"")</f>
        <v>26118314.572397757</v>
      </c>
      <c r="Q7" s="2"/>
      <c r="R7" s="2"/>
      <c r="S7" s="6" t="s">
        <v>15</v>
      </c>
      <c r="T7" s="20">
        <f ca="1">IFERROR(IF(SUM(OFFSET(C7,0,0,1,$C$56))=0,"",SUM(OFFSET(C7,0,0,1,$C$56))),"")</f>
        <v>26118314.572397757</v>
      </c>
      <c r="U7" s="2"/>
    </row>
    <row r="8" spans="1:35" x14ac:dyDescent="0.55000000000000004">
      <c r="A8" s="14">
        <v>2</v>
      </c>
      <c r="B8" s="6" t="s">
        <v>16</v>
      </c>
      <c r="C8" s="23">
        <f>Vietnam!C8+'Brazil Robusta'!C8</f>
        <v>1878344.3333333335</v>
      </c>
      <c r="D8" s="23">
        <f>Vietnam!D8+'Brazil Robusta'!D8</f>
        <v>2113733.3333333335</v>
      </c>
      <c r="E8" s="23">
        <f>Vietnam!E8+'Brazil Robusta'!E8</f>
        <v>2865461</v>
      </c>
      <c r="F8" s="23">
        <f>Vietnam!F8+'Brazil Robusta'!F8</f>
        <v>3303922.666666667</v>
      </c>
      <c r="G8" s="23">
        <f>Vietnam!G8+'Brazil Robusta'!G8</f>
        <v>2255375.666666667</v>
      </c>
      <c r="H8" s="23">
        <f>Vietnam!H8+'Brazil Robusta'!H8</f>
        <v>3109096</v>
      </c>
      <c r="I8" s="23">
        <f>Vietnam!I8+'Brazil Robusta'!I8</f>
        <v>3211160.666666667</v>
      </c>
      <c r="J8" s="23">
        <f>Vietnam!J8+'Brazil Robusta'!J8</f>
        <v>2753571.666666667</v>
      </c>
      <c r="K8" s="23">
        <f>Vietnam!K8+'Brazil Robusta'!K8</f>
        <v>2695697.666666667</v>
      </c>
      <c r="L8" s="23">
        <f>Vietnam!L8+'Brazil Robusta'!L8</f>
        <v>2381497</v>
      </c>
      <c r="M8" s="23">
        <f>Vietnam!M8+'Brazil Robusta'!M8</f>
        <v>2594391</v>
      </c>
      <c r="N8" s="23">
        <f>Vietnam!N8+'Brazil Robusta'!N8</f>
        <v>2230780.666666667</v>
      </c>
      <c r="O8" s="6" t="s">
        <v>16</v>
      </c>
      <c r="P8" s="20">
        <f t="shared" si="0"/>
        <v>31393031.666666672</v>
      </c>
      <c r="Q8" s="7">
        <f t="shared" ref="Q8:Q16" si="1">IFERROR(P8/P7-1,"")</f>
        <v>0.20195472719527308</v>
      </c>
      <c r="R8" s="2"/>
      <c r="S8" s="6" t="s">
        <v>16</v>
      </c>
      <c r="T8" s="20">
        <f t="shared" ref="T8:T19" ca="1" si="2">IFERROR(IF(SUM(OFFSET(C8,0,0,1,$C$56))=0,"",SUM(OFFSET(C8,0,0,1,$C$56))),"")</f>
        <v>31393031.666666672</v>
      </c>
      <c r="U8" s="7">
        <f t="shared" ref="U8:U18" ca="1" si="3">IFERROR(T8/T7-1,"")</f>
        <v>0.20195472719527308</v>
      </c>
    </row>
    <row r="9" spans="1:35" x14ac:dyDescent="0.55000000000000004">
      <c r="A9" s="14">
        <v>3</v>
      </c>
      <c r="B9" s="6" t="s">
        <v>17</v>
      </c>
      <c r="C9" s="23">
        <f>Vietnam!C9+'Brazil Robusta'!C9</f>
        <v>1988854.6666666667</v>
      </c>
      <c r="D9" s="23">
        <f>Vietnam!D9+'Brazil Robusta'!D9</f>
        <v>1949280.3333333335</v>
      </c>
      <c r="E9" s="23">
        <f>Vietnam!E9+'Brazil Robusta'!E9</f>
        <v>2491652.666666667</v>
      </c>
      <c r="F9" s="23">
        <f>Vietnam!F9+'Brazil Robusta'!F9</f>
        <v>3093433</v>
      </c>
      <c r="G9" s="23">
        <f>Vietnam!G9+'Brazil Robusta'!G9</f>
        <v>2826390</v>
      </c>
      <c r="H9" s="23">
        <f>Vietnam!H9+'Brazil Robusta'!H9</f>
        <v>3111203.666666667</v>
      </c>
      <c r="I9" s="23">
        <f>Vietnam!I9+'Brazil Robusta'!I9</f>
        <v>2415671.3333333335</v>
      </c>
      <c r="J9" s="23">
        <f>Vietnam!J9+'Brazil Robusta'!J9</f>
        <v>2138012</v>
      </c>
      <c r="K9" s="23">
        <f>Vietnam!K9+'Brazil Robusta'!K9</f>
        <v>2048392.6666666667</v>
      </c>
      <c r="L9" s="23">
        <f>Vietnam!L9+'Brazil Robusta'!L9</f>
        <v>1706794.3333333335</v>
      </c>
      <c r="M9" s="23">
        <f>Vietnam!M9+'Brazil Robusta'!M9</f>
        <v>1602833.6475507766</v>
      </c>
      <c r="N9" s="23">
        <f>Vietnam!N9+'Brazil Robusta'!N9</f>
        <v>1344908</v>
      </c>
      <c r="O9" s="6" t="s">
        <v>17</v>
      </c>
      <c r="P9" s="20">
        <f t="shared" si="0"/>
        <v>26717426.314217445</v>
      </c>
      <c r="Q9" s="7">
        <f t="shared" si="1"/>
        <v>-0.14893768152420317</v>
      </c>
      <c r="R9" s="2"/>
      <c r="S9" s="6" t="s">
        <v>17</v>
      </c>
      <c r="T9" s="20">
        <f t="shared" ca="1" si="2"/>
        <v>26717426.314217445</v>
      </c>
      <c r="U9" s="7">
        <f t="shared" ca="1" si="3"/>
        <v>-0.14893768152420317</v>
      </c>
    </row>
    <row r="10" spans="1:35" x14ac:dyDescent="0.55000000000000004">
      <c r="A10" s="14">
        <v>4</v>
      </c>
      <c r="B10" s="6" t="s">
        <v>18</v>
      </c>
      <c r="C10" s="23">
        <f>Vietnam!C10+'Brazil Robusta'!C10</f>
        <v>1341305.3333333335</v>
      </c>
      <c r="D10" s="23">
        <f>Vietnam!D10+'Brazil Robusta'!D10</f>
        <v>1775839.9446219383</v>
      </c>
      <c r="E10" s="23">
        <f>Vietnam!E10+'Brazil Robusta'!E10</f>
        <v>2756758.3333333335</v>
      </c>
      <c r="F10" s="23">
        <f>Vietnam!F10+'Brazil Robusta'!F10</f>
        <v>3625678</v>
      </c>
      <c r="G10" s="23">
        <f>Vietnam!G10+'Brazil Robusta'!G10</f>
        <v>2311091</v>
      </c>
      <c r="H10" s="23">
        <f>Vietnam!H10+'Brazil Robusta'!H10</f>
        <v>3555237</v>
      </c>
      <c r="I10" s="23">
        <f>Vietnam!I10+'Brazil Robusta'!I10</f>
        <v>2738910</v>
      </c>
      <c r="J10" s="23">
        <f>Vietnam!J10+'Brazil Robusta'!J10</f>
        <v>2616529</v>
      </c>
      <c r="K10" s="23">
        <f>Vietnam!K10+'Brazil Robusta'!K10</f>
        <v>2674225.3333333335</v>
      </c>
      <c r="L10" s="23">
        <f>Vietnam!L10+'Brazil Robusta'!L10</f>
        <v>2301747.3333333335</v>
      </c>
      <c r="M10" s="23">
        <f>Vietnam!M10+'Brazil Robusta'!M10</f>
        <v>2598204.3333333335</v>
      </c>
      <c r="N10" s="23">
        <f>Vietnam!N10+'Brazil Robusta'!N10</f>
        <v>2294640</v>
      </c>
      <c r="O10" s="6" t="s">
        <v>18</v>
      </c>
      <c r="P10" s="20">
        <f t="shared" si="0"/>
        <v>30590165.611288603</v>
      </c>
      <c r="Q10" s="7">
        <f t="shared" si="1"/>
        <v>0.14495180978604649</v>
      </c>
      <c r="R10" s="2"/>
      <c r="S10" s="6" t="s">
        <v>18</v>
      </c>
      <c r="T10" s="20">
        <f t="shared" ca="1" si="2"/>
        <v>30590165.611288603</v>
      </c>
      <c r="U10" s="7">
        <f t="shared" ca="1" si="3"/>
        <v>0.14495180978604649</v>
      </c>
    </row>
    <row r="11" spans="1:35" x14ac:dyDescent="0.55000000000000004">
      <c r="A11" s="14">
        <v>5</v>
      </c>
      <c r="B11" s="6" t="s">
        <v>19</v>
      </c>
      <c r="C11" s="23">
        <f>Vietnam!C11+'Brazil Robusta'!C11</f>
        <v>2665002.666666667</v>
      </c>
      <c r="D11" s="23">
        <f>Vietnam!D11+'Brazil Robusta'!D11</f>
        <v>2861460.3333333335</v>
      </c>
      <c r="E11" s="23">
        <f>Vietnam!E11+'Brazil Robusta'!E11</f>
        <v>2849811</v>
      </c>
      <c r="F11" s="23">
        <f>Vietnam!F11+'Brazil Robusta'!F11</f>
        <v>3729691</v>
      </c>
      <c r="G11" s="23">
        <f>Vietnam!G11+'Brazil Robusta'!G11</f>
        <v>2142389.666666667</v>
      </c>
      <c r="H11" s="23">
        <f>Vietnam!H11+'Brazil Robusta'!H11</f>
        <v>3031979.3333333335</v>
      </c>
      <c r="I11" s="23">
        <f>Vietnam!I11+'Brazil Robusta'!I11</f>
        <v>2544625.666666667</v>
      </c>
      <c r="J11" s="23">
        <f>Vietnam!J11+'Brazil Robusta'!J11</f>
        <v>2630219.666666667</v>
      </c>
      <c r="K11" s="23">
        <f>Vietnam!K11+'Brazil Robusta'!K11</f>
        <v>2595463.3333333335</v>
      </c>
      <c r="L11" s="23">
        <f>Vietnam!L11+'Brazil Robusta'!L11</f>
        <v>2595071</v>
      </c>
      <c r="M11" s="23">
        <f>Vietnam!M11+'Brazil Robusta'!M11</f>
        <v>2364472</v>
      </c>
      <c r="N11" s="23">
        <f>Vietnam!N11+'Brazil Robusta'!N11</f>
        <v>1922331.6666666667</v>
      </c>
      <c r="O11" s="6" t="s">
        <v>19</v>
      </c>
      <c r="P11" s="20">
        <f t="shared" si="0"/>
        <v>31932517.333333336</v>
      </c>
      <c r="Q11" s="7">
        <f t="shared" si="1"/>
        <v>4.3881806300171355E-2</v>
      </c>
      <c r="R11" s="2"/>
      <c r="S11" s="6" t="s">
        <v>19</v>
      </c>
      <c r="T11" s="20">
        <f t="shared" ca="1" si="2"/>
        <v>31932517.333333336</v>
      </c>
      <c r="U11" s="7">
        <f t="shared" ca="1" si="3"/>
        <v>4.3881806300171355E-2</v>
      </c>
    </row>
    <row r="12" spans="1:35" x14ac:dyDescent="0.55000000000000004">
      <c r="A12" s="14">
        <v>6</v>
      </c>
      <c r="B12" s="6" t="s">
        <v>20</v>
      </c>
      <c r="C12" s="23">
        <f>Vietnam!C12+'Brazil Robusta'!C12</f>
        <v>2086800.6666666667</v>
      </c>
      <c r="D12" s="23">
        <f>Vietnam!D12+'Brazil Robusta'!D12</f>
        <v>2329551.666666667</v>
      </c>
      <c r="E12" s="23">
        <f>Vietnam!E12+'Brazil Robusta'!E12</f>
        <v>3476686.666666667</v>
      </c>
      <c r="F12" s="23">
        <f>Vietnam!F12+'Brazil Robusta'!F12</f>
        <v>2783669.3333333335</v>
      </c>
      <c r="G12" s="23">
        <f>Vietnam!G12+'Brazil Robusta'!G12</f>
        <v>3313021.666666667</v>
      </c>
      <c r="H12" s="23">
        <f>Vietnam!H12+'Brazil Robusta'!H12</f>
        <v>3407506.3333333335</v>
      </c>
      <c r="I12" s="23">
        <f>Vietnam!I12+'Brazil Robusta'!I12</f>
        <v>3008128</v>
      </c>
      <c r="J12" s="23">
        <f>Vietnam!J12+'Brazil Robusta'!J12</f>
        <v>2387838.3333333335</v>
      </c>
      <c r="K12" s="23">
        <f>Vietnam!K12+'Brazil Robusta'!K12</f>
        <v>2381450</v>
      </c>
      <c r="L12" s="23">
        <f>Vietnam!L12+'Brazil Robusta'!L12</f>
        <v>2150445</v>
      </c>
      <c r="M12" s="23">
        <f>Vietnam!M12+'Brazil Robusta'!M12</f>
        <v>2155771</v>
      </c>
      <c r="N12" s="23">
        <f>Vietnam!N12+'Brazil Robusta'!N12</f>
        <v>2301001.666666667</v>
      </c>
      <c r="O12" s="6" t="s">
        <v>20</v>
      </c>
      <c r="P12" s="20">
        <f t="shared" si="0"/>
        <v>31781870.333333332</v>
      </c>
      <c r="Q12" s="7">
        <f t="shared" si="1"/>
        <v>-4.7176675245313993E-3</v>
      </c>
      <c r="R12" s="2"/>
      <c r="S12" s="6" t="s">
        <v>20</v>
      </c>
      <c r="T12" s="20">
        <f t="shared" ca="1" si="2"/>
        <v>31781870.333333332</v>
      </c>
      <c r="U12" s="7">
        <f t="shared" ca="1" si="3"/>
        <v>-4.7176675245313993E-3</v>
      </c>
    </row>
    <row r="13" spans="1:35" x14ac:dyDescent="0.55000000000000004">
      <c r="A13" s="14">
        <v>7</v>
      </c>
      <c r="B13" s="6" t="s">
        <v>21</v>
      </c>
      <c r="C13" s="23">
        <f>Vietnam!C13+'Brazil Robusta'!C13</f>
        <v>1981758</v>
      </c>
      <c r="D13" s="23">
        <f>Vietnam!D13+'Brazil Robusta'!D13</f>
        <v>1870460.3333333335</v>
      </c>
      <c r="E13" s="23">
        <f>Vietnam!E13+'Brazil Robusta'!E13</f>
        <v>2993758.3333333335</v>
      </c>
      <c r="F13" s="23">
        <f>Vietnam!F13+'Brazil Robusta'!F13</f>
        <v>3147009.666666667</v>
      </c>
      <c r="G13" s="23">
        <f>Vietnam!G13+'Brazil Robusta'!G13</f>
        <v>2385382</v>
      </c>
      <c r="H13" s="23">
        <f>Vietnam!H13+'Brazil Robusta'!H13</f>
        <v>3211198.3333333335</v>
      </c>
      <c r="I13" s="23">
        <f>Vietnam!I13+'Brazil Robusta'!I13</f>
        <v>2442833.666666667</v>
      </c>
      <c r="J13" s="23">
        <f>Vietnam!J13+'Brazil Robusta'!J13</f>
        <v>2484472.3333333335</v>
      </c>
      <c r="K13" s="23">
        <f>Vietnam!K13+'Brazil Robusta'!K13</f>
        <v>2481584.666666667</v>
      </c>
      <c r="L13" s="23">
        <f>Vietnam!L13+'Brazil Robusta'!L13</f>
        <v>2371730</v>
      </c>
      <c r="M13" s="23">
        <f>Vietnam!M13+'Brazil Robusta'!M13</f>
        <v>2165339.666666667</v>
      </c>
      <c r="N13" s="23">
        <f>Vietnam!N13+'Brazil Robusta'!N13</f>
        <v>2070337.3333333335</v>
      </c>
      <c r="O13" s="6" t="s">
        <v>21</v>
      </c>
      <c r="P13" s="20">
        <f t="shared" si="0"/>
        <v>29605864.333333336</v>
      </c>
      <c r="Q13" s="7">
        <f t="shared" si="1"/>
        <v>-6.8466895660252103E-2</v>
      </c>
      <c r="R13" s="2"/>
      <c r="S13" s="6" t="s">
        <v>21</v>
      </c>
      <c r="T13" s="20">
        <f t="shared" ca="1" si="2"/>
        <v>29605864.333333336</v>
      </c>
      <c r="U13" s="7">
        <f t="shared" ca="1" si="3"/>
        <v>-6.8466895660252103E-2</v>
      </c>
    </row>
    <row r="14" spans="1:35" x14ac:dyDescent="0.55000000000000004">
      <c r="A14" s="14">
        <v>8</v>
      </c>
      <c r="B14" s="6" t="s">
        <v>22</v>
      </c>
      <c r="C14" s="23">
        <f>Vietnam!C14+'Brazil Robusta'!C14</f>
        <v>2064916</v>
      </c>
      <c r="D14" s="23">
        <f>Vietnam!D14+'Brazil Robusta'!D14</f>
        <v>2136927.666666667</v>
      </c>
      <c r="E14" s="23">
        <f>Vietnam!E14+'Brazil Robusta'!E14</f>
        <v>3212585.3333333335</v>
      </c>
      <c r="F14" s="23">
        <f>Vietnam!F14+'Brazil Robusta'!F14</f>
        <v>4159390.3333333335</v>
      </c>
      <c r="G14" s="23">
        <f>Vietnam!G14+'Brazil Robusta'!G14</f>
        <v>2551553</v>
      </c>
      <c r="H14" s="23">
        <f>Vietnam!H14+'Brazil Robusta'!H14</f>
        <v>3641056</v>
      </c>
      <c r="I14" s="23">
        <f>Vietnam!I14+'Brazil Robusta'!I14</f>
        <v>2720430.3333333335</v>
      </c>
      <c r="J14" s="23">
        <f>Vietnam!J14+'Brazil Robusta'!J14</f>
        <v>2517622.666666667</v>
      </c>
      <c r="K14" s="23">
        <f>Vietnam!K14+'Brazil Robusta'!K14</f>
        <v>2424794.3333333335</v>
      </c>
      <c r="L14" s="23">
        <f>Vietnam!L14+'Brazil Robusta'!L14</f>
        <v>2040359.3333333335</v>
      </c>
      <c r="M14" s="23">
        <f>Vietnam!M14+'Brazil Robusta'!M14</f>
        <v>2007002.6666666667</v>
      </c>
      <c r="N14" s="23">
        <f>Vietnam!N14+'Brazil Robusta'!N14</f>
        <v>1685921</v>
      </c>
      <c r="O14" s="6" t="s">
        <v>22</v>
      </c>
      <c r="P14" s="20">
        <f t="shared" si="0"/>
        <v>31162558.666666668</v>
      </c>
      <c r="Q14" s="7">
        <f t="shared" si="1"/>
        <v>5.2580607537968227E-2</v>
      </c>
      <c r="R14" s="2"/>
      <c r="S14" s="6" t="s">
        <v>22</v>
      </c>
      <c r="T14" s="20">
        <f t="shared" ca="1" si="2"/>
        <v>31162558.666666668</v>
      </c>
      <c r="U14" s="7">
        <f t="shared" ca="1" si="3"/>
        <v>5.2580607537968227E-2</v>
      </c>
    </row>
    <row r="15" spans="1:35" x14ac:dyDescent="0.55000000000000004">
      <c r="A15" s="14">
        <v>9</v>
      </c>
      <c r="B15" s="6" t="s">
        <v>23</v>
      </c>
      <c r="C15" s="23">
        <f>Vietnam!C15+'Brazil Robusta'!C15</f>
        <v>1443917</v>
      </c>
      <c r="D15" s="23">
        <f>Vietnam!D15+'Brazil Robusta'!D15</f>
        <v>2250071</v>
      </c>
      <c r="E15" s="23">
        <f>Vietnam!E15+'Brazil Robusta'!E15</f>
        <v>3346607.7</v>
      </c>
      <c r="F15" s="23">
        <f>Vietnam!F15+'Brazil Robusta'!F15</f>
        <v>2874028.3341989308</v>
      </c>
      <c r="G15" s="23">
        <f>Vietnam!G15+'Brazil Robusta'!G15</f>
        <v>2976994.8064211528</v>
      </c>
      <c r="H15" s="23">
        <f>Vietnam!H15+'Brazil Robusta'!H15</f>
        <v>3670808.6944444445</v>
      </c>
      <c r="I15" s="23">
        <f>Vietnam!I15+'Brazil Robusta'!I15</f>
        <v>2914531.027777778</v>
      </c>
      <c r="J15" s="23">
        <f>Vietnam!J15+'Brazil Robusta'!J15</f>
        <v>2665469.3320561945</v>
      </c>
      <c r="K15" s="23">
        <f>Vietnam!K15+'Brazil Robusta'!K15</f>
        <v>2637644.6944444445</v>
      </c>
      <c r="L15" s="23">
        <f>Vietnam!L15+'Brazil Robusta'!L15</f>
        <v>2489913.2104717474</v>
      </c>
      <c r="M15" s="23">
        <f>Vietnam!M15+'Brazil Robusta'!M15</f>
        <v>2266689.6944444445</v>
      </c>
      <c r="N15" s="23">
        <f>Vietnam!N15+'Brazil Robusta'!N15</f>
        <v>1560079.6944444445</v>
      </c>
      <c r="O15" s="6" t="s">
        <v>23</v>
      </c>
      <c r="P15" s="20">
        <f t="shared" si="0"/>
        <v>31096755.188703582</v>
      </c>
      <c r="Q15" s="7">
        <f t="shared" si="1"/>
        <v>-2.1116198662298746E-3</v>
      </c>
      <c r="R15" s="2"/>
      <c r="S15" s="6" t="s">
        <v>23</v>
      </c>
      <c r="T15" s="20">
        <f t="shared" ca="1" si="2"/>
        <v>31096755.188703582</v>
      </c>
      <c r="U15" s="7">
        <f t="shared" ca="1" si="3"/>
        <v>-2.1116198662298746E-3</v>
      </c>
    </row>
    <row r="16" spans="1:35" x14ac:dyDescent="0.55000000000000004">
      <c r="A16" s="14">
        <v>10</v>
      </c>
      <c r="B16" s="6" t="s">
        <v>24</v>
      </c>
      <c r="C16" s="23">
        <f>Vietnam!C16+'Brazil Robusta'!C16</f>
        <v>1408699</v>
      </c>
      <c r="D16" s="23">
        <f>Vietnam!D16+'Brazil Robusta'!D16</f>
        <v>2886949.3333333335</v>
      </c>
      <c r="E16" s="23">
        <f>Vietnam!E16+'Brazil Robusta'!E16</f>
        <v>3987190.666666667</v>
      </c>
      <c r="F16" s="23">
        <f>Vietnam!F16+'Brazil Robusta'!F16</f>
        <v>4431087</v>
      </c>
      <c r="G16" s="23">
        <f>Vietnam!G16+'Brazil Robusta'!G16</f>
        <v>3241330</v>
      </c>
      <c r="H16" s="23">
        <f>Vietnam!H16+'Brazil Robusta'!H16</f>
        <v>4012102.3333333335</v>
      </c>
      <c r="I16" s="23">
        <f>Vietnam!I16+'Brazil Robusta'!I16</f>
        <v>3220058</v>
      </c>
      <c r="J16" s="23">
        <f>Vietnam!J16+'Brazil Robusta'!J16</f>
        <v>2202538.3333333335</v>
      </c>
      <c r="K16" s="23">
        <f>Vietnam!K16+'Brazil Robusta'!K16</f>
        <v>1993760.3333333335</v>
      </c>
      <c r="L16" s="23">
        <f>Vietnam!L16+'Brazil Robusta'!L16</f>
        <v>2185670.3333333335</v>
      </c>
      <c r="M16" s="23">
        <f>Vietnam!M16+'Brazil Robusta'!M16</f>
        <v>2215280.3333333335</v>
      </c>
      <c r="N16" s="23">
        <f>Vietnam!N16+'Brazil Robusta'!N16</f>
        <v>1720958.6666666667</v>
      </c>
      <c r="O16" s="6" t="s">
        <v>24</v>
      </c>
      <c r="P16" s="20">
        <f t="shared" si="0"/>
        <v>33505624.333333328</v>
      </c>
      <c r="Q16" s="7">
        <f t="shared" si="1"/>
        <v>7.7463681661063211E-2</v>
      </c>
      <c r="R16" s="2"/>
      <c r="S16" s="6" t="s">
        <v>24</v>
      </c>
      <c r="T16" s="20">
        <f t="shared" ca="1" si="2"/>
        <v>33505624.333333328</v>
      </c>
      <c r="U16" s="7">
        <f t="shared" ca="1" si="3"/>
        <v>7.7463681661063211E-2</v>
      </c>
    </row>
    <row r="17" spans="1:21" x14ac:dyDescent="0.55000000000000004">
      <c r="A17" s="14">
        <v>11</v>
      </c>
      <c r="B17" s="6" t="s">
        <v>25</v>
      </c>
      <c r="C17" s="23">
        <f>Vietnam!C17+'Brazil Robusta'!C17</f>
        <v>1656246</v>
      </c>
      <c r="D17" s="23">
        <f>Vietnam!D17+'Brazil Robusta'!D17</f>
        <v>1764522.6666666667</v>
      </c>
      <c r="E17" s="23">
        <f>Vietnam!E17+'Brazil Robusta'!E17</f>
        <v>2900000</v>
      </c>
      <c r="F17" s="23">
        <f>Vietnam!F17+'Brazil Robusta'!F17</f>
        <v>2567217.666666667</v>
      </c>
      <c r="G17" s="23">
        <f>Vietnam!G17+'Brazil Robusta'!G17</f>
        <v>3061318.3333333335</v>
      </c>
      <c r="H17" s="23">
        <f>Vietnam!H17+'Brazil Robusta'!H17</f>
        <v>3157585.3333333335</v>
      </c>
      <c r="I17" s="23">
        <f>Vietnam!I17+'Brazil Robusta'!I17</f>
        <v>2881603.666666667</v>
      </c>
      <c r="J17" s="23">
        <f>Vietnam!J17+'Brazil Robusta'!J17</f>
        <v>2683052.666666667</v>
      </c>
      <c r="K17" s="23">
        <f>Vietnam!K17+'Brazil Robusta'!K17</f>
        <v>2443583.3333333335</v>
      </c>
      <c r="L17" s="23">
        <f>Vietnam!L17+'Brazil Robusta'!L17</f>
        <v>2161275</v>
      </c>
      <c r="M17" s="23">
        <f>Vietnam!M17+'Brazil Robusta'!M17</f>
        <v>2022043</v>
      </c>
      <c r="N17" s="23">
        <f>Vietnam!N17+'Brazil Robusta'!N17</f>
        <v>1844668</v>
      </c>
      <c r="O17" s="6" t="s">
        <v>25</v>
      </c>
      <c r="P17" s="5">
        <f t="shared" si="0"/>
        <v>29143115.666666668</v>
      </c>
      <c r="Q17" s="7"/>
      <c r="R17" s="2"/>
      <c r="S17" s="6" t="s">
        <v>25</v>
      </c>
      <c r="T17" s="20">
        <f t="shared" ca="1" si="2"/>
        <v>29143115.666666668</v>
      </c>
      <c r="U17" s="7">
        <f t="shared" ca="1" si="3"/>
        <v>-0.1302022795715102</v>
      </c>
    </row>
    <row r="18" spans="1:21" x14ac:dyDescent="0.55000000000000004">
      <c r="A18" s="14">
        <v>12</v>
      </c>
      <c r="B18" s="6" t="s">
        <v>26</v>
      </c>
      <c r="C18" s="23">
        <f>Vietnam!C18+'Brazil Robusta'!C18</f>
        <v>1587156</v>
      </c>
      <c r="D18" s="23">
        <f>Vietnam!D18+'Brazil Robusta'!D18</f>
        <v>1739523</v>
      </c>
      <c r="E18" s="23">
        <f>Vietnam!E18+'Brazil Robusta'!E18</f>
        <v>3271597</v>
      </c>
      <c r="F18" s="23">
        <f>Vietnam!F18+'Brazil Robusta'!F18</f>
        <v>3921358.3333333335</v>
      </c>
      <c r="G18" s="23">
        <f>Vietnam!G18+'Brazil Robusta'!G18</f>
        <v>2602838.3333333335</v>
      </c>
      <c r="H18" s="23">
        <f>Vietnam!H18+'Brazil Robusta'!H18</f>
        <v>3525858</v>
      </c>
      <c r="I18" s="23">
        <f>Vietnam!I18+'Brazil Robusta'!I18</f>
        <v>3666303</v>
      </c>
      <c r="J18" s="23">
        <f>Vietnam!J18+'Brazil Robusta'!J18</f>
        <v>2825395</v>
      </c>
      <c r="K18" s="23">
        <f>Vietnam!K18+'Brazil Robusta'!K18</f>
        <v>2576425.666666667</v>
      </c>
      <c r="L18" s="23">
        <f>Vietnam!L18+'Brazil Robusta'!L18</f>
        <v>2926458.3333333335</v>
      </c>
      <c r="M18" s="23">
        <f>Vietnam!M18+'Brazil Robusta'!M18</f>
        <v>3094323.666666667</v>
      </c>
      <c r="N18" s="23">
        <f>Vietnam!N18+'Brazil Robusta'!N18</f>
        <v>2571270.666666667</v>
      </c>
      <c r="O18" s="6" t="s">
        <v>26</v>
      </c>
      <c r="P18" s="5">
        <f t="shared" si="0"/>
        <v>34308507</v>
      </c>
      <c r="Q18" s="7"/>
      <c r="R18" s="2"/>
      <c r="S18" s="6" t="s">
        <v>26</v>
      </c>
      <c r="T18" s="20">
        <f t="shared" ca="1" si="2"/>
        <v>34308507</v>
      </c>
      <c r="U18" s="7">
        <f t="shared" ca="1" si="3"/>
        <v>0.17724224796051602</v>
      </c>
    </row>
    <row r="19" spans="1:21" x14ac:dyDescent="0.55000000000000004">
      <c r="A19" s="14">
        <v>13</v>
      </c>
      <c r="B19" s="6" t="s">
        <v>27</v>
      </c>
      <c r="C19" s="23" t="e">
        <f>Vietnam!C19+'Brazil Robusta'!C19</f>
        <v>#N/A</v>
      </c>
      <c r="D19" s="23" t="e">
        <f>Vietnam!D19+'Brazil Robusta'!D19</f>
        <v>#N/A</v>
      </c>
      <c r="E19" s="23" t="e">
        <f>Vietnam!E19+'Brazil Robusta'!E19</f>
        <v>#N/A</v>
      </c>
      <c r="F19" s="23" t="e">
        <f>Vietnam!F19+'Brazil Robusta'!F19</f>
        <v>#N/A</v>
      </c>
      <c r="G19" s="23" t="e">
        <f>Vietnam!G19+'Brazil Robusta'!G19</f>
        <v>#N/A</v>
      </c>
      <c r="H19" s="23" t="e">
        <f>Vietnam!H19+'Brazil Robusta'!H19</f>
        <v>#N/A</v>
      </c>
      <c r="I19" s="23" t="e">
        <f>Vietnam!I19+'Brazil Robusta'!I19</f>
        <v>#N/A</v>
      </c>
      <c r="J19" s="23" t="e">
        <f>Vietnam!J19+'Brazil Robusta'!J19</f>
        <v>#N/A</v>
      </c>
      <c r="K19" s="23" t="e">
        <f>Vietnam!K19+'Brazil Robusta'!K19</f>
        <v>#N/A</v>
      </c>
      <c r="L19" s="23" t="e">
        <f>Vietnam!L19+'Brazil Robusta'!L19</f>
        <v>#N/A</v>
      </c>
      <c r="M19" s="23" t="e">
        <f>Vietnam!M19+'Brazil Robusta'!M19</f>
        <v>#N/A</v>
      </c>
      <c r="N19" s="23" t="e">
        <f>Vietnam!N19+'Brazil Robusta'!N19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t="shared" ca="1" si="2"/>
        <v/>
      </c>
      <c r="U19" s="7"/>
    </row>
    <row r="20" spans="1:21" x14ac:dyDescent="0.55000000000000004">
      <c r="B20" s="8" t="s">
        <v>28</v>
      </c>
      <c r="C20" s="22">
        <f>IFERROR(C18/C17-1,"")</f>
        <v>-4.1714817726352216E-2</v>
      </c>
      <c r="D20" s="22">
        <f t="shared" ref="D20:N20" si="4">IFERROR(D18/D17-1,"")</f>
        <v>-1.416794872569882E-2</v>
      </c>
      <c r="E20" s="22">
        <f t="shared" si="4"/>
        <v>0.12813689655172422</v>
      </c>
      <c r="F20" s="22">
        <f t="shared" si="4"/>
        <v>0.52747403706710738</v>
      </c>
      <c r="G20" s="22">
        <f t="shared" si="4"/>
        <v>-0.14976554218743454</v>
      </c>
      <c r="H20" s="22">
        <f t="shared" si="4"/>
        <v>0.11663110503426877</v>
      </c>
      <c r="I20" s="22">
        <f t="shared" si="4"/>
        <v>0.27231341437077106</v>
      </c>
      <c r="J20" s="22">
        <f t="shared" si="4"/>
        <v>5.3052381379518065E-2</v>
      </c>
      <c r="K20" s="22">
        <f t="shared" si="4"/>
        <v>5.4363741772669893E-2</v>
      </c>
      <c r="L20" s="22">
        <f t="shared" si="4"/>
        <v>0.35404255975446608</v>
      </c>
      <c r="M20" s="22">
        <f t="shared" si="4"/>
        <v>0.53029567950170553</v>
      </c>
      <c r="N20" s="22">
        <f t="shared" si="4"/>
        <v>0.39389346303327599</v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Vietnam &amp; Brazil : Robusta Exports | YTD : Oct-Sep</v>
      </c>
      <c r="Q27" s="13" t="str">
        <f>_xlfn.CONCAT(A1," | ","Cumulative")</f>
        <v>Vietnam &amp; Brazil : Robusta Exports | Cumulative</v>
      </c>
    </row>
    <row r="56" spans="2:6" x14ac:dyDescent="0.55000000000000004">
      <c r="B56" s="9" t="s">
        <v>29</v>
      </c>
      <c r="C56" s="9">
        <f>COUNT(C18:N18)</f>
        <v>12</v>
      </c>
      <c r="D56" s="25" t="str">
        <f ca="1">OFFSET(B6,0,$C$56,1,1)</f>
        <v>Sep</v>
      </c>
      <c r="E56" s="11" t="str">
        <f>B18</f>
        <v>25/26</v>
      </c>
      <c r="F56" s="11" t="str">
        <f ca="1">_xlfn.CONCAT(D56,"'",E56)</f>
        <v>Sep'25/26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1587156</v>
      </c>
      <c r="C66" s="12">
        <f t="shared" ref="C66:M66" si="5">D18</f>
        <v>1739523</v>
      </c>
      <c r="D66" s="12">
        <f t="shared" si="5"/>
        <v>3271597</v>
      </c>
      <c r="E66" s="12">
        <f t="shared" si="5"/>
        <v>3921358.3333333335</v>
      </c>
      <c r="F66" s="12">
        <f t="shared" si="5"/>
        <v>2602838.3333333335</v>
      </c>
      <c r="G66" s="12">
        <f t="shared" si="5"/>
        <v>3525858</v>
      </c>
      <c r="H66" s="12">
        <f t="shared" si="5"/>
        <v>3666303</v>
      </c>
      <c r="I66" s="12">
        <f t="shared" si="5"/>
        <v>2825395</v>
      </c>
      <c r="J66" s="12">
        <f t="shared" si="5"/>
        <v>2576425.666666667</v>
      </c>
      <c r="K66" s="12">
        <f t="shared" si="5"/>
        <v>2926458.3333333335</v>
      </c>
      <c r="L66" s="12">
        <f t="shared" si="5"/>
        <v>3094323.666666667</v>
      </c>
      <c r="M66" s="12">
        <f t="shared" si="5"/>
        <v>2571270.666666667</v>
      </c>
    </row>
    <row r="67" spans="1:25" x14ac:dyDescent="0.55000000000000004">
      <c r="A67" s="11" t="s">
        <v>30</v>
      </c>
      <c r="B67" s="12">
        <f>MIN(C7:C17)</f>
        <v>1341305.3333333335</v>
      </c>
      <c r="C67" s="12">
        <f t="shared" ref="C67:M67" si="6">MIN(D7:D17)</f>
        <v>1764522.6666666667</v>
      </c>
      <c r="D67" s="12">
        <f t="shared" si="6"/>
        <v>2171788.3333333335</v>
      </c>
      <c r="E67" s="12">
        <f t="shared" si="6"/>
        <v>2567217.666666667</v>
      </c>
      <c r="F67" s="12">
        <f t="shared" si="6"/>
        <v>2073377.1697574896</v>
      </c>
      <c r="G67" s="12">
        <f t="shared" si="6"/>
        <v>2739115</v>
      </c>
      <c r="H67" s="12">
        <f t="shared" si="6"/>
        <v>2122760.666666667</v>
      </c>
      <c r="I67" s="12">
        <f t="shared" si="6"/>
        <v>2060048.6666666667</v>
      </c>
      <c r="J67" s="12">
        <f t="shared" si="6"/>
        <v>1993760.3333333335</v>
      </c>
      <c r="K67" s="12">
        <f t="shared" si="6"/>
        <v>1706794.3333333335</v>
      </c>
      <c r="L67" s="12">
        <f t="shared" si="6"/>
        <v>1602833.6475507766</v>
      </c>
      <c r="M67" s="12">
        <f t="shared" si="6"/>
        <v>1344908</v>
      </c>
      <c r="N67" s="12"/>
    </row>
    <row r="68" spans="1:25" x14ac:dyDescent="0.55000000000000004">
      <c r="A68" s="11" t="s">
        <v>31</v>
      </c>
      <c r="B68" s="12">
        <f>MAX(C7:C17)</f>
        <v>2665002.666666667</v>
      </c>
      <c r="C68" s="12">
        <f t="shared" ref="C68:M68" si="7">MAX(D7:D17)</f>
        <v>2886949.3333333335</v>
      </c>
      <c r="D68" s="12">
        <f t="shared" si="7"/>
        <v>3987190.666666667</v>
      </c>
      <c r="E68" s="12">
        <f t="shared" si="7"/>
        <v>4431087</v>
      </c>
      <c r="F68" s="12">
        <f t="shared" si="7"/>
        <v>3313021.666666667</v>
      </c>
      <c r="G68" s="12">
        <f t="shared" si="7"/>
        <v>4012102.3333333335</v>
      </c>
      <c r="H68" s="12">
        <f t="shared" si="7"/>
        <v>3220058</v>
      </c>
      <c r="I68" s="12">
        <f t="shared" si="7"/>
        <v>2753571.666666667</v>
      </c>
      <c r="J68" s="12">
        <f t="shared" si="7"/>
        <v>2695697.666666667</v>
      </c>
      <c r="K68" s="12">
        <f t="shared" si="7"/>
        <v>2595071</v>
      </c>
      <c r="L68" s="12">
        <f t="shared" si="7"/>
        <v>2598204.3333333335</v>
      </c>
      <c r="M68" s="12">
        <f t="shared" si="7"/>
        <v>2301001.666666667</v>
      </c>
      <c r="N68" s="12"/>
    </row>
    <row r="69" spans="1:25" x14ac:dyDescent="0.55000000000000004">
      <c r="A69" s="11" t="s">
        <v>32</v>
      </c>
      <c r="B69" s="12">
        <f>AVERAGE(C12:C17)</f>
        <v>1773722.777777778</v>
      </c>
      <c r="C69" s="12">
        <f t="shared" ref="C69:M69" si="8">AVERAGE(D12:D17)</f>
        <v>2206413.777777778</v>
      </c>
      <c r="D69" s="12">
        <f t="shared" si="8"/>
        <v>3319471.4500000007</v>
      </c>
      <c r="E69" s="12">
        <f t="shared" si="8"/>
        <v>3327067.055699822</v>
      </c>
      <c r="F69" s="12">
        <f t="shared" si="8"/>
        <v>2921599.9677368589</v>
      </c>
      <c r="G69" s="12">
        <f t="shared" si="8"/>
        <v>3516709.5046296292</v>
      </c>
      <c r="H69" s="12">
        <f t="shared" si="8"/>
        <v>2864597.4490740742</v>
      </c>
      <c r="I69" s="12">
        <f t="shared" si="8"/>
        <v>2490165.6108982549</v>
      </c>
      <c r="J69" s="12">
        <f t="shared" si="8"/>
        <v>2393802.8935185187</v>
      </c>
      <c r="K69" s="12">
        <f t="shared" si="8"/>
        <v>2233232.1461897357</v>
      </c>
      <c r="L69" s="12">
        <f t="shared" si="8"/>
        <v>2138687.7268518521</v>
      </c>
      <c r="M69" s="12">
        <f t="shared" si="8"/>
        <v>1863827.7268518517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2024547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9">INDEX($C$7:$N$19,MATCH(B75,$A$7:$A$19),MATCH(C75,$C$4:$N$4))</f>
        <v>1782702.6666666667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9"/>
        <v>2171788.3333333335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>
        <f>C7</f>
        <v>2024547</v>
      </c>
      <c r="O76" s="5">
        <f t="shared" ref="O76:O88" si="13">N76+D7</f>
        <v>3807249.666666667</v>
      </c>
      <c r="P76" s="5">
        <f t="shared" ref="P76:P88" si="14">O76+E7</f>
        <v>5979038</v>
      </c>
      <c r="Q76" s="5">
        <f t="shared" ref="Q76:Q88" si="15">P76+F7</f>
        <v>8694442.6666666679</v>
      </c>
      <c r="R76" s="5">
        <f t="shared" ref="R76:R88" si="16">Q76+G7</f>
        <v>10767819.836424157</v>
      </c>
      <c r="S76" s="5">
        <f t="shared" ref="S76:S88" si="17">R76+H7</f>
        <v>13506934.836424157</v>
      </c>
      <c r="T76" s="5">
        <f t="shared" ref="T76:T88" si="18">S76+I7</f>
        <v>15629695.503090825</v>
      </c>
      <c r="U76" s="5">
        <f t="shared" ref="U76:U88" si="19">T76+J7</f>
        <v>17689744.169757493</v>
      </c>
      <c r="V76" s="5">
        <f t="shared" ref="V76:V88" si="20">U76+K7</f>
        <v>19866188.836424161</v>
      </c>
      <c r="W76" s="5">
        <f t="shared" ref="W76:W88" si="21">V76+L7</f>
        <v>22254137.836424161</v>
      </c>
      <c r="X76" s="5">
        <f t="shared" ref="X76:X88" si="22">W76+M7</f>
        <v>24250959.836424161</v>
      </c>
      <c r="Y76" s="5">
        <f t="shared" ref="Y76:Y88" si="23">X76+N7</f>
        <v>26118314.572397757</v>
      </c>
    </row>
    <row r="77" spans="1:25" x14ac:dyDescent="0.55000000000000004">
      <c r="B77" s="11">
        <v>1</v>
      </c>
      <c r="C77" s="11">
        <v>4</v>
      </c>
      <c r="D77" s="12">
        <f t="shared" si="9"/>
        <v>2715404.666666667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24">C8</f>
        <v>1878344.3333333335</v>
      </c>
      <c r="O77" s="5">
        <f t="shared" si="13"/>
        <v>3992077.666666667</v>
      </c>
      <c r="P77" s="5">
        <f t="shared" si="14"/>
        <v>6857538.666666667</v>
      </c>
      <c r="Q77" s="5">
        <f t="shared" si="15"/>
        <v>10161461.333333334</v>
      </c>
      <c r="R77" s="5">
        <f t="shared" si="16"/>
        <v>12416837</v>
      </c>
      <c r="S77" s="5">
        <f t="shared" si="17"/>
        <v>15525933</v>
      </c>
      <c r="T77" s="5">
        <f t="shared" si="18"/>
        <v>18737093.666666668</v>
      </c>
      <c r="U77" s="5">
        <f t="shared" si="19"/>
        <v>21490665.333333336</v>
      </c>
      <c r="V77" s="5">
        <f t="shared" si="20"/>
        <v>24186363.000000004</v>
      </c>
      <c r="W77" s="5">
        <f t="shared" si="21"/>
        <v>26567860.000000004</v>
      </c>
      <c r="X77" s="5">
        <f t="shared" si="22"/>
        <v>29162251.000000004</v>
      </c>
      <c r="Y77" s="5">
        <f t="shared" si="23"/>
        <v>31393031.666666672</v>
      </c>
    </row>
    <row r="78" spans="1:25" x14ac:dyDescent="0.55000000000000004">
      <c r="B78" s="11">
        <v>1</v>
      </c>
      <c r="C78" s="11">
        <v>5</v>
      </c>
      <c r="D78" s="12">
        <f t="shared" si="9"/>
        <v>2073377.1697574896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24"/>
        <v>1988854.6666666667</v>
      </c>
      <c r="O78" s="5">
        <f t="shared" si="13"/>
        <v>3938135</v>
      </c>
      <c r="P78" s="5">
        <f t="shared" si="14"/>
        <v>6429787.666666667</v>
      </c>
      <c r="Q78" s="5">
        <f t="shared" si="15"/>
        <v>9523220.6666666679</v>
      </c>
      <c r="R78" s="5">
        <f t="shared" si="16"/>
        <v>12349610.666666668</v>
      </c>
      <c r="S78" s="5">
        <f t="shared" si="17"/>
        <v>15460814.333333336</v>
      </c>
      <c r="T78" s="5">
        <f t="shared" si="18"/>
        <v>17876485.666666668</v>
      </c>
      <c r="U78" s="5">
        <f t="shared" si="19"/>
        <v>20014497.666666668</v>
      </c>
      <c r="V78" s="5">
        <f t="shared" si="20"/>
        <v>22062890.333333336</v>
      </c>
      <c r="W78" s="5">
        <f t="shared" si="21"/>
        <v>23769684.666666668</v>
      </c>
      <c r="X78" s="5">
        <f t="shared" si="22"/>
        <v>25372518.314217445</v>
      </c>
      <c r="Y78" s="5">
        <f t="shared" si="23"/>
        <v>26717426.314217445</v>
      </c>
    </row>
    <row r="79" spans="1:25" x14ac:dyDescent="0.55000000000000004">
      <c r="B79" s="11">
        <v>1</v>
      </c>
      <c r="C79" s="11">
        <v>6</v>
      </c>
      <c r="D79" s="12">
        <f t="shared" si="9"/>
        <v>2739115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24"/>
        <v>1341305.3333333335</v>
      </c>
      <c r="O79" s="5">
        <f t="shared" si="13"/>
        <v>3117145.2779552718</v>
      </c>
      <c r="P79" s="5">
        <f t="shared" si="14"/>
        <v>5873903.6112886053</v>
      </c>
      <c r="Q79" s="5">
        <f t="shared" si="15"/>
        <v>9499581.6112886053</v>
      </c>
      <c r="R79" s="5">
        <f t="shared" si="16"/>
        <v>11810672.611288605</v>
      </c>
      <c r="S79" s="5">
        <f t="shared" si="17"/>
        <v>15365909.611288605</v>
      </c>
      <c r="T79" s="5">
        <f t="shared" si="18"/>
        <v>18104819.611288607</v>
      </c>
      <c r="U79" s="5">
        <f t="shared" si="19"/>
        <v>20721348.611288607</v>
      </c>
      <c r="V79" s="5">
        <f t="shared" si="20"/>
        <v>23395573.944621939</v>
      </c>
      <c r="W79" s="5">
        <f t="shared" si="21"/>
        <v>25697321.277955271</v>
      </c>
      <c r="X79" s="5">
        <f t="shared" si="22"/>
        <v>28295525.611288603</v>
      </c>
      <c r="Y79" s="5">
        <f t="shared" si="23"/>
        <v>30590165.611288603</v>
      </c>
    </row>
    <row r="80" spans="1:25" x14ac:dyDescent="0.55000000000000004">
      <c r="B80" s="11">
        <v>1</v>
      </c>
      <c r="C80" s="11">
        <v>7</v>
      </c>
      <c r="D80" s="12">
        <f t="shared" si="9"/>
        <v>2122760.666666667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24"/>
        <v>2665002.666666667</v>
      </c>
      <c r="O80" s="5">
        <f t="shared" si="13"/>
        <v>5526463</v>
      </c>
      <c r="P80" s="5">
        <f t="shared" si="14"/>
        <v>8376274</v>
      </c>
      <c r="Q80" s="5">
        <f t="shared" si="15"/>
        <v>12105965</v>
      </c>
      <c r="R80" s="5">
        <f t="shared" si="16"/>
        <v>14248354.666666668</v>
      </c>
      <c r="S80" s="5">
        <f t="shared" si="17"/>
        <v>17280334</v>
      </c>
      <c r="T80" s="5">
        <f t="shared" si="18"/>
        <v>19824959.666666668</v>
      </c>
      <c r="U80" s="5">
        <f t="shared" si="19"/>
        <v>22455179.333333336</v>
      </c>
      <c r="V80" s="5">
        <f t="shared" si="20"/>
        <v>25050642.666666668</v>
      </c>
      <c r="W80" s="5">
        <f t="shared" si="21"/>
        <v>27645713.666666668</v>
      </c>
      <c r="X80" s="5">
        <f t="shared" si="22"/>
        <v>30010185.666666668</v>
      </c>
      <c r="Y80" s="5">
        <f t="shared" si="23"/>
        <v>31932517.333333336</v>
      </c>
    </row>
    <row r="81" spans="2:25" x14ac:dyDescent="0.55000000000000004">
      <c r="B81" s="11">
        <v>1</v>
      </c>
      <c r="C81" s="11">
        <v>8</v>
      </c>
      <c r="D81" s="12">
        <f t="shared" si="9"/>
        <v>2060048.6666666667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24"/>
        <v>2086800.6666666667</v>
      </c>
      <c r="O81" s="5">
        <f t="shared" si="13"/>
        <v>4416352.333333334</v>
      </c>
      <c r="P81" s="5">
        <f t="shared" si="14"/>
        <v>7893039.0000000009</v>
      </c>
      <c r="Q81" s="5">
        <f t="shared" si="15"/>
        <v>10676708.333333334</v>
      </c>
      <c r="R81" s="5">
        <f t="shared" si="16"/>
        <v>13989730</v>
      </c>
      <c r="S81" s="5">
        <f t="shared" si="17"/>
        <v>17397236.333333332</v>
      </c>
      <c r="T81" s="5">
        <f t="shared" si="18"/>
        <v>20405364.333333332</v>
      </c>
      <c r="U81" s="5">
        <f t="shared" si="19"/>
        <v>22793202.666666664</v>
      </c>
      <c r="V81" s="5">
        <f t="shared" si="20"/>
        <v>25174652.666666664</v>
      </c>
      <c r="W81" s="5">
        <f t="shared" si="21"/>
        <v>27325097.666666664</v>
      </c>
      <c r="X81" s="5">
        <f t="shared" si="22"/>
        <v>29480868.666666664</v>
      </c>
      <c r="Y81" s="5">
        <f t="shared" si="23"/>
        <v>31781870.333333332</v>
      </c>
    </row>
    <row r="82" spans="2:25" x14ac:dyDescent="0.55000000000000004">
      <c r="B82" s="11">
        <v>1</v>
      </c>
      <c r="C82" s="11">
        <v>9</v>
      </c>
      <c r="D82" s="12">
        <f t="shared" si="9"/>
        <v>2176444.666666667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24"/>
        <v>1981758</v>
      </c>
      <c r="O82" s="5">
        <f t="shared" si="13"/>
        <v>3852218.3333333335</v>
      </c>
      <c r="P82" s="5">
        <f t="shared" si="14"/>
        <v>6845976.666666667</v>
      </c>
      <c r="Q82" s="5">
        <f t="shared" si="15"/>
        <v>9992986.333333334</v>
      </c>
      <c r="R82" s="5">
        <f t="shared" si="16"/>
        <v>12378368.333333334</v>
      </c>
      <c r="S82" s="5">
        <f t="shared" si="17"/>
        <v>15589566.666666668</v>
      </c>
      <c r="T82" s="5">
        <f t="shared" si="18"/>
        <v>18032400.333333336</v>
      </c>
      <c r="U82" s="5">
        <f t="shared" si="19"/>
        <v>20516872.666666668</v>
      </c>
      <c r="V82" s="5">
        <f t="shared" si="20"/>
        <v>22998457.333333336</v>
      </c>
      <c r="W82" s="5">
        <f t="shared" si="21"/>
        <v>25370187.333333336</v>
      </c>
      <c r="X82" s="5">
        <f t="shared" si="22"/>
        <v>27535527.000000004</v>
      </c>
      <c r="Y82" s="5">
        <f t="shared" si="23"/>
        <v>29605864.333333336</v>
      </c>
    </row>
    <row r="83" spans="2:25" x14ac:dyDescent="0.55000000000000004">
      <c r="B83" s="11">
        <v>1</v>
      </c>
      <c r="C83" s="11">
        <v>10</v>
      </c>
      <c r="D83" s="12">
        <f t="shared" si="9"/>
        <v>2387949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24"/>
        <v>2064916</v>
      </c>
      <c r="O83" s="5">
        <f t="shared" si="13"/>
        <v>4201843.666666667</v>
      </c>
      <c r="P83" s="5">
        <f t="shared" si="14"/>
        <v>7414429</v>
      </c>
      <c r="Q83" s="5">
        <f t="shared" si="15"/>
        <v>11573819.333333334</v>
      </c>
      <c r="R83" s="5">
        <f t="shared" si="16"/>
        <v>14125372.333333334</v>
      </c>
      <c r="S83" s="5">
        <f t="shared" si="17"/>
        <v>17766428.333333336</v>
      </c>
      <c r="T83" s="5">
        <f t="shared" si="18"/>
        <v>20486858.666666668</v>
      </c>
      <c r="U83" s="5">
        <f t="shared" si="19"/>
        <v>23004481.333333336</v>
      </c>
      <c r="V83" s="5">
        <f t="shared" si="20"/>
        <v>25429275.666666668</v>
      </c>
      <c r="W83" s="5">
        <f t="shared" si="21"/>
        <v>27469635</v>
      </c>
      <c r="X83" s="5">
        <f t="shared" si="22"/>
        <v>29476637.666666668</v>
      </c>
      <c r="Y83" s="5">
        <f t="shared" si="23"/>
        <v>31162558.666666668</v>
      </c>
    </row>
    <row r="84" spans="2:25" x14ac:dyDescent="0.55000000000000004">
      <c r="B84" s="11">
        <v>1</v>
      </c>
      <c r="C84" s="11">
        <v>11</v>
      </c>
      <c r="D84" s="12">
        <f t="shared" si="9"/>
        <v>1996822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24"/>
        <v>1443917</v>
      </c>
      <c r="O84" s="5">
        <f t="shared" si="13"/>
        <v>3693988</v>
      </c>
      <c r="P84" s="5">
        <f t="shared" si="14"/>
        <v>7040595.7000000002</v>
      </c>
      <c r="Q84" s="5">
        <f t="shared" si="15"/>
        <v>9914624.0341989305</v>
      </c>
      <c r="R84" s="5">
        <f t="shared" si="16"/>
        <v>12891618.840620084</v>
      </c>
      <c r="S84" s="5">
        <f t="shared" si="17"/>
        <v>16562427.535064528</v>
      </c>
      <c r="T84" s="5">
        <f t="shared" si="18"/>
        <v>19476958.562842306</v>
      </c>
      <c r="U84" s="5">
        <f t="shared" si="19"/>
        <v>22142427.8948985</v>
      </c>
      <c r="V84" s="5">
        <f t="shared" si="20"/>
        <v>24780072.589342944</v>
      </c>
      <c r="W84" s="5">
        <f t="shared" si="21"/>
        <v>27269985.799814694</v>
      </c>
      <c r="X84" s="5">
        <f t="shared" si="22"/>
        <v>29536675.494259138</v>
      </c>
      <c r="Y84" s="5">
        <f t="shared" si="23"/>
        <v>31096755.188703582</v>
      </c>
    </row>
    <row r="85" spans="2:25" x14ac:dyDescent="0.55000000000000004">
      <c r="B85" s="11">
        <v>1</v>
      </c>
      <c r="C85" s="11">
        <v>12</v>
      </c>
      <c r="D85" s="12">
        <f t="shared" si="9"/>
        <v>1867354.7359735975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>
        <f>SUM(D74:D85)/1000000</f>
        <v>26.118314572397757</v>
      </c>
      <c r="M85" s="6" t="s">
        <v>24</v>
      </c>
      <c r="N85" s="5">
        <f t="shared" si="24"/>
        <v>1408699</v>
      </c>
      <c r="O85" s="5">
        <f t="shared" si="13"/>
        <v>4295648.333333334</v>
      </c>
      <c r="P85" s="5">
        <f t="shared" si="14"/>
        <v>8282839.0000000009</v>
      </c>
      <c r="Q85" s="5">
        <f t="shared" si="15"/>
        <v>12713926</v>
      </c>
      <c r="R85" s="5">
        <f t="shared" si="16"/>
        <v>15955256</v>
      </c>
      <c r="S85" s="5">
        <f t="shared" si="17"/>
        <v>19967358.333333332</v>
      </c>
      <c r="T85" s="5">
        <f t="shared" si="18"/>
        <v>23187416.333333332</v>
      </c>
      <c r="U85" s="5">
        <f t="shared" si="19"/>
        <v>25389954.666666664</v>
      </c>
      <c r="V85" s="5">
        <f t="shared" si="20"/>
        <v>27383714.999999996</v>
      </c>
      <c r="W85" s="5">
        <f t="shared" si="21"/>
        <v>29569385.333333328</v>
      </c>
      <c r="X85" s="5">
        <f t="shared" si="22"/>
        <v>31784665.66666666</v>
      </c>
      <c r="Y85" s="5">
        <f t="shared" si="23"/>
        <v>33505624.333333328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1878344.3333333335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25">G86</f>
        <v>Oct'15/16</v>
      </c>
      <c r="I86" s="11">
        <f t="shared" ref="I86:I149" si="26">SUM(D75:D86)/1000000</f>
        <v>25.972111905731087</v>
      </c>
      <c r="M86" s="6" t="s">
        <v>25</v>
      </c>
      <c r="N86" s="5">
        <f t="shared" si="24"/>
        <v>1656246</v>
      </c>
      <c r="O86" s="5">
        <f t="shared" si="13"/>
        <v>3420768.666666667</v>
      </c>
      <c r="P86" s="5">
        <f t="shared" si="14"/>
        <v>6320768.666666667</v>
      </c>
      <c r="Q86" s="5">
        <f t="shared" si="15"/>
        <v>8887986.333333334</v>
      </c>
      <c r="R86" s="5">
        <f t="shared" si="16"/>
        <v>11949304.666666668</v>
      </c>
      <c r="S86" s="5">
        <f t="shared" si="17"/>
        <v>15106890.000000002</v>
      </c>
      <c r="T86" s="5">
        <f t="shared" si="18"/>
        <v>17988493.666666668</v>
      </c>
      <c r="U86" s="5">
        <f t="shared" si="19"/>
        <v>20671546.333333336</v>
      </c>
      <c r="V86" s="5">
        <f t="shared" si="20"/>
        <v>23115129.666666668</v>
      </c>
      <c r="W86" s="5">
        <f t="shared" si="21"/>
        <v>25276404.666666668</v>
      </c>
      <c r="X86" s="5">
        <f t="shared" si="22"/>
        <v>27298447.666666668</v>
      </c>
      <c r="Y86" s="5">
        <f t="shared" si="23"/>
        <v>29143115.666666668</v>
      </c>
    </row>
    <row r="87" spans="2:25" x14ac:dyDescent="0.55000000000000004">
      <c r="B87" s="11">
        <f t="shared" ref="B87:B150" si="27">B75+1</f>
        <v>2</v>
      </c>
      <c r="C87" s="11">
        <f t="shared" ref="C87:C150" si="28">C75</f>
        <v>2</v>
      </c>
      <c r="D87" s="12">
        <f t="shared" si="9"/>
        <v>2113733.3333333335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25"/>
        <v>Nov'15/16</v>
      </c>
      <c r="I87" s="11">
        <f t="shared" si="26"/>
        <v>26.30314257239775</v>
      </c>
      <c r="M87" s="6" t="s">
        <v>26</v>
      </c>
      <c r="N87" s="5">
        <f t="shared" si="24"/>
        <v>1587156</v>
      </c>
      <c r="O87" s="5">
        <f t="shared" si="13"/>
        <v>3326679</v>
      </c>
      <c r="P87" s="5">
        <f t="shared" si="14"/>
        <v>6598276</v>
      </c>
      <c r="Q87" s="5">
        <f t="shared" si="15"/>
        <v>10519634.333333334</v>
      </c>
      <c r="R87" s="5">
        <f t="shared" si="16"/>
        <v>13122472.666666668</v>
      </c>
      <c r="S87" s="5">
        <f t="shared" si="17"/>
        <v>16648330.666666668</v>
      </c>
      <c r="T87" s="5">
        <f t="shared" si="18"/>
        <v>20314633.666666668</v>
      </c>
      <c r="U87" s="5">
        <f t="shared" si="19"/>
        <v>23140028.666666668</v>
      </c>
      <c r="V87" s="5">
        <f t="shared" si="20"/>
        <v>25716454.333333336</v>
      </c>
      <c r="W87" s="5">
        <f t="shared" si="21"/>
        <v>28642912.666666668</v>
      </c>
      <c r="X87" s="5">
        <f t="shared" si="22"/>
        <v>31737236.333333336</v>
      </c>
      <c r="Y87" s="5">
        <f t="shared" si="23"/>
        <v>34308507</v>
      </c>
    </row>
    <row r="88" spans="2:25" x14ac:dyDescent="0.55000000000000004">
      <c r="B88" s="11">
        <f t="shared" si="27"/>
        <v>2</v>
      </c>
      <c r="C88" s="11">
        <f t="shared" si="28"/>
        <v>3</v>
      </c>
      <c r="D88" s="12">
        <f t="shared" si="9"/>
        <v>2865461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25"/>
        <v>Dec'15/16</v>
      </c>
      <c r="I88" s="11">
        <f t="shared" si="26"/>
        <v>26.996815239064418</v>
      </c>
      <c r="M88" s="6" t="s">
        <v>27</v>
      </c>
      <c r="N88" s="5" t="e">
        <f t="shared" si="24"/>
        <v>#N/A</v>
      </c>
      <c r="O88" s="5" t="e">
        <f t="shared" si="13"/>
        <v>#N/A</v>
      </c>
      <c r="P88" s="5" t="e">
        <f t="shared" si="14"/>
        <v>#N/A</v>
      </c>
      <c r="Q88" s="5" t="e">
        <f t="shared" si="15"/>
        <v>#N/A</v>
      </c>
      <c r="R88" s="5" t="e">
        <f t="shared" si="16"/>
        <v>#N/A</v>
      </c>
      <c r="S88" s="5" t="e">
        <f t="shared" si="17"/>
        <v>#N/A</v>
      </c>
      <c r="T88" s="5" t="e">
        <f t="shared" si="18"/>
        <v>#N/A</v>
      </c>
      <c r="U88" s="5" t="e">
        <f t="shared" si="19"/>
        <v>#N/A</v>
      </c>
      <c r="V88" s="5" t="e">
        <f t="shared" si="20"/>
        <v>#N/A</v>
      </c>
      <c r="W88" s="5" t="e">
        <f t="shared" si="21"/>
        <v>#N/A</v>
      </c>
      <c r="X88" s="5" t="e">
        <f t="shared" si="22"/>
        <v>#N/A</v>
      </c>
      <c r="Y88" s="5" t="e">
        <f t="shared" si="23"/>
        <v>#N/A</v>
      </c>
    </row>
    <row r="89" spans="2:25" x14ac:dyDescent="0.55000000000000004">
      <c r="B89" s="11">
        <f t="shared" si="27"/>
        <v>2</v>
      </c>
      <c r="C89" s="11">
        <f t="shared" si="28"/>
        <v>4</v>
      </c>
      <c r="D89" s="12">
        <f t="shared" si="9"/>
        <v>3303922.666666667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25"/>
        <v>Jan'15/16</v>
      </c>
      <c r="I89" s="11">
        <f t="shared" si="26"/>
        <v>27.585333239064418</v>
      </c>
    </row>
    <row r="90" spans="2:25" x14ac:dyDescent="0.55000000000000004">
      <c r="B90" s="11">
        <f t="shared" si="27"/>
        <v>2</v>
      </c>
      <c r="C90" s="11">
        <f t="shared" si="28"/>
        <v>5</v>
      </c>
      <c r="D90" s="12">
        <f t="shared" si="9"/>
        <v>2255375.666666667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25"/>
        <v>Feb'15/16</v>
      </c>
      <c r="I90" s="11">
        <f t="shared" si="26"/>
        <v>27.767331735973595</v>
      </c>
    </row>
    <row r="91" spans="2:25" x14ac:dyDescent="0.55000000000000004">
      <c r="B91" s="11">
        <f t="shared" si="27"/>
        <v>2</v>
      </c>
      <c r="C91" s="11">
        <f t="shared" si="28"/>
        <v>6</v>
      </c>
      <c r="D91" s="12">
        <f t="shared" si="9"/>
        <v>3109096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25"/>
        <v>Mar'15/16</v>
      </c>
      <c r="I91" s="11">
        <f t="shared" si="26"/>
        <v>28.137312735973602</v>
      </c>
    </row>
    <row r="92" spans="2:25" x14ac:dyDescent="0.55000000000000004">
      <c r="B92" s="11">
        <f t="shared" si="27"/>
        <v>2</v>
      </c>
      <c r="C92" s="11">
        <f t="shared" si="28"/>
        <v>7</v>
      </c>
      <c r="D92" s="12">
        <f t="shared" si="9"/>
        <v>3211160.666666667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25"/>
        <v>Apr'15/16</v>
      </c>
      <c r="I92" s="11">
        <f t="shared" si="26"/>
        <v>29.225712735973605</v>
      </c>
    </row>
    <row r="93" spans="2:25" x14ac:dyDescent="0.55000000000000004">
      <c r="B93" s="11">
        <f t="shared" si="27"/>
        <v>2</v>
      </c>
      <c r="C93" s="11">
        <f t="shared" si="28"/>
        <v>8</v>
      </c>
      <c r="D93" s="12">
        <f t="shared" si="9"/>
        <v>2753571.666666667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25"/>
        <v>May'15/16</v>
      </c>
      <c r="I93" s="11">
        <f t="shared" si="26"/>
        <v>29.919235735973604</v>
      </c>
    </row>
    <row r="94" spans="2:25" x14ac:dyDescent="0.55000000000000004">
      <c r="B94" s="11">
        <f t="shared" si="27"/>
        <v>2</v>
      </c>
      <c r="C94" s="11">
        <f t="shared" si="28"/>
        <v>9</v>
      </c>
      <c r="D94" s="12">
        <f t="shared" si="9"/>
        <v>2695697.666666667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25"/>
        <v>Jun'15/16</v>
      </c>
      <c r="I94" s="11">
        <f t="shared" si="26"/>
        <v>30.438488735973603</v>
      </c>
    </row>
    <row r="95" spans="2:25" x14ac:dyDescent="0.55000000000000004">
      <c r="B95" s="11">
        <f t="shared" si="27"/>
        <v>2</v>
      </c>
      <c r="C95" s="11">
        <f t="shared" si="28"/>
        <v>10</v>
      </c>
      <c r="D95" s="12">
        <f t="shared" si="9"/>
        <v>2381497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25"/>
        <v>Jul'15/16</v>
      </c>
      <c r="I95" s="11">
        <f t="shared" si="26"/>
        <v>30.432036735973604</v>
      </c>
    </row>
    <row r="96" spans="2:25" x14ac:dyDescent="0.55000000000000004">
      <c r="B96" s="11">
        <f t="shared" si="27"/>
        <v>2</v>
      </c>
      <c r="C96" s="11">
        <f t="shared" si="28"/>
        <v>11</v>
      </c>
      <c r="D96" s="12">
        <f t="shared" si="9"/>
        <v>2594391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25"/>
        <v>Aug'15/16</v>
      </c>
      <c r="I96" s="11">
        <f t="shared" si="26"/>
        <v>31.029605735973604</v>
      </c>
    </row>
    <row r="97" spans="2:9" x14ac:dyDescent="0.55000000000000004">
      <c r="B97" s="11">
        <f t="shared" si="27"/>
        <v>2</v>
      </c>
      <c r="C97" s="11">
        <f t="shared" si="28"/>
        <v>12</v>
      </c>
      <c r="D97" s="12">
        <f t="shared" si="9"/>
        <v>2230780.666666667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25"/>
        <v>Sep'15/16</v>
      </c>
      <c r="I97" s="11">
        <f t="shared" si="26"/>
        <v>31.393031666666673</v>
      </c>
    </row>
    <row r="98" spans="2:9" x14ac:dyDescent="0.55000000000000004">
      <c r="B98" s="11">
        <f t="shared" si="27"/>
        <v>3</v>
      </c>
      <c r="C98" s="11">
        <f t="shared" si="28"/>
        <v>1</v>
      </c>
      <c r="D98" s="12">
        <f t="shared" si="9"/>
        <v>1988854.6666666667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25"/>
        <v>Oct'16/17</v>
      </c>
      <c r="I98" s="11">
        <f t="shared" si="26"/>
        <v>31.503542000000007</v>
      </c>
    </row>
    <row r="99" spans="2:9" x14ac:dyDescent="0.55000000000000004">
      <c r="B99" s="11">
        <f t="shared" si="27"/>
        <v>3</v>
      </c>
      <c r="C99" s="11">
        <f t="shared" si="28"/>
        <v>2</v>
      </c>
      <c r="D99" s="12">
        <f t="shared" si="9"/>
        <v>1949280.3333333335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25"/>
        <v>Nov'16/17</v>
      </c>
      <c r="I99" s="11">
        <f t="shared" si="26"/>
        <v>31.339089000000005</v>
      </c>
    </row>
    <row r="100" spans="2:9" x14ac:dyDescent="0.55000000000000004">
      <c r="B100" s="11">
        <f t="shared" si="27"/>
        <v>3</v>
      </c>
      <c r="C100" s="11">
        <f t="shared" si="28"/>
        <v>3</v>
      </c>
      <c r="D100" s="12">
        <f t="shared" si="9"/>
        <v>2491652.666666667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25"/>
        <v>Dec'16/17</v>
      </c>
      <c r="I100" s="11">
        <f t="shared" si="26"/>
        <v>30.965280666666672</v>
      </c>
    </row>
    <row r="101" spans="2:9" x14ac:dyDescent="0.55000000000000004">
      <c r="B101" s="11">
        <f t="shared" si="27"/>
        <v>3</v>
      </c>
      <c r="C101" s="11">
        <f t="shared" si="28"/>
        <v>4</v>
      </c>
      <c r="D101" s="12">
        <f t="shared" si="9"/>
        <v>3093433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25"/>
        <v>Jan'16/17</v>
      </c>
      <c r="I101" s="11">
        <f t="shared" si="26"/>
        <v>30.754791000000004</v>
      </c>
    </row>
    <row r="102" spans="2:9" x14ac:dyDescent="0.55000000000000004">
      <c r="B102" s="11">
        <f t="shared" si="27"/>
        <v>3</v>
      </c>
      <c r="C102" s="11">
        <f t="shared" si="28"/>
        <v>5</v>
      </c>
      <c r="D102" s="12">
        <f t="shared" si="9"/>
        <v>2826390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25"/>
        <v>Feb'16/17</v>
      </c>
      <c r="I102" s="11">
        <f t="shared" si="26"/>
        <v>31.325805333333335</v>
      </c>
    </row>
    <row r="103" spans="2:9" x14ac:dyDescent="0.55000000000000004">
      <c r="B103" s="11">
        <f t="shared" si="27"/>
        <v>3</v>
      </c>
      <c r="C103" s="11">
        <f t="shared" si="28"/>
        <v>6</v>
      </c>
      <c r="D103" s="12">
        <f t="shared" si="9"/>
        <v>3111203.666666667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25"/>
        <v>Mar'16/17</v>
      </c>
      <c r="I103" s="11">
        <f t="shared" si="26"/>
        <v>31.327913000000002</v>
      </c>
    </row>
    <row r="104" spans="2:9" x14ac:dyDescent="0.55000000000000004">
      <c r="B104" s="11">
        <f t="shared" si="27"/>
        <v>3</v>
      </c>
      <c r="C104" s="11">
        <f t="shared" si="28"/>
        <v>7</v>
      </c>
      <c r="D104" s="12">
        <f t="shared" si="9"/>
        <v>2415671.3333333335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25"/>
        <v>Apr'16/17</v>
      </c>
      <c r="I104" s="11">
        <f t="shared" si="26"/>
        <v>30.532423666666666</v>
      </c>
    </row>
    <row r="105" spans="2:9" x14ac:dyDescent="0.55000000000000004">
      <c r="B105" s="11">
        <f t="shared" si="27"/>
        <v>3</v>
      </c>
      <c r="C105" s="11">
        <f t="shared" si="28"/>
        <v>8</v>
      </c>
      <c r="D105" s="12">
        <f t="shared" si="9"/>
        <v>2138012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25"/>
        <v>May'16/17</v>
      </c>
      <c r="I105" s="11">
        <f t="shared" si="26"/>
        <v>29.916864</v>
      </c>
    </row>
    <row r="106" spans="2:9" x14ac:dyDescent="0.55000000000000004">
      <c r="B106" s="11">
        <f t="shared" si="27"/>
        <v>3</v>
      </c>
      <c r="C106" s="11">
        <f t="shared" si="28"/>
        <v>9</v>
      </c>
      <c r="D106" s="12">
        <f t="shared" si="9"/>
        <v>2048392.6666666667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25"/>
        <v>Jun'16/17</v>
      </c>
      <c r="I106" s="11">
        <f t="shared" si="26"/>
        <v>29.269559000000005</v>
      </c>
    </row>
    <row r="107" spans="2:9" x14ac:dyDescent="0.55000000000000004">
      <c r="B107" s="11">
        <f t="shared" si="27"/>
        <v>3</v>
      </c>
      <c r="C107" s="11">
        <f t="shared" si="28"/>
        <v>10</v>
      </c>
      <c r="D107" s="12">
        <f t="shared" si="9"/>
        <v>1706794.3333333335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25"/>
        <v>Jul'16/17</v>
      </c>
      <c r="I107" s="11">
        <f t="shared" si="26"/>
        <v>28.594856333333336</v>
      </c>
    </row>
    <row r="108" spans="2:9" x14ac:dyDescent="0.55000000000000004">
      <c r="B108" s="11">
        <f t="shared" si="27"/>
        <v>3</v>
      </c>
      <c r="C108" s="11">
        <f t="shared" si="28"/>
        <v>11</v>
      </c>
      <c r="D108" s="12">
        <f t="shared" si="9"/>
        <v>1602833.6475507766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25"/>
        <v>Aug'16/17</v>
      </c>
      <c r="I108" s="11">
        <f t="shared" si="26"/>
        <v>27.603298980884112</v>
      </c>
    </row>
    <row r="109" spans="2:9" x14ac:dyDescent="0.55000000000000004">
      <c r="B109" s="11">
        <f t="shared" si="27"/>
        <v>3</v>
      </c>
      <c r="C109" s="11">
        <f t="shared" si="28"/>
        <v>12</v>
      </c>
      <c r="D109" s="12">
        <f t="shared" si="9"/>
        <v>1344908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25"/>
        <v>Sep'16/17</v>
      </c>
      <c r="I109" s="11">
        <f t="shared" si="26"/>
        <v>26.717426314217445</v>
      </c>
    </row>
    <row r="110" spans="2:9" x14ac:dyDescent="0.55000000000000004">
      <c r="B110" s="11">
        <f t="shared" si="27"/>
        <v>4</v>
      </c>
      <c r="C110" s="11">
        <f t="shared" si="28"/>
        <v>1</v>
      </c>
      <c r="D110" s="12">
        <f t="shared" si="9"/>
        <v>1341305.3333333335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25"/>
        <v>Oct'17/18</v>
      </c>
      <c r="I110" s="11">
        <f t="shared" si="26"/>
        <v>26.069876980884107</v>
      </c>
    </row>
    <row r="111" spans="2:9" x14ac:dyDescent="0.55000000000000004">
      <c r="B111" s="11">
        <f t="shared" si="27"/>
        <v>4</v>
      </c>
      <c r="C111" s="11">
        <f t="shared" si="28"/>
        <v>2</v>
      </c>
      <c r="D111" s="12">
        <f t="shared" si="9"/>
        <v>1775839.9446219383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25"/>
        <v>Nov'17/18</v>
      </c>
      <c r="I111" s="11">
        <f t="shared" si="26"/>
        <v>25.896436592172716</v>
      </c>
    </row>
    <row r="112" spans="2:9" x14ac:dyDescent="0.55000000000000004">
      <c r="B112" s="11">
        <f t="shared" si="27"/>
        <v>4</v>
      </c>
      <c r="C112" s="11">
        <f t="shared" si="28"/>
        <v>3</v>
      </c>
      <c r="D112" s="12">
        <f t="shared" si="9"/>
        <v>2756758.3333333335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25"/>
        <v>Dec'17/18</v>
      </c>
      <c r="I112" s="11">
        <f t="shared" si="26"/>
        <v>26.161542258839379</v>
      </c>
    </row>
    <row r="113" spans="2:9" x14ac:dyDescent="0.55000000000000004">
      <c r="B113" s="11">
        <f t="shared" si="27"/>
        <v>4</v>
      </c>
      <c r="C113" s="11">
        <f t="shared" si="28"/>
        <v>4</v>
      </c>
      <c r="D113" s="12">
        <f t="shared" si="9"/>
        <v>3625678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25"/>
        <v>Jan'17/18</v>
      </c>
      <c r="I113" s="11">
        <f t="shared" si="26"/>
        <v>26.693787258839379</v>
      </c>
    </row>
    <row r="114" spans="2:9" x14ac:dyDescent="0.55000000000000004">
      <c r="B114" s="11">
        <f t="shared" si="27"/>
        <v>4</v>
      </c>
      <c r="C114" s="11">
        <f t="shared" si="28"/>
        <v>5</v>
      </c>
      <c r="D114" s="12">
        <f t="shared" si="9"/>
        <v>2311091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25"/>
        <v>Feb'17/18</v>
      </c>
      <c r="I114" s="11">
        <f t="shared" si="26"/>
        <v>26.17848825883938</v>
      </c>
    </row>
    <row r="115" spans="2:9" x14ac:dyDescent="0.55000000000000004">
      <c r="B115" s="11">
        <f t="shared" si="27"/>
        <v>4</v>
      </c>
      <c r="C115" s="11">
        <f t="shared" si="28"/>
        <v>6</v>
      </c>
      <c r="D115" s="12">
        <f t="shared" si="9"/>
        <v>3555237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25"/>
        <v>Mar'17/18</v>
      </c>
      <c r="I115" s="11">
        <f t="shared" si="26"/>
        <v>26.622521592172717</v>
      </c>
    </row>
    <row r="116" spans="2:9" x14ac:dyDescent="0.55000000000000004">
      <c r="B116" s="11">
        <f t="shared" si="27"/>
        <v>4</v>
      </c>
      <c r="C116" s="11">
        <f t="shared" si="28"/>
        <v>7</v>
      </c>
      <c r="D116" s="12">
        <f t="shared" si="9"/>
        <v>2738910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25"/>
        <v>Apr'17/18</v>
      </c>
      <c r="I116" s="11">
        <f t="shared" si="26"/>
        <v>26.945760258839385</v>
      </c>
    </row>
    <row r="117" spans="2:9" x14ac:dyDescent="0.55000000000000004">
      <c r="B117" s="11">
        <f t="shared" si="27"/>
        <v>4</v>
      </c>
      <c r="C117" s="11">
        <f t="shared" si="28"/>
        <v>8</v>
      </c>
      <c r="D117" s="12">
        <f t="shared" si="9"/>
        <v>2616529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25"/>
        <v>May'17/18</v>
      </c>
      <c r="I117" s="11">
        <f t="shared" si="26"/>
        <v>27.424277258839385</v>
      </c>
    </row>
    <row r="118" spans="2:9" x14ac:dyDescent="0.55000000000000004">
      <c r="B118" s="11">
        <f t="shared" si="27"/>
        <v>4</v>
      </c>
      <c r="C118" s="11">
        <f t="shared" si="28"/>
        <v>9</v>
      </c>
      <c r="D118" s="12">
        <f t="shared" si="9"/>
        <v>2674225.3333333335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25"/>
        <v>Jun'17/18</v>
      </c>
      <c r="I118" s="11">
        <f t="shared" si="26"/>
        <v>28.05010992550605</v>
      </c>
    </row>
    <row r="119" spans="2:9" x14ac:dyDescent="0.55000000000000004">
      <c r="B119" s="11">
        <f t="shared" si="27"/>
        <v>4</v>
      </c>
      <c r="C119" s="11">
        <f t="shared" si="28"/>
        <v>10</v>
      </c>
      <c r="D119" s="12">
        <f t="shared" si="9"/>
        <v>2301747.3333333335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25"/>
        <v>Jul'17/18</v>
      </c>
      <c r="I119" s="11">
        <f t="shared" si="26"/>
        <v>28.645062925506046</v>
      </c>
    </row>
    <row r="120" spans="2:9" x14ac:dyDescent="0.55000000000000004">
      <c r="B120" s="11">
        <f t="shared" si="27"/>
        <v>4</v>
      </c>
      <c r="C120" s="11">
        <f t="shared" si="28"/>
        <v>11</v>
      </c>
      <c r="D120" s="12">
        <f t="shared" si="9"/>
        <v>2598204.3333333335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25"/>
        <v>Aug'17/18</v>
      </c>
      <c r="I120" s="11">
        <f t="shared" si="26"/>
        <v>29.640433611288604</v>
      </c>
    </row>
    <row r="121" spans="2:9" x14ac:dyDescent="0.55000000000000004">
      <c r="B121" s="11">
        <f t="shared" si="27"/>
        <v>4</v>
      </c>
      <c r="C121" s="11">
        <f t="shared" si="28"/>
        <v>12</v>
      </c>
      <c r="D121" s="12">
        <f t="shared" si="9"/>
        <v>2294640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25"/>
        <v>Sep'17/18</v>
      </c>
      <c r="I121" s="11">
        <f t="shared" si="26"/>
        <v>30.590165611288604</v>
      </c>
    </row>
    <row r="122" spans="2:9" x14ac:dyDescent="0.55000000000000004">
      <c r="B122" s="11">
        <f t="shared" si="27"/>
        <v>5</v>
      </c>
      <c r="C122" s="11">
        <f t="shared" si="28"/>
        <v>1</v>
      </c>
      <c r="D122" s="12">
        <f t="shared" si="9"/>
        <v>2665002.666666667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25"/>
        <v>Oct'18/19</v>
      </c>
      <c r="I122" s="11">
        <f t="shared" si="26"/>
        <v>31.913862944621936</v>
      </c>
    </row>
    <row r="123" spans="2:9" x14ac:dyDescent="0.55000000000000004">
      <c r="B123" s="11">
        <f t="shared" si="27"/>
        <v>5</v>
      </c>
      <c r="C123" s="11">
        <f t="shared" si="28"/>
        <v>2</v>
      </c>
      <c r="D123" s="12">
        <f t="shared" si="9"/>
        <v>2861460.3333333335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25"/>
        <v>Nov'18/19</v>
      </c>
      <c r="I123" s="11">
        <f t="shared" si="26"/>
        <v>32.99948333333333</v>
      </c>
    </row>
    <row r="124" spans="2:9" x14ac:dyDescent="0.55000000000000004">
      <c r="B124" s="11">
        <f t="shared" si="27"/>
        <v>5</v>
      </c>
      <c r="C124" s="11">
        <f t="shared" si="28"/>
        <v>3</v>
      </c>
      <c r="D124" s="12">
        <f t="shared" si="9"/>
        <v>2849811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25"/>
        <v>Dec'18/19</v>
      </c>
      <c r="I124" s="11">
        <f t="shared" si="26"/>
        <v>33.092535999999996</v>
      </c>
    </row>
    <row r="125" spans="2:9" x14ac:dyDescent="0.55000000000000004">
      <c r="B125" s="11">
        <f t="shared" si="27"/>
        <v>5</v>
      </c>
      <c r="C125" s="11">
        <f t="shared" si="28"/>
        <v>4</v>
      </c>
      <c r="D125" s="12">
        <f t="shared" si="9"/>
        <v>3729691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25"/>
        <v>Jan'18/19</v>
      </c>
      <c r="I125" s="11">
        <f t="shared" si="26"/>
        <v>33.196548999999997</v>
      </c>
    </row>
    <row r="126" spans="2:9" x14ac:dyDescent="0.55000000000000004">
      <c r="B126" s="11">
        <f t="shared" si="27"/>
        <v>5</v>
      </c>
      <c r="C126" s="11">
        <f t="shared" si="28"/>
        <v>5</v>
      </c>
      <c r="D126" s="12">
        <f t="shared" si="9"/>
        <v>2142389.666666667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25"/>
        <v>Feb'18/19</v>
      </c>
      <c r="I126" s="11">
        <f t="shared" si="26"/>
        <v>33.027847666666666</v>
      </c>
    </row>
    <row r="127" spans="2:9" x14ac:dyDescent="0.55000000000000004">
      <c r="B127" s="11">
        <f t="shared" si="27"/>
        <v>5</v>
      </c>
      <c r="C127" s="11">
        <f t="shared" si="28"/>
        <v>6</v>
      </c>
      <c r="D127" s="12">
        <f t="shared" si="9"/>
        <v>3031979.3333333335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25"/>
        <v>Mar'18/19</v>
      </c>
      <c r="I127" s="11">
        <f t="shared" si="26"/>
        <v>32.50459</v>
      </c>
    </row>
    <row r="128" spans="2:9" x14ac:dyDescent="0.55000000000000004">
      <c r="B128" s="11">
        <f t="shared" si="27"/>
        <v>5</v>
      </c>
      <c r="C128" s="11">
        <f t="shared" si="28"/>
        <v>7</v>
      </c>
      <c r="D128" s="12">
        <f t="shared" si="9"/>
        <v>2544625.666666667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25"/>
        <v>Apr'18/19</v>
      </c>
      <c r="I128" s="11">
        <f t="shared" si="26"/>
        <v>32.310305666666665</v>
      </c>
    </row>
    <row r="129" spans="2:9" x14ac:dyDescent="0.55000000000000004">
      <c r="B129" s="11">
        <f t="shared" si="27"/>
        <v>5</v>
      </c>
      <c r="C129" s="11">
        <f t="shared" si="28"/>
        <v>8</v>
      </c>
      <c r="D129" s="12">
        <f t="shared" si="9"/>
        <v>2630219.666666667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25"/>
        <v>May'18/19</v>
      </c>
      <c r="I129" s="11">
        <f t="shared" si="26"/>
        <v>32.323996333333334</v>
      </c>
    </row>
    <row r="130" spans="2:9" x14ac:dyDescent="0.55000000000000004">
      <c r="B130" s="11">
        <f t="shared" si="27"/>
        <v>5</v>
      </c>
      <c r="C130" s="11">
        <f t="shared" si="28"/>
        <v>9</v>
      </c>
      <c r="D130" s="12">
        <f t="shared" si="9"/>
        <v>2595463.3333333335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25"/>
        <v>Jun'18/19</v>
      </c>
      <c r="I130" s="11">
        <f t="shared" si="26"/>
        <v>32.245234333333336</v>
      </c>
    </row>
    <row r="131" spans="2:9" x14ac:dyDescent="0.55000000000000004">
      <c r="B131" s="11">
        <f t="shared" si="27"/>
        <v>5</v>
      </c>
      <c r="C131" s="11">
        <f t="shared" si="28"/>
        <v>10</v>
      </c>
      <c r="D131" s="12">
        <f t="shared" si="9"/>
        <v>2595071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25"/>
        <v>Jul'18/19</v>
      </c>
      <c r="I131" s="11">
        <f t="shared" si="26"/>
        <v>32.538558000000002</v>
      </c>
    </row>
    <row r="132" spans="2:9" x14ac:dyDescent="0.55000000000000004">
      <c r="B132" s="11">
        <f t="shared" si="27"/>
        <v>5</v>
      </c>
      <c r="C132" s="11">
        <f t="shared" si="28"/>
        <v>11</v>
      </c>
      <c r="D132" s="12">
        <f t="shared" si="9"/>
        <v>2364472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25"/>
        <v>Aug'18/19</v>
      </c>
      <c r="I132" s="11">
        <f t="shared" si="26"/>
        <v>32.304825666666666</v>
      </c>
    </row>
    <row r="133" spans="2:9" x14ac:dyDescent="0.55000000000000004">
      <c r="B133" s="11">
        <f t="shared" si="27"/>
        <v>5</v>
      </c>
      <c r="C133" s="11">
        <f t="shared" si="28"/>
        <v>12</v>
      </c>
      <c r="D133" s="12">
        <f t="shared" si="9"/>
        <v>1922331.6666666667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25"/>
        <v>Sep'18/19</v>
      </c>
      <c r="I133" s="11">
        <f t="shared" si="26"/>
        <v>31.932517333333337</v>
      </c>
    </row>
    <row r="134" spans="2:9" x14ac:dyDescent="0.55000000000000004">
      <c r="B134" s="11">
        <f t="shared" si="27"/>
        <v>6</v>
      </c>
      <c r="C134" s="11">
        <f t="shared" si="28"/>
        <v>1</v>
      </c>
      <c r="D134" s="12">
        <f t="shared" si="9"/>
        <v>2086800.6666666667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25"/>
        <v>Oct'19/20</v>
      </c>
      <c r="I134" s="11">
        <f t="shared" si="26"/>
        <v>31.354315333333336</v>
      </c>
    </row>
    <row r="135" spans="2:9" x14ac:dyDescent="0.55000000000000004">
      <c r="B135" s="11">
        <f t="shared" si="27"/>
        <v>6</v>
      </c>
      <c r="C135" s="11">
        <f t="shared" si="28"/>
        <v>2</v>
      </c>
      <c r="D135" s="12">
        <f t="shared" si="9"/>
        <v>2329551.666666667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25"/>
        <v>Nov'19/20</v>
      </c>
      <c r="I135" s="11">
        <f t="shared" si="26"/>
        <v>30.822406666666673</v>
      </c>
    </row>
    <row r="136" spans="2:9" x14ac:dyDescent="0.55000000000000004">
      <c r="B136" s="11">
        <f t="shared" si="27"/>
        <v>6</v>
      </c>
      <c r="C136" s="11">
        <f t="shared" si="28"/>
        <v>3</v>
      </c>
      <c r="D136" s="12">
        <f t="shared" si="9"/>
        <v>3476686.666666667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25"/>
        <v>Dec'19/20</v>
      </c>
      <c r="I136" s="11">
        <f t="shared" si="26"/>
        <v>31.449282333333343</v>
      </c>
    </row>
    <row r="137" spans="2:9" x14ac:dyDescent="0.55000000000000004">
      <c r="B137" s="11">
        <f t="shared" si="27"/>
        <v>6</v>
      </c>
      <c r="C137" s="11">
        <f t="shared" si="28"/>
        <v>4</v>
      </c>
      <c r="D137" s="12">
        <f t="shared" si="9"/>
        <v>2783669.3333333335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25"/>
        <v>Jan'19/20</v>
      </c>
      <c r="I137" s="11">
        <f t="shared" si="26"/>
        <v>30.503260666666673</v>
      </c>
    </row>
    <row r="138" spans="2:9" x14ac:dyDescent="0.55000000000000004">
      <c r="B138" s="11">
        <f t="shared" si="27"/>
        <v>6</v>
      </c>
      <c r="C138" s="11">
        <f t="shared" si="28"/>
        <v>5</v>
      </c>
      <c r="D138" s="12">
        <f t="shared" si="9"/>
        <v>3313021.666666667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25"/>
        <v>Feb'19/20</v>
      </c>
      <c r="I138" s="11">
        <f t="shared" si="26"/>
        <v>31.673892666666671</v>
      </c>
    </row>
    <row r="139" spans="2:9" x14ac:dyDescent="0.55000000000000004">
      <c r="B139" s="11">
        <f t="shared" si="27"/>
        <v>6</v>
      </c>
      <c r="C139" s="11">
        <f t="shared" si="28"/>
        <v>6</v>
      </c>
      <c r="D139" s="12">
        <f t="shared" ref="D139:D202" si="29">INDEX($C$7:$N$19,MATCH(B139,$A$7:$A$19),MATCH(C139,$C$4:$N$4))</f>
        <v>3407506.3333333335</v>
      </c>
      <c r="E139" s="11" t="str">
        <f t="shared" ref="E139:E202" si="30">_xlfn.XLOOKUP(B139,$A$7:$A$19,$B$7:$B$19)</f>
        <v>19/20</v>
      </c>
      <c r="F139" s="11" t="str">
        <f t="shared" ref="F139:F202" si="31">_xlfn.XLOOKUP(C139,$C$4:$N$4,$C$6:$N$6)</f>
        <v>Mar</v>
      </c>
      <c r="G139" s="11" t="str">
        <f t="shared" ref="G139:G202" si="32">_xlfn.CONCAT(F139,"'",E139)</f>
        <v>Mar'19/20</v>
      </c>
      <c r="H139" s="11" t="str">
        <f t="shared" si="25"/>
        <v>Mar'19/20</v>
      </c>
      <c r="I139" s="11">
        <f t="shared" si="26"/>
        <v>32.049419666666665</v>
      </c>
    </row>
    <row r="140" spans="2:9" x14ac:dyDescent="0.55000000000000004">
      <c r="B140" s="11">
        <f t="shared" si="27"/>
        <v>6</v>
      </c>
      <c r="C140" s="11">
        <f t="shared" si="28"/>
        <v>7</v>
      </c>
      <c r="D140" s="12">
        <f t="shared" si="29"/>
        <v>3008128</v>
      </c>
      <c r="E140" s="11" t="str">
        <f t="shared" si="30"/>
        <v>19/20</v>
      </c>
      <c r="F140" s="11" t="str">
        <f t="shared" si="31"/>
        <v>Apr</v>
      </c>
      <c r="G140" s="11" t="str">
        <f t="shared" si="32"/>
        <v>Apr'19/20</v>
      </c>
      <c r="H140" s="11" t="str">
        <f t="shared" si="25"/>
        <v>Apr'19/20</v>
      </c>
      <c r="I140" s="11">
        <f t="shared" si="26"/>
        <v>32.512922000000003</v>
      </c>
    </row>
    <row r="141" spans="2:9" x14ac:dyDescent="0.55000000000000004">
      <c r="B141" s="11">
        <f t="shared" si="27"/>
        <v>6</v>
      </c>
      <c r="C141" s="11">
        <f t="shared" si="28"/>
        <v>8</v>
      </c>
      <c r="D141" s="12">
        <f t="shared" si="29"/>
        <v>2387838.3333333335</v>
      </c>
      <c r="E141" s="11" t="str">
        <f t="shared" si="30"/>
        <v>19/20</v>
      </c>
      <c r="F141" s="11" t="str">
        <f t="shared" si="31"/>
        <v>May</v>
      </c>
      <c r="G141" s="11" t="str">
        <f t="shared" si="32"/>
        <v>May'19/20</v>
      </c>
      <c r="H141" s="11" t="str">
        <f t="shared" si="25"/>
        <v>May'19/20</v>
      </c>
      <c r="I141" s="11">
        <f t="shared" si="26"/>
        <v>32.270540666666662</v>
      </c>
    </row>
    <row r="142" spans="2:9" x14ac:dyDescent="0.55000000000000004">
      <c r="B142" s="11">
        <f t="shared" si="27"/>
        <v>6</v>
      </c>
      <c r="C142" s="11">
        <f t="shared" si="28"/>
        <v>9</v>
      </c>
      <c r="D142" s="12">
        <f t="shared" si="29"/>
        <v>2381450</v>
      </c>
      <c r="E142" s="11" t="str">
        <f t="shared" si="30"/>
        <v>19/20</v>
      </c>
      <c r="F142" s="11" t="str">
        <f t="shared" si="31"/>
        <v>Jun</v>
      </c>
      <c r="G142" s="11" t="str">
        <f t="shared" si="32"/>
        <v>Jun'19/20</v>
      </c>
      <c r="H142" s="11" t="str">
        <f t="shared" si="25"/>
        <v>Jun'19/20</v>
      </c>
      <c r="I142" s="11">
        <f t="shared" si="26"/>
        <v>32.056527333333335</v>
      </c>
    </row>
    <row r="143" spans="2:9" x14ac:dyDescent="0.55000000000000004">
      <c r="B143" s="11">
        <f t="shared" si="27"/>
        <v>6</v>
      </c>
      <c r="C143" s="11">
        <f t="shared" si="28"/>
        <v>10</v>
      </c>
      <c r="D143" s="12">
        <f t="shared" si="29"/>
        <v>2150445</v>
      </c>
      <c r="E143" s="11" t="str">
        <f t="shared" si="30"/>
        <v>19/20</v>
      </c>
      <c r="F143" s="11" t="str">
        <f t="shared" si="31"/>
        <v>Jul</v>
      </c>
      <c r="G143" s="11" t="str">
        <f t="shared" si="32"/>
        <v>Jul'19/20</v>
      </c>
      <c r="H143" s="11" t="str">
        <f t="shared" si="25"/>
        <v>Jul'19/20</v>
      </c>
      <c r="I143" s="11">
        <f t="shared" si="26"/>
        <v>31.611901333333332</v>
      </c>
    </row>
    <row r="144" spans="2:9" x14ac:dyDescent="0.55000000000000004">
      <c r="B144" s="11">
        <f t="shared" si="27"/>
        <v>6</v>
      </c>
      <c r="C144" s="11">
        <f t="shared" si="28"/>
        <v>11</v>
      </c>
      <c r="D144" s="12">
        <f t="shared" si="29"/>
        <v>2155771</v>
      </c>
      <c r="E144" s="11" t="str">
        <f t="shared" si="30"/>
        <v>19/20</v>
      </c>
      <c r="F144" s="11" t="str">
        <f t="shared" si="31"/>
        <v>Aug</v>
      </c>
      <c r="G144" s="11" t="str">
        <f t="shared" si="32"/>
        <v>Aug'19/20</v>
      </c>
      <c r="H144" s="11" t="str">
        <f t="shared" si="25"/>
        <v>Aug'19/20</v>
      </c>
      <c r="I144" s="11">
        <f t="shared" si="26"/>
        <v>31.403200333333331</v>
      </c>
    </row>
    <row r="145" spans="2:9" x14ac:dyDescent="0.55000000000000004">
      <c r="B145" s="11">
        <f t="shared" si="27"/>
        <v>6</v>
      </c>
      <c r="C145" s="11">
        <f t="shared" si="28"/>
        <v>12</v>
      </c>
      <c r="D145" s="12">
        <f t="shared" si="29"/>
        <v>2301001.666666667</v>
      </c>
      <c r="E145" s="11" t="str">
        <f t="shared" si="30"/>
        <v>19/20</v>
      </c>
      <c r="F145" s="11" t="str">
        <f t="shared" si="31"/>
        <v>Sep</v>
      </c>
      <c r="G145" s="11" t="str">
        <f t="shared" si="32"/>
        <v>Sep'19/20</v>
      </c>
      <c r="H145" s="11" t="str">
        <f t="shared" si="25"/>
        <v>Sep'19/20</v>
      </c>
      <c r="I145" s="11">
        <f t="shared" si="26"/>
        <v>31.78187033333333</v>
      </c>
    </row>
    <row r="146" spans="2:9" x14ac:dyDescent="0.55000000000000004">
      <c r="B146" s="11">
        <f t="shared" si="27"/>
        <v>7</v>
      </c>
      <c r="C146" s="11">
        <f t="shared" si="28"/>
        <v>1</v>
      </c>
      <c r="D146" s="12">
        <f t="shared" si="29"/>
        <v>1981758</v>
      </c>
      <c r="E146" s="11" t="str">
        <f t="shared" si="30"/>
        <v>20/21</v>
      </c>
      <c r="F146" s="11" t="str">
        <f t="shared" si="31"/>
        <v>Oct</v>
      </c>
      <c r="G146" s="11" t="str">
        <f t="shared" si="32"/>
        <v>Oct'20/21</v>
      </c>
      <c r="H146" s="11" t="str">
        <f t="shared" si="25"/>
        <v>Oct'20/21</v>
      </c>
      <c r="I146" s="11">
        <f t="shared" si="26"/>
        <v>31.676827666666671</v>
      </c>
    </row>
    <row r="147" spans="2:9" x14ac:dyDescent="0.55000000000000004">
      <c r="B147" s="11">
        <f t="shared" si="27"/>
        <v>7</v>
      </c>
      <c r="C147" s="11">
        <f t="shared" si="28"/>
        <v>2</v>
      </c>
      <c r="D147" s="12">
        <f t="shared" si="29"/>
        <v>1870460.3333333335</v>
      </c>
      <c r="E147" s="11" t="str">
        <f t="shared" si="30"/>
        <v>20/21</v>
      </c>
      <c r="F147" s="11" t="str">
        <f t="shared" si="31"/>
        <v>Nov</v>
      </c>
      <c r="G147" s="11" t="str">
        <f t="shared" si="32"/>
        <v>Nov'20/21</v>
      </c>
      <c r="H147" s="11" t="str">
        <f t="shared" si="25"/>
        <v>Nov'20/21</v>
      </c>
      <c r="I147" s="11">
        <f t="shared" si="26"/>
        <v>31.217736333333335</v>
      </c>
    </row>
    <row r="148" spans="2:9" x14ac:dyDescent="0.55000000000000004">
      <c r="B148" s="11">
        <f t="shared" si="27"/>
        <v>7</v>
      </c>
      <c r="C148" s="11">
        <f t="shared" si="28"/>
        <v>3</v>
      </c>
      <c r="D148" s="12">
        <f t="shared" si="29"/>
        <v>2993758.3333333335</v>
      </c>
      <c r="E148" s="11" t="str">
        <f t="shared" si="30"/>
        <v>20/21</v>
      </c>
      <c r="F148" s="11" t="str">
        <f t="shared" si="31"/>
        <v>Dec</v>
      </c>
      <c r="G148" s="11" t="str">
        <f t="shared" si="32"/>
        <v>Dec'20/21</v>
      </c>
      <c r="H148" s="11" t="str">
        <f t="shared" si="25"/>
        <v>Dec'20/21</v>
      </c>
      <c r="I148" s="11">
        <f t="shared" si="26"/>
        <v>30.734808000000001</v>
      </c>
    </row>
    <row r="149" spans="2:9" x14ac:dyDescent="0.55000000000000004">
      <c r="B149" s="11">
        <f t="shared" si="27"/>
        <v>7</v>
      </c>
      <c r="C149" s="11">
        <f t="shared" si="28"/>
        <v>4</v>
      </c>
      <c r="D149" s="12">
        <f t="shared" si="29"/>
        <v>3147009.666666667</v>
      </c>
      <c r="E149" s="11" t="str">
        <f t="shared" si="30"/>
        <v>20/21</v>
      </c>
      <c r="F149" s="11" t="str">
        <f t="shared" si="31"/>
        <v>Jan</v>
      </c>
      <c r="G149" s="11" t="str">
        <f t="shared" si="32"/>
        <v>Jan'20/21</v>
      </c>
      <c r="H149" s="11" t="str">
        <f t="shared" si="25"/>
        <v>Jan'20/21</v>
      </c>
      <c r="I149" s="11">
        <f t="shared" si="26"/>
        <v>31.098148333333334</v>
      </c>
    </row>
    <row r="150" spans="2:9" x14ac:dyDescent="0.55000000000000004">
      <c r="B150" s="11">
        <f t="shared" si="27"/>
        <v>7</v>
      </c>
      <c r="C150" s="11">
        <f t="shared" si="28"/>
        <v>5</v>
      </c>
      <c r="D150" s="12">
        <f t="shared" si="29"/>
        <v>2385382</v>
      </c>
      <c r="E150" s="11" t="str">
        <f t="shared" si="30"/>
        <v>20/21</v>
      </c>
      <c r="F150" s="11" t="str">
        <f t="shared" si="31"/>
        <v>Feb</v>
      </c>
      <c r="G150" s="11" t="str">
        <f t="shared" si="32"/>
        <v>Feb'20/21</v>
      </c>
      <c r="H150" s="11" t="str">
        <f t="shared" ref="H150:H213" si="33">G150</f>
        <v>Feb'20/21</v>
      </c>
      <c r="I150" s="11">
        <f t="shared" ref="I150:I213" si="34">SUM(D139:D150)/1000000</f>
        <v>30.170508666666667</v>
      </c>
    </row>
    <row r="151" spans="2:9" x14ac:dyDescent="0.55000000000000004">
      <c r="B151" s="11">
        <f t="shared" ref="B151:B214" si="35">B139+1</f>
        <v>7</v>
      </c>
      <c r="C151" s="11">
        <f t="shared" ref="C151:C214" si="36">C139</f>
        <v>6</v>
      </c>
      <c r="D151" s="12">
        <f t="shared" si="29"/>
        <v>3211198.3333333335</v>
      </c>
      <c r="E151" s="11" t="str">
        <f t="shared" si="30"/>
        <v>20/21</v>
      </c>
      <c r="F151" s="11" t="str">
        <f t="shared" si="31"/>
        <v>Mar</v>
      </c>
      <c r="G151" s="11" t="str">
        <f t="shared" si="32"/>
        <v>Mar'20/21</v>
      </c>
      <c r="H151" s="11" t="str">
        <f t="shared" si="33"/>
        <v>Mar'20/21</v>
      </c>
      <c r="I151" s="11">
        <f t="shared" si="34"/>
        <v>29.974200666666665</v>
      </c>
    </row>
    <row r="152" spans="2:9" x14ac:dyDescent="0.55000000000000004">
      <c r="B152" s="11">
        <f t="shared" si="35"/>
        <v>7</v>
      </c>
      <c r="C152" s="11">
        <f t="shared" si="36"/>
        <v>7</v>
      </c>
      <c r="D152" s="12">
        <f t="shared" si="29"/>
        <v>2442833.666666667</v>
      </c>
      <c r="E152" s="11" t="str">
        <f t="shared" si="30"/>
        <v>20/21</v>
      </c>
      <c r="F152" s="11" t="str">
        <f t="shared" si="31"/>
        <v>Apr</v>
      </c>
      <c r="G152" s="11" t="str">
        <f t="shared" si="32"/>
        <v>Apr'20/21</v>
      </c>
      <c r="H152" s="11" t="str">
        <f t="shared" si="33"/>
        <v>Apr'20/21</v>
      </c>
      <c r="I152" s="11">
        <f t="shared" si="34"/>
        <v>29.408906333333334</v>
      </c>
    </row>
    <row r="153" spans="2:9" x14ac:dyDescent="0.55000000000000004">
      <c r="B153" s="11">
        <f t="shared" si="35"/>
        <v>7</v>
      </c>
      <c r="C153" s="11">
        <f t="shared" si="36"/>
        <v>8</v>
      </c>
      <c r="D153" s="12">
        <f t="shared" si="29"/>
        <v>2484472.3333333335</v>
      </c>
      <c r="E153" s="11" t="str">
        <f t="shared" si="30"/>
        <v>20/21</v>
      </c>
      <c r="F153" s="11" t="str">
        <f t="shared" si="31"/>
        <v>May</v>
      </c>
      <c r="G153" s="11" t="str">
        <f t="shared" si="32"/>
        <v>May'20/21</v>
      </c>
      <c r="H153" s="11" t="str">
        <f t="shared" si="33"/>
        <v>May'20/21</v>
      </c>
      <c r="I153" s="11">
        <f t="shared" si="34"/>
        <v>29.505540333333336</v>
      </c>
    </row>
    <row r="154" spans="2:9" x14ac:dyDescent="0.55000000000000004">
      <c r="B154" s="11">
        <f t="shared" si="35"/>
        <v>7</v>
      </c>
      <c r="C154" s="11">
        <f t="shared" si="36"/>
        <v>9</v>
      </c>
      <c r="D154" s="12">
        <f t="shared" si="29"/>
        <v>2481584.666666667</v>
      </c>
      <c r="E154" s="11" t="str">
        <f t="shared" si="30"/>
        <v>20/21</v>
      </c>
      <c r="F154" s="11" t="str">
        <f t="shared" si="31"/>
        <v>Jun</v>
      </c>
      <c r="G154" s="11" t="str">
        <f t="shared" si="32"/>
        <v>Jun'20/21</v>
      </c>
      <c r="H154" s="11" t="str">
        <f t="shared" si="33"/>
        <v>Jun'20/21</v>
      </c>
      <c r="I154" s="11">
        <f t="shared" si="34"/>
        <v>29.605675000000005</v>
      </c>
    </row>
    <row r="155" spans="2:9" x14ac:dyDescent="0.55000000000000004">
      <c r="B155" s="11">
        <f t="shared" si="35"/>
        <v>7</v>
      </c>
      <c r="C155" s="11">
        <f t="shared" si="36"/>
        <v>10</v>
      </c>
      <c r="D155" s="12">
        <f t="shared" si="29"/>
        <v>2371730</v>
      </c>
      <c r="E155" s="11" t="str">
        <f t="shared" si="30"/>
        <v>20/21</v>
      </c>
      <c r="F155" s="11" t="str">
        <f t="shared" si="31"/>
        <v>Jul</v>
      </c>
      <c r="G155" s="11" t="str">
        <f t="shared" si="32"/>
        <v>Jul'20/21</v>
      </c>
      <c r="H155" s="11" t="str">
        <f t="shared" si="33"/>
        <v>Jul'20/21</v>
      </c>
      <c r="I155" s="11">
        <f t="shared" si="34"/>
        <v>29.82696</v>
      </c>
    </row>
    <row r="156" spans="2:9" x14ac:dyDescent="0.55000000000000004">
      <c r="B156" s="11">
        <f t="shared" si="35"/>
        <v>7</v>
      </c>
      <c r="C156" s="11">
        <f t="shared" si="36"/>
        <v>11</v>
      </c>
      <c r="D156" s="12">
        <f t="shared" si="29"/>
        <v>2165339.666666667</v>
      </c>
      <c r="E156" s="11" t="str">
        <f t="shared" si="30"/>
        <v>20/21</v>
      </c>
      <c r="F156" s="11" t="str">
        <f t="shared" si="31"/>
        <v>Aug</v>
      </c>
      <c r="G156" s="11" t="str">
        <f t="shared" si="32"/>
        <v>Aug'20/21</v>
      </c>
      <c r="H156" s="11" t="str">
        <f t="shared" si="33"/>
        <v>Aug'20/21</v>
      </c>
      <c r="I156" s="11">
        <f t="shared" si="34"/>
        <v>29.836528666666666</v>
      </c>
    </row>
    <row r="157" spans="2:9" x14ac:dyDescent="0.55000000000000004">
      <c r="B157" s="11">
        <f t="shared" si="35"/>
        <v>7</v>
      </c>
      <c r="C157" s="11">
        <f t="shared" si="36"/>
        <v>12</v>
      </c>
      <c r="D157" s="12">
        <f t="shared" si="29"/>
        <v>2070337.3333333335</v>
      </c>
      <c r="E157" s="11" t="str">
        <f t="shared" si="30"/>
        <v>20/21</v>
      </c>
      <c r="F157" s="11" t="str">
        <f t="shared" si="31"/>
        <v>Sep</v>
      </c>
      <c r="G157" s="11" t="str">
        <f t="shared" si="32"/>
        <v>Sep'20/21</v>
      </c>
      <c r="H157" s="11" t="str">
        <f t="shared" si="33"/>
        <v>Sep'20/21</v>
      </c>
      <c r="I157" s="11">
        <f t="shared" si="34"/>
        <v>29.605864333333336</v>
      </c>
    </row>
    <row r="158" spans="2:9" x14ac:dyDescent="0.55000000000000004">
      <c r="B158" s="11">
        <f t="shared" si="35"/>
        <v>8</v>
      </c>
      <c r="C158" s="11">
        <f t="shared" si="36"/>
        <v>1</v>
      </c>
      <c r="D158" s="12">
        <f t="shared" si="29"/>
        <v>2064916</v>
      </c>
      <c r="E158" s="11" t="str">
        <f t="shared" si="30"/>
        <v>21/22</v>
      </c>
      <c r="F158" s="11" t="str">
        <f t="shared" si="31"/>
        <v>Oct</v>
      </c>
      <c r="G158" s="11" t="str">
        <f t="shared" si="32"/>
        <v>Oct'21/22</v>
      </c>
      <c r="H158" s="11" t="str">
        <f t="shared" si="33"/>
        <v>Oct'21/22</v>
      </c>
      <c r="I158" s="11">
        <f t="shared" si="34"/>
        <v>29.689022333333337</v>
      </c>
    </row>
    <row r="159" spans="2:9" x14ac:dyDescent="0.55000000000000004">
      <c r="B159" s="11">
        <f t="shared" si="35"/>
        <v>8</v>
      </c>
      <c r="C159" s="11">
        <f t="shared" si="36"/>
        <v>2</v>
      </c>
      <c r="D159" s="12">
        <f t="shared" si="29"/>
        <v>2136927.666666667</v>
      </c>
      <c r="E159" s="11" t="str">
        <f t="shared" si="30"/>
        <v>21/22</v>
      </c>
      <c r="F159" s="11" t="str">
        <f t="shared" si="31"/>
        <v>Nov</v>
      </c>
      <c r="G159" s="11" t="str">
        <f t="shared" si="32"/>
        <v>Nov'21/22</v>
      </c>
      <c r="H159" s="11" t="str">
        <f t="shared" si="33"/>
        <v>Nov'21/22</v>
      </c>
      <c r="I159" s="11">
        <f t="shared" si="34"/>
        <v>29.955489666666669</v>
      </c>
    </row>
    <row r="160" spans="2:9" x14ac:dyDescent="0.55000000000000004">
      <c r="B160" s="11">
        <f t="shared" si="35"/>
        <v>8</v>
      </c>
      <c r="C160" s="11">
        <f t="shared" si="36"/>
        <v>3</v>
      </c>
      <c r="D160" s="12">
        <f t="shared" si="29"/>
        <v>3212585.3333333335</v>
      </c>
      <c r="E160" s="11" t="str">
        <f t="shared" si="30"/>
        <v>21/22</v>
      </c>
      <c r="F160" s="11" t="str">
        <f t="shared" si="31"/>
        <v>Dec</v>
      </c>
      <c r="G160" s="11" t="str">
        <f t="shared" si="32"/>
        <v>Dec'21/22</v>
      </c>
      <c r="H160" s="11" t="str">
        <f t="shared" si="33"/>
        <v>Dec'21/22</v>
      </c>
      <c r="I160" s="11">
        <f t="shared" si="34"/>
        <v>30.17431666666667</v>
      </c>
    </row>
    <row r="161" spans="2:9" x14ac:dyDescent="0.55000000000000004">
      <c r="B161" s="11">
        <f t="shared" si="35"/>
        <v>8</v>
      </c>
      <c r="C161" s="11">
        <f t="shared" si="36"/>
        <v>4</v>
      </c>
      <c r="D161" s="12">
        <f t="shared" si="29"/>
        <v>4159390.3333333335</v>
      </c>
      <c r="E161" s="11" t="str">
        <f t="shared" si="30"/>
        <v>21/22</v>
      </c>
      <c r="F161" s="11" t="str">
        <f t="shared" si="31"/>
        <v>Jan</v>
      </c>
      <c r="G161" s="11" t="str">
        <f t="shared" si="32"/>
        <v>Jan'21/22</v>
      </c>
      <c r="H161" s="11" t="str">
        <f t="shared" si="33"/>
        <v>Jan'21/22</v>
      </c>
      <c r="I161" s="11">
        <f t="shared" si="34"/>
        <v>31.186697333333331</v>
      </c>
    </row>
    <row r="162" spans="2:9" x14ac:dyDescent="0.55000000000000004">
      <c r="B162" s="11">
        <f t="shared" si="35"/>
        <v>8</v>
      </c>
      <c r="C162" s="11">
        <f t="shared" si="36"/>
        <v>5</v>
      </c>
      <c r="D162" s="12">
        <f t="shared" si="29"/>
        <v>2551553</v>
      </c>
      <c r="E162" s="11" t="str">
        <f t="shared" si="30"/>
        <v>21/22</v>
      </c>
      <c r="F162" s="11" t="str">
        <f t="shared" si="31"/>
        <v>Feb</v>
      </c>
      <c r="G162" s="11" t="str">
        <f t="shared" si="32"/>
        <v>Feb'21/22</v>
      </c>
      <c r="H162" s="11" t="str">
        <f t="shared" si="33"/>
        <v>Feb'21/22</v>
      </c>
      <c r="I162" s="11">
        <f t="shared" si="34"/>
        <v>31.352868333333333</v>
      </c>
    </row>
    <row r="163" spans="2:9" x14ac:dyDescent="0.55000000000000004">
      <c r="B163" s="11">
        <f t="shared" si="35"/>
        <v>8</v>
      </c>
      <c r="C163" s="11">
        <f t="shared" si="36"/>
        <v>6</v>
      </c>
      <c r="D163" s="12">
        <f t="shared" si="29"/>
        <v>3641056</v>
      </c>
      <c r="E163" s="11" t="str">
        <f t="shared" si="30"/>
        <v>21/22</v>
      </c>
      <c r="F163" s="11" t="str">
        <f t="shared" si="31"/>
        <v>Mar</v>
      </c>
      <c r="G163" s="11" t="str">
        <f t="shared" si="32"/>
        <v>Mar'21/22</v>
      </c>
      <c r="H163" s="11" t="str">
        <f t="shared" si="33"/>
        <v>Mar'21/22</v>
      </c>
      <c r="I163" s="11">
        <f t="shared" si="34"/>
        <v>31.782726</v>
      </c>
    </row>
    <row r="164" spans="2:9" x14ac:dyDescent="0.55000000000000004">
      <c r="B164" s="11">
        <f t="shared" si="35"/>
        <v>8</v>
      </c>
      <c r="C164" s="11">
        <f t="shared" si="36"/>
        <v>7</v>
      </c>
      <c r="D164" s="12">
        <f t="shared" si="29"/>
        <v>2720430.3333333335</v>
      </c>
      <c r="E164" s="11" t="str">
        <f t="shared" si="30"/>
        <v>21/22</v>
      </c>
      <c r="F164" s="11" t="str">
        <f t="shared" si="31"/>
        <v>Apr</v>
      </c>
      <c r="G164" s="11" t="str">
        <f t="shared" si="32"/>
        <v>Apr'21/22</v>
      </c>
      <c r="H164" s="11" t="str">
        <f t="shared" si="33"/>
        <v>Apr'21/22</v>
      </c>
      <c r="I164" s="11">
        <f t="shared" si="34"/>
        <v>32.060322666666664</v>
      </c>
    </row>
    <row r="165" spans="2:9" x14ac:dyDescent="0.55000000000000004">
      <c r="B165" s="11">
        <f t="shared" si="35"/>
        <v>8</v>
      </c>
      <c r="C165" s="11">
        <f t="shared" si="36"/>
        <v>8</v>
      </c>
      <c r="D165" s="12">
        <f t="shared" si="29"/>
        <v>2517622.666666667</v>
      </c>
      <c r="E165" s="11" t="str">
        <f t="shared" si="30"/>
        <v>21/22</v>
      </c>
      <c r="F165" s="11" t="str">
        <f t="shared" si="31"/>
        <v>May</v>
      </c>
      <c r="G165" s="11" t="str">
        <f t="shared" si="32"/>
        <v>May'21/22</v>
      </c>
      <c r="H165" s="11" t="str">
        <f t="shared" si="33"/>
        <v>May'21/22</v>
      </c>
      <c r="I165" s="11">
        <f t="shared" si="34"/>
        <v>32.093473000000003</v>
      </c>
    </row>
    <row r="166" spans="2:9" x14ac:dyDescent="0.55000000000000004">
      <c r="B166" s="11">
        <f t="shared" si="35"/>
        <v>8</v>
      </c>
      <c r="C166" s="11">
        <f t="shared" si="36"/>
        <v>9</v>
      </c>
      <c r="D166" s="12">
        <f t="shared" si="29"/>
        <v>2424794.3333333335</v>
      </c>
      <c r="E166" s="11" t="str">
        <f t="shared" si="30"/>
        <v>21/22</v>
      </c>
      <c r="F166" s="11" t="str">
        <f t="shared" si="31"/>
        <v>Jun</v>
      </c>
      <c r="G166" s="11" t="str">
        <f t="shared" si="32"/>
        <v>Jun'21/22</v>
      </c>
      <c r="H166" s="11" t="str">
        <f t="shared" si="33"/>
        <v>Jun'21/22</v>
      </c>
      <c r="I166" s="11">
        <f t="shared" si="34"/>
        <v>32.036682666666671</v>
      </c>
    </row>
    <row r="167" spans="2:9" x14ac:dyDescent="0.55000000000000004">
      <c r="B167" s="11">
        <f t="shared" si="35"/>
        <v>8</v>
      </c>
      <c r="C167" s="11">
        <f t="shared" si="36"/>
        <v>10</v>
      </c>
      <c r="D167" s="12">
        <f t="shared" si="29"/>
        <v>2040359.3333333335</v>
      </c>
      <c r="E167" s="11" t="str">
        <f t="shared" si="30"/>
        <v>21/22</v>
      </c>
      <c r="F167" s="11" t="str">
        <f t="shared" si="31"/>
        <v>Jul</v>
      </c>
      <c r="G167" s="11" t="str">
        <f t="shared" si="32"/>
        <v>Jul'21/22</v>
      </c>
      <c r="H167" s="11" t="str">
        <f t="shared" si="33"/>
        <v>Jul'21/22</v>
      </c>
      <c r="I167" s="11">
        <f t="shared" si="34"/>
        <v>31.705311999999999</v>
      </c>
    </row>
    <row r="168" spans="2:9" x14ac:dyDescent="0.55000000000000004">
      <c r="B168" s="11">
        <f t="shared" si="35"/>
        <v>8</v>
      </c>
      <c r="C168" s="11">
        <f t="shared" si="36"/>
        <v>11</v>
      </c>
      <c r="D168" s="12">
        <f t="shared" si="29"/>
        <v>2007002.6666666667</v>
      </c>
      <c r="E168" s="11" t="str">
        <f t="shared" si="30"/>
        <v>21/22</v>
      </c>
      <c r="F168" s="11" t="str">
        <f t="shared" si="31"/>
        <v>Aug</v>
      </c>
      <c r="G168" s="11" t="str">
        <f t="shared" si="32"/>
        <v>Aug'21/22</v>
      </c>
      <c r="H168" s="11" t="str">
        <f t="shared" si="33"/>
        <v>Aug'21/22</v>
      </c>
      <c r="I168" s="11">
        <f t="shared" si="34"/>
        <v>31.546975</v>
      </c>
    </row>
    <row r="169" spans="2:9" x14ac:dyDescent="0.55000000000000004">
      <c r="B169" s="11">
        <f t="shared" si="35"/>
        <v>8</v>
      </c>
      <c r="C169" s="11">
        <f t="shared" si="36"/>
        <v>12</v>
      </c>
      <c r="D169" s="12">
        <f t="shared" si="29"/>
        <v>1685921</v>
      </c>
      <c r="E169" s="11" t="str">
        <f t="shared" si="30"/>
        <v>21/22</v>
      </c>
      <c r="F169" s="11" t="str">
        <f t="shared" si="31"/>
        <v>Sep</v>
      </c>
      <c r="G169" s="11" t="str">
        <f t="shared" si="32"/>
        <v>Sep'21/22</v>
      </c>
      <c r="H169" s="11" t="str">
        <f t="shared" si="33"/>
        <v>Sep'21/22</v>
      </c>
      <c r="I169" s="11">
        <f t="shared" si="34"/>
        <v>31.162558666666669</v>
      </c>
    </row>
    <row r="170" spans="2:9" x14ac:dyDescent="0.55000000000000004">
      <c r="B170" s="11">
        <f t="shared" si="35"/>
        <v>9</v>
      </c>
      <c r="C170" s="11">
        <f t="shared" si="36"/>
        <v>1</v>
      </c>
      <c r="D170" s="12">
        <f t="shared" si="29"/>
        <v>1443917</v>
      </c>
      <c r="E170" s="11" t="str">
        <f t="shared" si="30"/>
        <v>22/23</v>
      </c>
      <c r="F170" s="11" t="str">
        <f t="shared" si="31"/>
        <v>Oct</v>
      </c>
      <c r="G170" s="11" t="str">
        <f t="shared" si="32"/>
        <v>Oct'22/23</v>
      </c>
      <c r="H170" s="11" t="str">
        <f t="shared" si="33"/>
        <v>Oct'22/23</v>
      </c>
      <c r="I170" s="11">
        <f t="shared" si="34"/>
        <v>30.541559666666668</v>
      </c>
    </row>
    <row r="171" spans="2:9" x14ac:dyDescent="0.55000000000000004">
      <c r="B171" s="11">
        <f t="shared" si="35"/>
        <v>9</v>
      </c>
      <c r="C171" s="11">
        <f t="shared" si="36"/>
        <v>2</v>
      </c>
      <c r="D171" s="12">
        <f t="shared" si="29"/>
        <v>2250071</v>
      </c>
      <c r="E171" s="11" t="str">
        <f t="shared" si="30"/>
        <v>22/23</v>
      </c>
      <c r="F171" s="11" t="str">
        <f t="shared" si="31"/>
        <v>Nov</v>
      </c>
      <c r="G171" s="11" t="str">
        <f t="shared" si="32"/>
        <v>Nov'22/23</v>
      </c>
      <c r="H171" s="11" t="str">
        <f t="shared" si="33"/>
        <v>Nov'22/23</v>
      </c>
      <c r="I171" s="11">
        <f t="shared" si="34"/>
        <v>30.654703000000001</v>
      </c>
    </row>
    <row r="172" spans="2:9" x14ac:dyDescent="0.55000000000000004">
      <c r="B172" s="11">
        <f t="shared" si="35"/>
        <v>9</v>
      </c>
      <c r="C172" s="11">
        <f t="shared" si="36"/>
        <v>3</v>
      </c>
      <c r="D172" s="12">
        <f t="shared" si="29"/>
        <v>3346607.7</v>
      </c>
      <c r="E172" s="11" t="str">
        <f t="shared" si="30"/>
        <v>22/23</v>
      </c>
      <c r="F172" s="11" t="str">
        <f t="shared" si="31"/>
        <v>Dec</v>
      </c>
      <c r="G172" s="11" t="str">
        <f t="shared" si="32"/>
        <v>Dec'22/23</v>
      </c>
      <c r="H172" s="11" t="str">
        <f t="shared" si="33"/>
        <v>Dec'22/23</v>
      </c>
      <c r="I172" s="11">
        <f t="shared" si="34"/>
        <v>30.788725366666668</v>
      </c>
    </row>
    <row r="173" spans="2:9" x14ac:dyDescent="0.55000000000000004">
      <c r="B173" s="11">
        <f t="shared" si="35"/>
        <v>9</v>
      </c>
      <c r="C173" s="11">
        <f t="shared" si="36"/>
        <v>4</v>
      </c>
      <c r="D173" s="12">
        <f t="shared" si="29"/>
        <v>2874028.3341989308</v>
      </c>
      <c r="E173" s="11" t="str">
        <f t="shared" si="30"/>
        <v>22/23</v>
      </c>
      <c r="F173" s="11" t="str">
        <f t="shared" si="31"/>
        <v>Jan</v>
      </c>
      <c r="G173" s="11" t="str">
        <f t="shared" si="32"/>
        <v>Jan'22/23</v>
      </c>
      <c r="H173" s="11" t="str">
        <f t="shared" si="33"/>
        <v>Jan'22/23</v>
      </c>
      <c r="I173" s="11">
        <f t="shared" si="34"/>
        <v>29.503363367532266</v>
      </c>
    </row>
    <row r="174" spans="2:9" x14ac:dyDescent="0.55000000000000004">
      <c r="B174" s="11">
        <f t="shared" si="35"/>
        <v>9</v>
      </c>
      <c r="C174" s="11">
        <f t="shared" si="36"/>
        <v>5</v>
      </c>
      <c r="D174" s="12">
        <f t="shared" si="29"/>
        <v>2976994.8064211528</v>
      </c>
      <c r="E174" s="11" t="str">
        <f t="shared" si="30"/>
        <v>22/23</v>
      </c>
      <c r="F174" s="11" t="str">
        <f t="shared" si="31"/>
        <v>Feb</v>
      </c>
      <c r="G174" s="11" t="str">
        <f t="shared" si="32"/>
        <v>Feb'22/23</v>
      </c>
      <c r="H174" s="11" t="str">
        <f t="shared" si="33"/>
        <v>Feb'22/23</v>
      </c>
      <c r="I174" s="11">
        <f t="shared" si="34"/>
        <v>29.928805173953418</v>
      </c>
    </row>
    <row r="175" spans="2:9" x14ac:dyDescent="0.55000000000000004">
      <c r="B175" s="11">
        <f t="shared" si="35"/>
        <v>9</v>
      </c>
      <c r="C175" s="11">
        <f t="shared" si="36"/>
        <v>6</v>
      </c>
      <c r="D175" s="12">
        <f t="shared" si="29"/>
        <v>3670808.6944444445</v>
      </c>
      <c r="E175" s="11" t="str">
        <f t="shared" si="30"/>
        <v>22/23</v>
      </c>
      <c r="F175" s="11" t="str">
        <f t="shared" si="31"/>
        <v>Mar</v>
      </c>
      <c r="G175" s="11" t="str">
        <f t="shared" si="32"/>
        <v>Mar'22/23</v>
      </c>
      <c r="H175" s="11" t="str">
        <f t="shared" si="33"/>
        <v>Mar'22/23</v>
      </c>
      <c r="I175" s="11">
        <f t="shared" si="34"/>
        <v>29.958557868397861</v>
      </c>
    </row>
    <row r="176" spans="2:9" x14ac:dyDescent="0.55000000000000004">
      <c r="B176" s="11">
        <f t="shared" si="35"/>
        <v>9</v>
      </c>
      <c r="C176" s="11">
        <f t="shared" si="36"/>
        <v>7</v>
      </c>
      <c r="D176" s="12">
        <f t="shared" si="29"/>
        <v>2914531.027777778</v>
      </c>
      <c r="E176" s="11" t="str">
        <f t="shared" si="30"/>
        <v>22/23</v>
      </c>
      <c r="F176" s="11" t="str">
        <f t="shared" si="31"/>
        <v>Apr</v>
      </c>
      <c r="G176" s="11" t="str">
        <f t="shared" si="32"/>
        <v>Apr'22/23</v>
      </c>
      <c r="H176" s="11" t="str">
        <f t="shared" si="33"/>
        <v>Apr'22/23</v>
      </c>
      <c r="I176" s="11">
        <f t="shared" si="34"/>
        <v>30.152658562842301</v>
      </c>
    </row>
    <row r="177" spans="2:9" x14ac:dyDescent="0.55000000000000004">
      <c r="B177" s="11">
        <f t="shared" si="35"/>
        <v>9</v>
      </c>
      <c r="C177" s="11">
        <f t="shared" si="36"/>
        <v>8</v>
      </c>
      <c r="D177" s="12">
        <f t="shared" si="29"/>
        <v>2665469.3320561945</v>
      </c>
      <c r="E177" s="11" t="str">
        <f t="shared" si="30"/>
        <v>22/23</v>
      </c>
      <c r="F177" s="11" t="str">
        <f t="shared" si="31"/>
        <v>May</v>
      </c>
      <c r="G177" s="11" t="str">
        <f t="shared" si="32"/>
        <v>May'22/23</v>
      </c>
      <c r="H177" s="11" t="str">
        <f t="shared" si="33"/>
        <v>May'22/23</v>
      </c>
      <c r="I177" s="11">
        <f t="shared" si="34"/>
        <v>30.300505228231831</v>
      </c>
    </row>
    <row r="178" spans="2:9" x14ac:dyDescent="0.55000000000000004">
      <c r="B178" s="11">
        <f t="shared" si="35"/>
        <v>9</v>
      </c>
      <c r="C178" s="11">
        <f t="shared" si="36"/>
        <v>9</v>
      </c>
      <c r="D178" s="12">
        <f t="shared" si="29"/>
        <v>2637644.6944444445</v>
      </c>
      <c r="E178" s="11" t="str">
        <f t="shared" si="30"/>
        <v>22/23</v>
      </c>
      <c r="F178" s="11" t="str">
        <f t="shared" si="31"/>
        <v>Jun</v>
      </c>
      <c r="G178" s="11" t="str">
        <f t="shared" si="32"/>
        <v>Jun'22/23</v>
      </c>
      <c r="H178" s="11" t="str">
        <f t="shared" si="33"/>
        <v>Jun'22/23</v>
      </c>
      <c r="I178" s="11">
        <f t="shared" si="34"/>
        <v>30.51335558934294</v>
      </c>
    </row>
    <row r="179" spans="2:9" x14ac:dyDescent="0.55000000000000004">
      <c r="B179" s="11">
        <f t="shared" si="35"/>
        <v>9</v>
      </c>
      <c r="C179" s="11">
        <f t="shared" si="36"/>
        <v>10</v>
      </c>
      <c r="D179" s="12">
        <f t="shared" si="29"/>
        <v>2489913.2104717474</v>
      </c>
      <c r="E179" s="11" t="str">
        <f t="shared" si="30"/>
        <v>22/23</v>
      </c>
      <c r="F179" s="11" t="str">
        <f t="shared" si="31"/>
        <v>Jul</v>
      </c>
      <c r="G179" s="11" t="str">
        <f t="shared" si="32"/>
        <v>Jul'22/23</v>
      </c>
      <c r="H179" s="11" t="str">
        <f t="shared" si="33"/>
        <v>Jul'22/23</v>
      </c>
      <c r="I179" s="11">
        <f t="shared" si="34"/>
        <v>30.962909466481356</v>
      </c>
    </row>
    <row r="180" spans="2:9" x14ac:dyDescent="0.55000000000000004">
      <c r="B180" s="11">
        <f t="shared" si="35"/>
        <v>9</v>
      </c>
      <c r="C180" s="11">
        <f t="shared" si="36"/>
        <v>11</v>
      </c>
      <c r="D180" s="12">
        <f t="shared" si="29"/>
        <v>2266689.6944444445</v>
      </c>
      <c r="E180" s="11" t="str">
        <f t="shared" si="30"/>
        <v>22/23</v>
      </c>
      <c r="F180" s="11" t="str">
        <f t="shared" si="31"/>
        <v>Aug</v>
      </c>
      <c r="G180" s="11" t="str">
        <f t="shared" si="32"/>
        <v>Aug'22/23</v>
      </c>
      <c r="H180" s="11" t="str">
        <f t="shared" si="33"/>
        <v>Aug'22/23</v>
      </c>
      <c r="I180" s="11">
        <f t="shared" si="34"/>
        <v>31.222596494259136</v>
      </c>
    </row>
    <row r="181" spans="2:9" x14ac:dyDescent="0.55000000000000004">
      <c r="B181" s="11">
        <f t="shared" si="35"/>
        <v>9</v>
      </c>
      <c r="C181" s="11">
        <f t="shared" si="36"/>
        <v>12</v>
      </c>
      <c r="D181" s="12">
        <f t="shared" si="29"/>
        <v>1560079.6944444445</v>
      </c>
      <c r="E181" s="11" t="str">
        <f t="shared" si="30"/>
        <v>22/23</v>
      </c>
      <c r="F181" s="11" t="str">
        <f t="shared" si="31"/>
        <v>Sep</v>
      </c>
      <c r="G181" s="11" t="str">
        <f t="shared" si="32"/>
        <v>Sep'22/23</v>
      </c>
      <c r="H181" s="11" t="str">
        <f t="shared" si="33"/>
        <v>Sep'22/23</v>
      </c>
      <c r="I181" s="11">
        <f t="shared" si="34"/>
        <v>31.096755188703582</v>
      </c>
    </row>
    <row r="182" spans="2:9" x14ac:dyDescent="0.55000000000000004">
      <c r="B182" s="11">
        <f t="shared" si="35"/>
        <v>10</v>
      </c>
      <c r="C182" s="11">
        <f t="shared" si="36"/>
        <v>1</v>
      </c>
      <c r="D182" s="12">
        <f t="shared" si="29"/>
        <v>1408699</v>
      </c>
      <c r="E182" s="11" t="str">
        <f t="shared" si="30"/>
        <v>23/24</v>
      </c>
      <c r="F182" s="11" t="str">
        <f t="shared" si="31"/>
        <v>Oct</v>
      </c>
      <c r="G182" s="11" t="str">
        <f t="shared" si="32"/>
        <v>Oct'23/24</v>
      </c>
      <c r="H182" s="11" t="str">
        <f t="shared" si="33"/>
        <v>Oct'23/24</v>
      </c>
      <c r="I182" s="11">
        <f t="shared" si="34"/>
        <v>31.061537188703582</v>
      </c>
    </row>
    <row r="183" spans="2:9" x14ac:dyDescent="0.55000000000000004">
      <c r="B183" s="11">
        <f t="shared" si="35"/>
        <v>10</v>
      </c>
      <c r="C183" s="11">
        <f t="shared" si="36"/>
        <v>2</v>
      </c>
      <c r="D183" s="12">
        <f t="shared" si="29"/>
        <v>2886949.3333333335</v>
      </c>
      <c r="E183" s="11" t="str">
        <f t="shared" si="30"/>
        <v>23/24</v>
      </c>
      <c r="F183" s="11" t="str">
        <f t="shared" si="31"/>
        <v>Nov</v>
      </c>
      <c r="G183" s="11" t="str">
        <f t="shared" si="32"/>
        <v>Nov'23/24</v>
      </c>
      <c r="H183" s="11" t="str">
        <f t="shared" si="33"/>
        <v>Nov'23/24</v>
      </c>
      <c r="I183" s="11">
        <f t="shared" si="34"/>
        <v>31.698415522036914</v>
      </c>
    </row>
    <row r="184" spans="2:9" x14ac:dyDescent="0.55000000000000004">
      <c r="B184" s="11">
        <f t="shared" si="35"/>
        <v>10</v>
      </c>
      <c r="C184" s="11">
        <f t="shared" si="36"/>
        <v>3</v>
      </c>
      <c r="D184" s="12">
        <f t="shared" si="29"/>
        <v>3987190.666666667</v>
      </c>
      <c r="E184" s="11" t="str">
        <f t="shared" si="30"/>
        <v>23/24</v>
      </c>
      <c r="F184" s="11" t="str">
        <f t="shared" si="31"/>
        <v>Dec</v>
      </c>
      <c r="G184" s="11" t="str">
        <f t="shared" si="32"/>
        <v>Dec'23/24</v>
      </c>
      <c r="H184" s="11" t="str">
        <f t="shared" si="33"/>
        <v>Dec'23/24</v>
      </c>
      <c r="I184" s="11">
        <f t="shared" si="34"/>
        <v>32.338998488703581</v>
      </c>
    </row>
    <row r="185" spans="2:9" x14ac:dyDescent="0.55000000000000004">
      <c r="B185" s="11">
        <f t="shared" si="35"/>
        <v>10</v>
      </c>
      <c r="C185" s="11">
        <f t="shared" si="36"/>
        <v>4</v>
      </c>
      <c r="D185" s="12">
        <f t="shared" si="29"/>
        <v>4431087</v>
      </c>
      <c r="E185" s="11" t="str">
        <f t="shared" si="30"/>
        <v>23/24</v>
      </c>
      <c r="F185" s="11" t="str">
        <f t="shared" si="31"/>
        <v>Jan</v>
      </c>
      <c r="G185" s="11" t="str">
        <f t="shared" si="32"/>
        <v>Jan'23/24</v>
      </c>
      <c r="H185" s="11" t="str">
        <f t="shared" si="33"/>
        <v>Jan'23/24</v>
      </c>
      <c r="I185" s="11">
        <f t="shared" si="34"/>
        <v>33.896057154504646</v>
      </c>
    </row>
    <row r="186" spans="2:9" x14ac:dyDescent="0.55000000000000004">
      <c r="B186" s="11">
        <f t="shared" si="35"/>
        <v>10</v>
      </c>
      <c r="C186" s="11">
        <f t="shared" si="36"/>
        <v>5</v>
      </c>
      <c r="D186" s="12">
        <f t="shared" si="29"/>
        <v>3241330</v>
      </c>
      <c r="E186" s="11" t="str">
        <f t="shared" si="30"/>
        <v>23/24</v>
      </c>
      <c r="F186" s="11" t="str">
        <f t="shared" si="31"/>
        <v>Feb</v>
      </c>
      <c r="G186" s="11" t="str">
        <f t="shared" si="32"/>
        <v>Feb'23/24</v>
      </c>
      <c r="H186" s="11" t="str">
        <f t="shared" si="33"/>
        <v>Feb'23/24</v>
      </c>
      <c r="I186" s="11">
        <f t="shared" si="34"/>
        <v>34.160392348083498</v>
      </c>
    </row>
    <row r="187" spans="2:9" x14ac:dyDescent="0.55000000000000004">
      <c r="B187" s="11">
        <f t="shared" si="35"/>
        <v>10</v>
      </c>
      <c r="C187" s="11">
        <f t="shared" si="36"/>
        <v>6</v>
      </c>
      <c r="D187" s="12">
        <f t="shared" si="29"/>
        <v>4012102.3333333335</v>
      </c>
      <c r="E187" s="11" t="str">
        <f t="shared" si="30"/>
        <v>23/24</v>
      </c>
      <c r="F187" s="11" t="str">
        <f t="shared" si="31"/>
        <v>Mar</v>
      </c>
      <c r="G187" s="11" t="str">
        <f t="shared" si="32"/>
        <v>Mar'23/24</v>
      </c>
      <c r="H187" s="11" t="str">
        <f t="shared" si="33"/>
        <v>Mar'23/24</v>
      </c>
      <c r="I187" s="11">
        <f t="shared" si="34"/>
        <v>34.501685986972383</v>
      </c>
    </row>
    <row r="188" spans="2:9" x14ac:dyDescent="0.55000000000000004">
      <c r="B188" s="11">
        <f t="shared" si="35"/>
        <v>10</v>
      </c>
      <c r="C188" s="11">
        <f t="shared" si="36"/>
        <v>7</v>
      </c>
      <c r="D188" s="12">
        <f t="shared" si="29"/>
        <v>3220058</v>
      </c>
      <c r="E188" s="11" t="str">
        <f t="shared" si="30"/>
        <v>23/24</v>
      </c>
      <c r="F188" s="11" t="str">
        <f t="shared" si="31"/>
        <v>Apr</v>
      </c>
      <c r="G188" s="11" t="str">
        <f t="shared" si="32"/>
        <v>Apr'23/24</v>
      </c>
      <c r="H188" s="11" t="str">
        <f t="shared" si="33"/>
        <v>Apr'23/24</v>
      </c>
      <c r="I188" s="11">
        <f t="shared" si="34"/>
        <v>34.807212959194608</v>
      </c>
    </row>
    <row r="189" spans="2:9" x14ac:dyDescent="0.55000000000000004">
      <c r="B189" s="11">
        <f t="shared" si="35"/>
        <v>10</v>
      </c>
      <c r="C189" s="11">
        <f t="shared" si="36"/>
        <v>8</v>
      </c>
      <c r="D189" s="12">
        <f t="shared" si="29"/>
        <v>2202538.3333333335</v>
      </c>
      <c r="E189" s="11" t="str">
        <f t="shared" si="30"/>
        <v>23/24</v>
      </c>
      <c r="F189" s="11" t="str">
        <f t="shared" si="31"/>
        <v>May</v>
      </c>
      <c r="G189" s="11" t="str">
        <f t="shared" si="32"/>
        <v>May'23/24</v>
      </c>
      <c r="H189" s="11" t="str">
        <f t="shared" si="33"/>
        <v>May'23/24</v>
      </c>
      <c r="I189" s="11">
        <f t="shared" si="34"/>
        <v>34.344281960471747</v>
      </c>
    </row>
    <row r="190" spans="2:9" x14ac:dyDescent="0.55000000000000004">
      <c r="B190" s="11">
        <f t="shared" si="35"/>
        <v>10</v>
      </c>
      <c r="C190" s="11">
        <f t="shared" si="36"/>
        <v>9</v>
      </c>
      <c r="D190" s="12">
        <f t="shared" si="29"/>
        <v>1993760.3333333335</v>
      </c>
      <c r="E190" s="11" t="str">
        <f t="shared" si="30"/>
        <v>23/24</v>
      </c>
      <c r="F190" s="11" t="str">
        <f t="shared" si="31"/>
        <v>Jun</v>
      </c>
      <c r="G190" s="11" t="str">
        <f t="shared" si="32"/>
        <v>Jun'23/24</v>
      </c>
      <c r="H190" s="11" t="str">
        <f t="shared" si="33"/>
        <v>Jun'23/24</v>
      </c>
      <c r="I190" s="11">
        <f t="shared" si="34"/>
        <v>33.700397599360635</v>
      </c>
    </row>
    <row r="191" spans="2:9" x14ac:dyDescent="0.55000000000000004">
      <c r="B191" s="11">
        <f t="shared" si="35"/>
        <v>10</v>
      </c>
      <c r="C191" s="11">
        <f t="shared" si="36"/>
        <v>10</v>
      </c>
      <c r="D191" s="12">
        <f t="shared" si="29"/>
        <v>2185670.3333333335</v>
      </c>
      <c r="E191" s="11" t="str">
        <f t="shared" si="30"/>
        <v>23/24</v>
      </c>
      <c r="F191" s="11" t="str">
        <f t="shared" si="31"/>
        <v>Jul</v>
      </c>
      <c r="G191" s="11" t="str">
        <f t="shared" si="32"/>
        <v>Jul'23/24</v>
      </c>
      <c r="H191" s="11" t="str">
        <f t="shared" si="33"/>
        <v>Jul'23/24</v>
      </c>
      <c r="I191" s="11">
        <f t="shared" si="34"/>
        <v>33.396154722222214</v>
      </c>
    </row>
    <row r="192" spans="2:9" x14ac:dyDescent="0.55000000000000004">
      <c r="B192" s="11">
        <f t="shared" si="35"/>
        <v>10</v>
      </c>
      <c r="C192" s="11">
        <f t="shared" si="36"/>
        <v>11</v>
      </c>
      <c r="D192" s="12">
        <f t="shared" si="29"/>
        <v>2215280.3333333335</v>
      </c>
      <c r="E192" s="11" t="str">
        <f t="shared" si="30"/>
        <v>23/24</v>
      </c>
      <c r="F192" s="11" t="str">
        <f t="shared" si="31"/>
        <v>Aug</v>
      </c>
      <c r="G192" s="11" t="str">
        <f t="shared" si="32"/>
        <v>Aug'23/24</v>
      </c>
      <c r="H192" s="11" t="str">
        <f t="shared" si="33"/>
        <v>Aug'23/24</v>
      </c>
      <c r="I192" s="11">
        <f t="shared" si="34"/>
        <v>33.344745361111102</v>
      </c>
    </row>
    <row r="193" spans="2:9" x14ac:dyDescent="0.55000000000000004">
      <c r="B193" s="11">
        <f t="shared" si="35"/>
        <v>10</v>
      </c>
      <c r="C193" s="11">
        <f t="shared" si="36"/>
        <v>12</v>
      </c>
      <c r="D193" s="12">
        <f t="shared" si="29"/>
        <v>1720958.6666666667</v>
      </c>
      <c r="E193" s="11" t="str">
        <f t="shared" si="30"/>
        <v>23/24</v>
      </c>
      <c r="F193" s="11" t="str">
        <f t="shared" si="31"/>
        <v>Sep</v>
      </c>
      <c r="G193" s="11" t="str">
        <f t="shared" si="32"/>
        <v>Sep'23/24</v>
      </c>
      <c r="H193" s="11" t="str">
        <f t="shared" si="33"/>
        <v>Sep'23/24</v>
      </c>
      <c r="I193" s="11">
        <f t="shared" si="34"/>
        <v>33.50562433333333</v>
      </c>
    </row>
    <row r="194" spans="2:9" x14ac:dyDescent="0.55000000000000004">
      <c r="B194" s="11">
        <f t="shared" si="35"/>
        <v>11</v>
      </c>
      <c r="C194" s="11">
        <f t="shared" si="36"/>
        <v>1</v>
      </c>
      <c r="D194" s="12">
        <f t="shared" si="29"/>
        <v>1656246</v>
      </c>
      <c r="E194" s="11" t="str">
        <f t="shared" si="30"/>
        <v>24/25</v>
      </c>
      <c r="F194" s="11" t="str">
        <f t="shared" si="31"/>
        <v>Oct</v>
      </c>
      <c r="G194" s="11" t="str">
        <f t="shared" si="32"/>
        <v>Oct'24/25</v>
      </c>
      <c r="H194" s="11" t="str">
        <f t="shared" si="33"/>
        <v>Oct'24/25</v>
      </c>
      <c r="I194" s="11">
        <f t="shared" si="34"/>
        <v>33.753171333333327</v>
      </c>
    </row>
    <row r="195" spans="2:9" x14ac:dyDescent="0.55000000000000004">
      <c r="B195" s="11">
        <f t="shared" si="35"/>
        <v>11</v>
      </c>
      <c r="C195" s="11">
        <f t="shared" si="36"/>
        <v>2</v>
      </c>
      <c r="D195" s="12">
        <f t="shared" si="29"/>
        <v>1764522.6666666667</v>
      </c>
      <c r="E195" s="11" t="str">
        <f t="shared" si="30"/>
        <v>24/25</v>
      </c>
      <c r="F195" s="11" t="str">
        <f t="shared" si="31"/>
        <v>Nov</v>
      </c>
      <c r="G195" s="11" t="str">
        <f t="shared" si="32"/>
        <v>Nov'24/25</v>
      </c>
      <c r="H195" s="11" t="str">
        <f t="shared" si="33"/>
        <v>Nov'24/25</v>
      </c>
      <c r="I195" s="11">
        <f t="shared" si="34"/>
        <v>32.630744666666665</v>
      </c>
    </row>
    <row r="196" spans="2:9" x14ac:dyDescent="0.55000000000000004">
      <c r="B196" s="11">
        <f t="shared" si="35"/>
        <v>11</v>
      </c>
      <c r="C196" s="11">
        <f t="shared" si="36"/>
        <v>3</v>
      </c>
      <c r="D196" s="12">
        <f t="shared" si="29"/>
        <v>2900000</v>
      </c>
      <c r="E196" s="11" t="str">
        <f t="shared" si="30"/>
        <v>24/25</v>
      </c>
      <c r="F196" s="11" t="str">
        <f t="shared" si="31"/>
        <v>Dec</v>
      </c>
      <c r="G196" s="11" t="str">
        <f t="shared" si="32"/>
        <v>Dec'24/25</v>
      </c>
      <c r="H196" s="11" t="str">
        <f t="shared" si="33"/>
        <v>Dec'24/25</v>
      </c>
      <c r="I196" s="11">
        <f t="shared" si="34"/>
        <v>31.543554</v>
      </c>
    </row>
    <row r="197" spans="2:9" x14ac:dyDescent="0.55000000000000004">
      <c r="B197" s="11">
        <f t="shared" si="35"/>
        <v>11</v>
      </c>
      <c r="C197" s="11">
        <f t="shared" si="36"/>
        <v>4</v>
      </c>
      <c r="D197" s="12">
        <f t="shared" si="29"/>
        <v>2567217.666666667</v>
      </c>
      <c r="E197" s="11" t="str">
        <f t="shared" si="30"/>
        <v>24/25</v>
      </c>
      <c r="F197" s="11" t="str">
        <f t="shared" si="31"/>
        <v>Jan</v>
      </c>
      <c r="G197" s="11" t="str">
        <f t="shared" si="32"/>
        <v>Jan'24/25</v>
      </c>
      <c r="H197" s="11" t="str">
        <f t="shared" si="33"/>
        <v>Jan'24/25</v>
      </c>
      <c r="I197" s="11">
        <f t="shared" si="34"/>
        <v>29.67968466666667</v>
      </c>
    </row>
    <row r="198" spans="2:9" x14ac:dyDescent="0.55000000000000004">
      <c r="B198" s="11">
        <f t="shared" si="35"/>
        <v>11</v>
      </c>
      <c r="C198" s="11">
        <f t="shared" si="36"/>
        <v>5</v>
      </c>
      <c r="D198" s="12">
        <f t="shared" si="29"/>
        <v>3061318.3333333335</v>
      </c>
      <c r="E198" s="11" t="str">
        <f t="shared" si="30"/>
        <v>24/25</v>
      </c>
      <c r="F198" s="11" t="str">
        <f t="shared" si="31"/>
        <v>Feb</v>
      </c>
      <c r="G198" s="11" t="str">
        <f t="shared" si="32"/>
        <v>Feb'24/25</v>
      </c>
      <c r="H198" s="11" t="str">
        <f t="shared" si="33"/>
        <v>Feb'24/25</v>
      </c>
      <c r="I198" s="11">
        <f t="shared" si="34"/>
        <v>29.499673000000005</v>
      </c>
    </row>
    <row r="199" spans="2:9" x14ac:dyDescent="0.55000000000000004">
      <c r="B199" s="11">
        <f t="shared" si="35"/>
        <v>11</v>
      </c>
      <c r="C199" s="11">
        <f t="shared" si="36"/>
        <v>6</v>
      </c>
      <c r="D199" s="12">
        <f t="shared" si="29"/>
        <v>3157585.3333333335</v>
      </c>
      <c r="E199" s="11" t="str">
        <f t="shared" si="30"/>
        <v>24/25</v>
      </c>
      <c r="F199" s="11" t="str">
        <f t="shared" si="31"/>
        <v>Mar</v>
      </c>
      <c r="G199" s="11" t="str">
        <f t="shared" si="32"/>
        <v>Mar'24/25</v>
      </c>
      <c r="H199" s="11" t="str">
        <f t="shared" si="33"/>
        <v>Mar'24/25</v>
      </c>
      <c r="I199" s="11">
        <f t="shared" si="34"/>
        <v>28.645156</v>
      </c>
    </row>
    <row r="200" spans="2:9" x14ac:dyDescent="0.55000000000000004">
      <c r="B200" s="11">
        <f t="shared" si="35"/>
        <v>11</v>
      </c>
      <c r="C200" s="11">
        <f t="shared" si="36"/>
        <v>7</v>
      </c>
      <c r="D200" s="12">
        <f t="shared" si="29"/>
        <v>2881603.666666667</v>
      </c>
      <c r="E200" s="11" t="str">
        <f t="shared" si="30"/>
        <v>24/25</v>
      </c>
      <c r="F200" s="11" t="str">
        <f t="shared" si="31"/>
        <v>Apr</v>
      </c>
      <c r="G200" s="11" t="str">
        <f t="shared" si="32"/>
        <v>Apr'24/25</v>
      </c>
      <c r="H200" s="11" t="str">
        <f t="shared" si="33"/>
        <v>Apr'24/25</v>
      </c>
      <c r="I200" s="11">
        <f t="shared" si="34"/>
        <v>28.306701666666665</v>
      </c>
    </row>
    <row r="201" spans="2:9" x14ac:dyDescent="0.55000000000000004">
      <c r="B201" s="11">
        <f t="shared" si="35"/>
        <v>11</v>
      </c>
      <c r="C201" s="11">
        <f t="shared" si="36"/>
        <v>8</v>
      </c>
      <c r="D201" s="12">
        <f t="shared" si="29"/>
        <v>2683052.666666667</v>
      </c>
      <c r="E201" s="11" t="str">
        <f t="shared" si="30"/>
        <v>24/25</v>
      </c>
      <c r="F201" s="11" t="str">
        <f t="shared" si="31"/>
        <v>May</v>
      </c>
      <c r="G201" s="11" t="str">
        <f t="shared" si="32"/>
        <v>May'24/25</v>
      </c>
      <c r="H201" s="11" t="str">
        <f t="shared" si="33"/>
        <v>May'24/25</v>
      </c>
      <c r="I201" s="11">
        <f t="shared" si="34"/>
        <v>28.787216000000001</v>
      </c>
    </row>
    <row r="202" spans="2:9" x14ac:dyDescent="0.55000000000000004">
      <c r="B202" s="11">
        <f t="shared" si="35"/>
        <v>11</v>
      </c>
      <c r="C202" s="11">
        <f t="shared" si="36"/>
        <v>9</v>
      </c>
      <c r="D202" s="12">
        <f t="shared" si="29"/>
        <v>2443583.3333333335</v>
      </c>
      <c r="E202" s="11" t="str">
        <f t="shared" si="30"/>
        <v>24/25</v>
      </c>
      <c r="F202" s="11" t="str">
        <f t="shared" si="31"/>
        <v>Jun</v>
      </c>
      <c r="G202" s="11" t="str">
        <f t="shared" si="32"/>
        <v>Jun'24/25</v>
      </c>
      <c r="H202" s="11" t="str">
        <f t="shared" si="33"/>
        <v>Jun'24/25</v>
      </c>
      <c r="I202" s="11">
        <f t="shared" si="34"/>
        <v>29.237038999999999</v>
      </c>
    </row>
    <row r="203" spans="2:9" x14ac:dyDescent="0.55000000000000004">
      <c r="B203" s="11">
        <f t="shared" si="35"/>
        <v>11</v>
      </c>
      <c r="C203" s="11">
        <f t="shared" si="36"/>
        <v>10</v>
      </c>
      <c r="D203" s="12">
        <f t="shared" ref="D203:D229" si="37">INDEX($C$7:$N$19,MATCH(B203,$A$7:$A$19),MATCH(C203,$C$4:$N$4))</f>
        <v>2161275</v>
      </c>
      <c r="E203" s="11" t="str">
        <f t="shared" ref="E203:E229" si="38">_xlfn.XLOOKUP(B203,$A$7:$A$19,$B$7:$B$19)</f>
        <v>24/25</v>
      </c>
      <c r="F203" s="11" t="str">
        <f t="shared" ref="F203:F229" si="39">_xlfn.XLOOKUP(C203,$C$4:$N$4,$C$6:$N$6)</f>
        <v>Jul</v>
      </c>
      <c r="G203" s="11" t="str">
        <f t="shared" ref="G203:G229" si="40">_xlfn.CONCAT(F203,"'",E203)</f>
        <v>Jul'24/25</v>
      </c>
      <c r="H203" s="11" t="str">
        <f t="shared" si="33"/>
        <v>Jul'24/25</v>
      </c>
      <c r="I203" s="11">
        <f t="shared" si="34"/>
        <v>29.212643666666672</v>
      </c>
    </row>
    <row r="204" spans="2:9" x14ac:dyDescent="0.55000000000000004">
      <c r="B204" s="11">
        <f t="shared" si="35"/>
        <v>11</v>
      </c>
      <c r="C204" s="11">
        <f t="shared" si="36"/>
        <v>11</v>
      </c>
      <c r="D204" s="12">
        <f t="shared" si="37"/>
        <v>2022043</v>
      </c>
      <c r="E204" s="11" t="str">
        <f t="shared" si="38"/>
        <v>24/25</v>
      </c>
      <c r="F204" s="11" t="str">
        <f t="shared" si="39"/>
        <v>Aug</v>
      </c>
      <c r="G204" s="11" t="str">
        <f t="shared" si="40"/>
        <v>Aug'24/25</v>
      </c>
      <c r="H204" s="11" t="str">
        <f t="shared" si="33"/>
        <v>Aug'24/25</v>
      </c>
      <c r="I204" s="11">
        <f t="shared" si="34"/>
        <v>29.019406333333336</v>
      </c>
    </row>
    <row r="205" spans="2:9" x14ac:dyDescent="0.55000000000000004">
      <c r="B205" s="11">
        <f t="shared" si="35"/>
        <v>11</v>
      </c>
      <c r="C205" s="11">
        <f t="shared" si="36"/>
        <v>12</v>
      </c>
      <c r="D205" s="12">
        <f t="shared" si="37"/>
        <v>1844668</v>
      </c>
      <c r="E205" s="11" t="str">
        <f t="shared" si="38"/>
        <v>24/25</v>
      </c>
      <c r="F205" s="11" t="str">
        <f t="shared" si="39"/>
        <v>Sep</v>
      </c>
      <c r="G205" s="11" t="str">
        <f t="shared" si="40"/>
        <v>Sep'24/25</v>
      </c>
      <c r="H205" s="11" t="str">
        <f t="shared" si="33"/>
        <v>Sep'24/25</v>
      </c>
      <c r="I205" s="11">
        <f t="shared" si="34"/>
        <v>29.143115666666667</v>
      </c>
    </row>
    <row r="206" spans="2:9" x14ac:dyDescent="0.55000000000000004">
      <c r="B206" s="11">
        <f t="shared" si="35"/>
        <v>12</v>
      </c>
      <c r="C206" s="11">
        <f t="shared" si="36"/>
        <v>1</v>
      </c>
      <c r="D206" s="12">
        <f t="shared" si="37"/>
        <v>1587156</v>
      </c>
      <c r="E206" s="11" t="str">
        <f t="shared" si="38"/>
        <v>25/26</v>
      </c>
      <c r="F206" s="11" t="str">
        <f t="shared" si="39"/>
        <v>Oct</v>
      </c>
      <c r="G206" s="11" t="str">
        <f t="shared" si="40"/>
        <v>Oct'25/26</v>
      </c>
      <c r="H206" s="11" t="str">
        <f t="shared" si="33"/>
        <v>Oct'25/26</v>
      </c>
      <c r="I206" s="11">
        <f t="shared" si="34"/>
        <v>29.074025666666667</v>
      </c>
    </row>
    <row r="207" spans="2:9" x14ac:dyDescent="0.55000000000000004">
      <c r="B207" s="11">
        <f t="shared" si="35"/>
        <v>12</v>
      </c>
      <c r="C207" s="11">
        <f t="shared" si="36"/>
        <v>2</v>
      </c>
      <c r="D207" s="12">
        <f t="shared" si="37"/>
        <v>1739523</v>
      </c>
      <c r="E207" s="11" t="str">
        <f t="shared" si="38"/>
        <v>25/26</v>
      </c>
      <c r="F207" s="11" t="str">
        <f t="shared" si="39"/>
        <v>Nov</v>
      </c>
      <c r="G207" s="11" t="str">
        <f t="shared" si="40"/>
        <v>Nov'25/26</v>
      </c>
      <c r="H207" s="11" t="str">
        <f t="shared" si="33"/>
        <v>Nov'25/26</v>
      </c>
      <c r="I207" s="11">
        <f t="shared" si="34"/>
        <v>29.049026000000001</v>
      </c>
    </row>
    <row r="208" spans="2:9" x14ac:dyDescent="0.55000000000000004">
      <c r="B208" s="11">
        <f t="shared" si="35"/>
        <v>12</v>
      </c>
      <c r="C208" s="11">
        <f t="shared" si="36"/>
        <v>3</v>
      </c>
      <c r="D208" s="12">
        <f t="shared" si="37"/>
        <v>3271597</v>
      </c>
      <c r="E208" s="11" t="str">
        <f t="shared" si="38"/>
        <v>25/26</v>
      </c>
      <c r="F208" s="11" t="str">
        <f t="shared" si="39"/>
        <v>Dec</v>
      </c>
      <c r="G208" s="11" t="str">
        <f t="shared" si="40"/>
        <v>Dec'25/26</v>
      </c>
      <c r="H208" s="11" t="str">
        <f t="shared" si="33"/>
        <v>Dec'25/26</v>
      </c>
      <c r="I208" s="11">
        <f t="shared" si="34"/>
        <v>29.420622999999999</v>
      </c>
    </row>
    <row r="209" spans="2:9" x14ac:dyDescent="0.55000000000000004">
      <c r="B209" s="11">
        <f t="shared" si="35"/>
        <v>12</v>
      </c>
      <c r="C209" s="11">
        <f t="shared" si="36"/>
        <v>4</v>
      </c>
      <c r="D209" s="12">
        <f t="shared" si="37"/>
        <v>3921358.3333333335</v>
      </c>
      <c r="E209" s="11" t="str">
        <f t="shared" si="38"/>
        <v>25/26</v>
      </c>
      <c r="F209" s="11" t="str">
        <f t="shared" si="39"/>
        <v>Jan</v>
      </c>
      <c r="G209" s="11" t="str">
        <f t="shared" si="40"/>
        <v>Jan'25/26</v>
      </c>
      <c r="H209" s="11" t="str">
        <f t="shared" si="33"/>
        <v>Jan'25/26</v>
      </c>
      <c r="I209" s="11">
        <f t="shared" si="34"/>
        <v>30.774763666666669</v>
      </c>
    </row>
    <row r="210" spans="2:9" x14ac:dyDescent="0.55000000000000004">
      <c r="B210" s="11">
        <f t="shared" si="35"/>
        <v>12</v>
      </c>
      <c r="C210" s="11">
        <f t="shared" si="36"/>
        <v>5</v>
      </c>
      <c r="D210" s="12">
        <f t="shared" si="37"/>
        <v>2602838.3333333335</v>
      </c>
      <c r="E210" s="11" t="str">
        <f t="shared" si="38"/>
        <v>25/26</v>
      </c>
      <c r="F210" s="11" t="str">
        <f t="shared" si="39"/>
        <v>Feb</v>
      </c>
      <c r="G210" s="11" t="str">
        <f t="shared" si="40"/>
        <v>Feb'25/26</v>
      </c>
      <c r="H210" s="11" t="str">
        <f t="shared" si="33"/>
        <v>Feb'25/26</v>
      </c>
      <c r="I210" s="11">
        <f t="shared" si="34"/>
        <v>30.316283666666664</v>
      </c>
    </row>
    <row r="211" spans="2:9" x14ac:dyDescent="0.55000000000000004">
      <c r="B211" s="11">
        <f t="shared" si="35"/>
        <v>12</v>
      </c>
      <c r="C211" s="11">
        <f t="shared" si="36"/>
        <v>6</v>
      </c>
      <c r="D211" s="12">
        <f t="shared" si="37"/>
        <v>3525858</v>
      </c>
      <c r="E211" s="11" t="str">
        <f t="shared" si="38"/>
        <v>25/26</v>
      </c>
      <c r="F211" s="11" t="str">
        <f t="shared" si="39"/>
        <v>Mar</v>
      </c>
      <c r="G211" s="11" t="str">
        <f t="shared" si="40"/>
        <v>Mar'25/26</v>
      </c>
      <c r="H211" s="11" t="str">
        <f t="shared" si="33"/>
        <v>Mar'25/26</v>
      </c>
      <c r="I211" s="11">
        <f t="shared" si="34"/>
        <v>30.684556333333333</v>
      </c>
    </row>
    <row r="212" spans="2:9" x14ac:dyDescent="0.55000000000000004">
      <c r="B212" s="11">
        <f t="shared" si="35"/>
        <v>12</v>
      </c>
      <c r="C212" s="11">
        <f t="shared" si="36"/>
        <v>7</v>
      </c>
      <c r="D212" s="12">
        <f t="shared" si="37"/>
        <v>3666303</v>
      </c>
      <c r="E212" s="11" t="str">
        <f t="shared" si="38"/>
        <v>25/26</v>
      </c>
      <c r="F212" s="11" t="str">
        <f t="shared" si="39"/>
        <v>Apr</v>
      </c>
      <c r="G212" s="11" t="str">
        <f t="shared" si="40"/>
        <v>Apr'25/26</v>
      </c>
      <c r="H212" s="11" t="str">
        <f t="shared" si="33"/>
        <v>Apr'25/26</v>
      </c>
      <c r="I212" s="11">
        <f t="shared" si="34"/>
        <v>31.469255666666665</v>
      </c>
    </row>
    <row r="213" spans="2:9" x14ac:dyDescent="0.55000000000000004">
      <c r="B213" s="11">
        <f t="shared" si="35"/>
        <v>12</v>
      </c>
      <c r="C213" s="11">
        <f t="shared" si="36"/>
        <v>8</v>
      </c>
      <c r="D213" s="12">
        <f t="shared" si="37"/>
        <v>2825395</v>
      </c>
      <c r="E213" s="11" t="str">
        <f t="shared" si="38"/>
        <v>25/26</v>
      </c>
      <c r="F213" s="11" t="str">
        <f t="shared" si="39"/>
        <v>May</v>
      </c>
      <c r="G213" s="11" t="str">
        <f t="shared" si="40"/>
        <v>May'25/26</v>
      </c>
      <c r="H213" s="11" t="str">
        <f t="shared" si="33"/>
        <v>May'25/26</v>
      </c>
      <c r="I213" s="11">
        <f t="shared" si="34"/>
        <v>31.611598000000001</v>
      </c>
    </row>
    <row r="214" spans="2:9" x14ac:dyDescent="0.55000000000000004">
      <c r="B214" s="11">
        <f t="shared" si="35"/>
        <v>12</v>
      </c>
      <c r="C214" s="11">
        <f t="shared" si="36"/>
        <v>9</v>
      </c>
      <c r="D214" s="12">
        <f t="shared" si="37"/>
        <v>2576425.666666667</v>
      </c>
      <c r="E214" s="11" t="str">
        <f t="shared" si="38"/>
        <v>25/26</v>
      </c>
      <c r="F214" s="11" t="str">
        <f t="shared" si="39"/>
        <v>Jun</v>
      </c>
      <c r="G214" s="11" t="str">
        <f t="shared" si="40"/>
        <v>Jun'25/26</v>
      </c>
      <c r="H214" s="11" t="str">
        <f t="shared" ref="H214:H229" si="41">G214</f>
        <v>Jun'25/26</v>
      </c>
      <c r="I214" s="11">
        <f t="shared" ref="I214:I229" si="42">SUM(D203:D214)/1000000</f>
        <v>31.744440333333337</v>
      </c>
    </row>
    <row r="215" spans="2:9" x14ac:dyDescent="0.55000000000000004">
      <c r="B215" s="11">
        <f t="shared" ref="B215:B229" si="43">B203+1</f>
        <v>12</v>
      </c>
      <c r="C215" s="11">
        <f t="shared" ref="C215:C229" si="44">C203</f>
        <v>10</v>
      </c>
      <c r="D215" s="12">
        <f t="shared" si="37"/>
        <v>2926458.3333333335</v>
      </c>
      <c r="E215" s="11" t="str">
        <f t="shared" si="38"/>
        <v>25/26</v>
      </c>
      <c r="F215" s="11" t="str">
        <f t="shared" si="39"/>
        <v>Jul</v>
      </c>
      <c r="G215" s="11" t="str">
        <f t="shared" si="40"/>
        <v>Jul'25/26</v>
      </c>
      <c r="H215" s="11" t="str">
        <f t="shared" si="41"/>
        <v>Jul'25/26</v>
      </c>
      <c r="I215" s="11">
        <f t="shared" si="42"/>
        <v>32.50962366666667</v>
      </c>
    </row>
    <row r="216" spans="2:9" x14ac:dyDescent="0.55000000000000004">
      <c r="B216" s="11">
        <f t="shared" si="43"/>
        <v>12</v>
      </c>
      <c r="C216" s="11">
        <f t="shared" si="44"/>
        <v>11</v>
      </c>
      <c r="D216" s="12">
        <f t="shared" si="37"/>
        <v>3094323.666666667</v>
      </c>
      <c r="E216" s="11" t="str">
        <f t="shared" si="38"/>
        <v>25/26</v>
      </c>
      <c r="F216" s="11" t="str">
        <f t="shared" si="39"/>
        <v>Aug</v>
      </c>
      <c r="G216" s="11" t="str">
        <f t="shared" si="40"/>
        <v>Aug'25/26</v>
      </c>
      <c r="H216" s="11" t="str">
        <f t="shared" si="41"/>
        <v>Aug'25/26</v>
      </c>
      <c r="I216" s="11">
        <f t="shared" si="42"/>
        <v>33.581904333333334</v>
      </c>
    </row>
    <row r="217" spans="2:9" x14ac:dyDescent="0.55000000000000004">
      <c r="B217" s="11">
        <f t="shared" si="43"/>
        <v>12</v>
      </c>
      <c r="C217" s="11">
        <f t="shared" si="44"/>
        <v>12</v>
      </c>
      <c r="D217" s="12">
        <f t="shared" si="37"/>
        <v>2571270.666666667</v>
      </c>
      <c r="E217" s="11" t="str">
        <f t="shared" si="38"/>
        <v>25/26</v>
      </c>
      <c r="F217" s="11" t="str">
        <f t="shared" si="39"/>
        <v>Sep</v>
      </c>
      <c r="G217" s="11" t="str">
        <f t="shared" si="40"/>
        <v>Sep'25/26</v>
      </c>
      <c r="H217" s="11" t="str">
        <f t="shared" si="41"/>
        <v>Sep'25/26</v>
      </c>
      <c r="I217" s="11">
        <f t="shared" si="42"/>
        <v>34.308506999999999</v>
      </c>
    </row>
    <row r="218" spans="2:9" x14ac:dyDescent="0.55000000000000004">
      <c r="B218" s="11">
        <f t="shared" si="43"/>
        <v>13</v>
      </c>
      <c r="C218" s="11">
        <f t="shared" si="44"/>
        <v>1</v>
      </c>
      <c r="D218" s="12" t="e">
        <f t="shared" si="37"/>
        <v>#N/A</v>
      </c>
      <c r="E218" s="11" t="str">
        <f t="shared" si="38"/>
        <v>26/27</v>
      </c>
      <c r="F218" s="11" t="str">
        <f t="shared" si="39"/>
        <v>Oct</v>
      </c>
      <c r="G218" s="11" t="str">
        <f t="shared" si="40"/>
        <v>Oct'26/27</v>
      </c>
      <c r="H218" s="11" t="str">
        <f t="shared" si="41"/>
        <v>Oct'26/27</v>
      </c>
      <c r="I218" s="11" t="e">
        <f t="shared" si="42"/>
        <v>#N/A</v>
      </c>
    </row>
    <row r="219" spans="2:9" x14ac:dyDescent="0.55000000000000004">
      <c r="B219" s="11">
        <f t="shared" si="43"/>
        <v>13</v>
      </c>
      <c r="C219" s="11">
        <f t="shared" si="44"/>
        <v>2</v>
      </c>
      <c r="D219" s="12" t="e">
        <f t="shared" si="37"/>
        <v>#N/A</v>
      </c>
      <c r="E219" s="11" t="str">
        <f t="shared" si="38"/>
        <v>26/27</v>
      </c>
      <c r="F219" s="11" t="str">
        <f t="shared" si="39"/>
        <v>Nov</v>
      </c>
      <c r="G219" s="11" t="str">
        <f t="shared" si="40"/>
        <v>Nov'26/27</v>
      </c>
      <c r="H219" s="11" t="str">
        <f t="shared" si="41"/>
        <v>Nov'26/27</v>
      </c>
      <c r="I219" s="11" t="e">
        <f t="shared" si="42"/>
        <v>#N/A</v>
      </c>
    </row>
    <row r="220" spans="2:9" x14ac:dyDescent="0.55000000000000004">
      <c r="B220" s="11">
        <f t="shared" si="43"/>
        <v>13</v>
      </c>
      <c r="C220" s="11">
        <f t="shared" si="44"/>
        <v>3</v>
      </c>
      <c r="D220" s="12" t="e">
        <f t="shared" si="37"/>
        <v>#N/A</v>
      </c>
      <c r="E220" s="11" t="str">
        <f t="shared" si="38"/>
        <v>26/27</v>
      </c>
      <c r="F220" s="11" t="str">
        <f t="shared" si="39"/>
        <v>Dec</v>
      </c>
      <c r="G220" s="11" t="str">
        <f t="shared" si="40"/>
        <v>Dec'26/27</v>
      </c>
      <c r="H220" s="11" t="str">
        <f t="shared" si="41"/>
        <v>Dec'26/27</v>
      </c>
      <c r="I220" s="11" t="e">
        <f t="shared" si="42"/>
        <v>#N/A</v>
      </c>
    </row>
    <row r="221" spans="2:9" x14ac:dyDescent="0.55000000000000004">
      <c r="B221" s="11">
        <f t="shared" si="43"/>
        <v>13</v>
      </c>
      <c r="C221" s="11">
        <f t="shared" si="44"/>
        <v>4</v>
      </c>
      <c r="D221" s="12" t="e">
        <f t="shared" si="37"/>
        <v>#N/A</v>
      </c>
      <c r="E221" s="11" t="str">
        <f t="shared" si="38"/>
        <v>26/27</v>
      </c>
      <c r="F221" s="11" t="str">
        <f t="shared" si="39"/>
        <v>Jan</v>
      </c>
      <c r="G221" s="11" t="str">
        <f t="shared" si="40"/>
        <v>Jan'26/27</v>
      </c>
      <c r="H221" s="11" t="str">
        <f t="shared" si="41"/>
        <v>Jan'26/27</v>
      </c>
      <c r="I221" s="11" t="e">
        <f t="shared" si="42"/>
        <v>#N/A</v>
      </c>
    </row>
    <row r="222" spans="2:9" x14ac:dyDescent="0.55000000000000004">
      <c r="B222" s="11">
        <f t="shared" si="43"/>
        <v>13</v>
      </c>
      <c r="C222" s="11">
        <f t="shared" si="44"/>
        <v>5</v>
      </c>
      <c r="D222" s="12" t="e">
        <f t="shared" si="37"/>
        <v>#N/A</v>
      </c>
      <c r="E222" s="11" t="str">
        <f t="shared" si="38"/>
        <v>26/27</v>
      </c>
      <c r="F222" s="11" t="str">
        <f t="shared" si="39"/>
        <v>Feb</v>
      </c>
      <c r="G222" s="11" t="str">
        <f t="shared" si="40"/>
        <v>Feb'26/27</v>
      </c>
      <c r="H222" s="11" t="str">
        <f t="shared" si="41"/>
        <v>Feb'26/27</v>
      </c>
      <c r="I222" s="11" t="e">
        <f t="shared" si="42"/>
        <v>#N/A</v>
      </c>
    </row>
    <row r="223" spans="2:9" x14ac:dyDescent="0.55000000000000004">
      <c r="B223" s="11">
        <f t="shared" si="43"/>
        <v>13</v>
      </c>
      <c r="C223" s="11">
        <f t="shared" si="44"/>
        <v>6</v>
      </c>
      <c r="D223" s="12" t="e">
        <f t="shared" si="37"/>
        <v>#N/A</v>
      </c>
      <c r="E223" s="11" t="str">
        <f t="shared" si="38"/>
        <v>26/27</v>
      </c>
      <c r="F223" s="11" t="str">
        <f t="shared" si="39"/>
        <v>Mar</v>
      </c>
      <c r="G223" s="11" t="str">
        <f t="shared" si="40"/>
        <v>Mar'26/27</v>
      </c>
      <c r="H223" s="11" t="str">
        <f t="shared" si="41"/>
        <v>Mar'26/27</v>
      </c>
      <c r="I223" s="11" t="e">
        <f t="shared" si="42"/>
        <v>#N/A</v>
      </c>
    </row>
    <row r="224" spans="2:9" x14ac:dyDescent="0.55000000000000004">
      <c r="B224" s="11">
        <f t="shared" si="43"/>
        <v>13</v>
      </c>
      <c r="C224" s="11">
        <f t="shared" si="44"/>
        <v>7</v>
      </c>
      <c r="D224" s="12" t="e">
        <f t="shared" si="37"/>
        <v>#N/A</v>
      </c>
      <c r="E224" s="11" t="str">
        <f t="shared" si="38"/>
        <v>26/27</v>
      </c>
      <c r="F224" s="11" t="str">
        <f t="shared" si="39"/>
        <v>Apr</v>
      </c>
      <c r="G224" s="11" t="str">
        <f t="shared" si="40"/>
        <v>Apr'26/27</v>
      </c>
      <c r="H224" s="11" t="str">
        <f t="shared" si="41"/>
        <v>Apr'26/27</v>
      </c>
      <c r="I224" s="11" t="e">
        <f t="shared" si="42"/>
        <v>#N/A</v>
      </c>
    </row>
    <row r="225" spans="2:9" x14ac:dyDescent="0.55000000000000004">
      <c r="B225" s="11">
        <f t="shared" si="43"/>
        <v>13</v>
      </c>
      <c r="C225" s="11">
        <f t="shared" si="44"/>
        <v>8</v>
      </c>
      <c r="D225" s="12" t="e">
        <f t="shared" si="37"/>
        <v>#N/A</v>
      </c>
      <c r="E225" s="11" t="str">
        <f t="shared" si="38"/>
        <v>26/27</v>
      </c>
      <c r="F225" s="11" t="str">
        <f t="shared" si="39"/>
        <v>May</v>
      </c>
      <c r="G225" s="11" t="str">
        <f t="shared" si="40"/>
        <v>May'26/27</v>
      </c>
      <c r="H225" s="11" t="str">
        <f t="shared" si="41"/>
        <v>May'26/27</v>
      </c>
      <c r="I225" s="11" t="e">
        <f t="shared" si="42"/>
        <v>#N/A</v>
      </c>
    </row>
    <row r="226" spans="2:9" x14ac:dyDescent="0.55000000000000004">
      <c r="B226" s="11">
        <f t="shared" si="43"/>
        <v>13</v>
      </c>
      <c r="C226" s="11">
        <f t="shared" si="44"/>
        <v>9</v>
      </c>
      <c r="D226" s="12" t="e">
        <f t="shared" si="37"/>
        <v>#N/A</v>
      </c>
      <c r="E226" s="11" t="str">
        <f t="shared" si="38"/>
        <v>26/27</v>
      </c>
      <c r="F226" s="11" t="str">
        <f t="shared" si="39"/>
        <v>Jun</v>
      </c>
      <c r="G226" s="11" t="str">
        <f t="shared" si="40"/>
        <v>Jun'26/27</v>
      </c>
      <c r="H226" s="11" t="str">
        <f t="shared" si="41"/>
        <v>Jun'26/27</v>
      </c>
      <c r="I226" s="11" t="e">
        <f t="shared" si="42"/>
        <v>#N/A</v>
      </c>
    </row>
    <row r="227" spans="2:9" x14ac:dyDescent="0.55000000000000004">
      <c r="B227" s="11">
        <f t="shared" si="43"/>
        <v>13</v>
      </c>
      <c r="C227" s="11">
        <f t="shared" si="44"/>
        <v>10</v>
      </c>
      <c r="D227" s="12" t="e">
        <f t="shared" si="37"/>
        <v>#N/A</v>
      </c>
      <c r="E227" s="11" t="str">
        <f t="shared" si="38"/>
        <v>26/27</v>
      </c>
      <c r="F227" s="11" t="str">
        <f t="shared" si="39"/>
        <v>Jul</v>
      </c>
      <c r="G227" s="11" t="str">
        <f t="shared" si="40"/>
        <v>Jul'26/27</v>
      </c>
      <c r="H227" s="11" t="str">
        <f t="shared" si="41"/>
        <v>Jul'26/27</v>
      </c>
      <c r="I227" s="11" t="e">
        <f t="shared" si="42"/>
        <v>#N/A</v>
      </c>
    </row>
    <row r="228" spans="2:9" x14ac:dyDescent="0.55000000000000004">
      <c r="B228" s="11">
        <f t="shared" si="43"/>
        <v>13</v>
      </c>
      <c r="C228" s="11">
        <f t="shared" si="44"/>
        <v>11</v>
      </c>
      <c r="D228" s="12" t="e">
        <f t="shared" si="37"/>
        <v>#N/A</v>
      </c>
      <c r="E228" s="11" t="str">
        <f t="shared" si="38"/>
        <v>26/27</v>
      </c>
      <c r="F228" s="11" t="str">
        <f t="shared" si="39"/>
        <v>Aug</v>
      </c>
      <c r="G228" s="11" t="str">
        <f t="shared" si="40"/>
        <v>Aug'26/27</v>
      </c>
      <c r="H228" s="11" t="str">
        <f t="shared" si="41"/>
        <v>Aug'26/27</v>
      </c>
      <c r="I228" s="11" t="e">
        <f t="shared" si="42"/>
        <v>#N/A</v>
      </c>
    </row>
    <row r="229" spans="2:9" x14ac:dyDescent="0.55000000000000004">
      <c r="B229" s="11">
        <f t="shared" si="43"/>
        <v>13</v>
      </c>
      <c r="C229" s="11">
        <f t="shared" si="44"/>
        <v>12</v>
      </c>
      <c r="D229" s="12" t="e">
        <f t="shared" si="37"/>
        <v>#N/A</v>
      </c>
      <c r="E229" s="11" t="str">
        <f t="shared" si="38"/>
        <v>26/27</v>
      </c>
      <c r="F229" s="11" t="str">
        <f t="shared" si="39"/>
        <v>Sep</v>
      </c>
      <c r="G229" s="11" t="str">
        <f t="shared" si="40"/>
        <v>Sep'26/27</v>
      </c>
      <c r="H229" s="11" t="str">
        <f t="shared" si="41"/>
        <v>Sep'26/27</v>
      </c>
      <c r="I229" s="11" t="e">
        <f t="shared" si="42"/>
        <v>#N/A</v>
      </c>
    </row>
  </sheetData>
  <mergeCells count="4">
    <mergeCell ref="A1:Y2"/>
    <mergeCell ref="C5:N5"/>
    <mergeCell ref="S6:U6"/>
    <mergeCell ref="N74:Y74"/>
  </mergeCells>
  <conditionalFormatting sqref="C7:N19">
    <cfRule type="cellIs" dxfId="8" priority="1" operator="greaterThanOrEqual">
      <formula>0</formula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{7E43232B-FE3A-4BD6-9769-62EC9E5F4F4E}</x14:id>
        </ext>
      </extLst>
    </cfRule>
  </conditionalFormatting>
  <conditionalFormatting sqref="Q17:Q1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{C94E5FBE-5BA5-4E3C-BC1A-B097F54B5371}</x14:id>
        </ext>
      </extLst>
    </cfRule>
  </conditionalFormatting>
  <conditionalFormatting sqref="T7:T19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{92D767F8-49AA-495C-8983-35B9683506BE}</x14:id>
        </ext>
      </extLst>
    </cfRule>
  </conditionalFormatting>
  <conditionalFormatting sqref="U1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{D47C5AF1-6E78-475F-825B-635E3E0B226B}</x14:id>
        </ext>
      </extLst>
    </cfRule>
  </conditionalFormatting>
  <pageMargins left="0.7" right="0.7" top="0.75" bottom="0.75" header="0.3" footer="0.3"/>
  <ignoredErrors>
    <ignoredError sqref="F17:N19 C18:E19" evalError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43232B-FE3A-4BD6-9769-62EC9E5F4F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Q8:Q16</xm:sqref>
        </x14:conditionalFormatting>
        <x14:conditionalFormatting xmlns:xm="http://schemas.microsoft.com/office/excel/2006/main">
          <x14:cfRule type="dataBar" id="{C94E5FBE-5BA5-4E3C-BC1A-B097F54B5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Q17:Q19</xm:sqref>
        </x14:conditionalFormatting>
        <x14:conditionalFormatting xmlns:xm="http://schemas.microsoft.com/office/excel/2006/main">
          <x14:cfRule type="dataBar" id="{92D767F8-49AA-495C-8983-35B9683506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D47C5AF1-6E78-475F-825B-635E3E0B22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4DEB-00EE-40F2-947D-1F66C3BA3C49}">
  <sheetPr codeName="Sheet15"/>
  <dimension ref="A1:AI229"/>
  <sheetViews>
    <sheetView showGridLines="0" zoomScaleNormal="100" workbookViewId="0">
      <selection sqref="A1:N2"/>
    </sheetView>
  </sheetViews>
  <sheetFormatPr defaultColWidth="8.83984375" defaultRowHeight="14.4" x14ac:dyDescent="0.55000000000000004"/>
  <cols>
    <col min="1" max="16384" width="8.83984375" style="11"/>
  </cols>
  <sheetData>
    <row r="1" spans="1:35" s="17" customFormat="1" ht="25.9" customHeight="1" x14ac:dyDescent="0.55000000000000004">
      <c r="A1" s="73" t="s">
        <v>61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29"/>
      <c r="P1" s="78" t="s">
        <v>73</v>
      </c>
      <c r="Q1" s="78"/>
      <c r="R1" s="78"/>
      <c r="S1" s="78"/>
      <c r="T1" s="78"/>
      <c r="U1" s="78"/>
      <c r="V1" s="78"/>
      <c r="W1" s="29"/>
      <c r="X1" s="29"/>
      <c r="Y1" s="29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29"/>
      <c r="P2" s="78"/>
      <c r="Q2" s="78"/>
      <c r="R2" s="78"/>
      <c r="S2" s="78"/>
      <c r="T2" s="78"/>
      <c r="U2" s="78"/>
      <c r="V2" s="78"/>
      <c r="W2" s="29"/>
      <c r="X2" s="29"/>
      <c r="Y2" s="29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Oct-Apr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Super 5 : Robusta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Oct-Apr</v>
      </c>
      <c r="T6" s="75"/>
      <c r="U6" s="75"/>
    </row>
    <row r="7" spans="1:35" x14ac:dyDescent="0.55000000000000004">
      <c r="A7" s="14">
        <v>1</v>
      </c>
      <c r="B7" s="6" t="s">
        <v>15</v>
      </c>
      <c r="C7" s="23" t="e">
        <f>Vietnam!C7+'Brazil Robusta'!C7+Indonesia!C7+Uganda!C7+India!C7</f>
        <v>#N/A</v>
      </c>
      <c r="D7" s="23" t="e">
        <f>Vietnam!D7+'Brazil Robusta'!D7+Indonesia!D7+Uganda!D7+India!D7</f>
        <v>#N/A</v>
      </c>
      <c r="E7" s="23" t="e">
        <f>Vietnam!E7+'Brazil Robusta'!E7+Indonesia!E7+Uganda!E7+India!E7</f>
        <v>#N/A</v>
      </c>
      <c r="F7" s="23" t="e">
        <f>Vietnam!F7+'Brazil Robusta'!F7+Indonesia!F7+Uganda!F7+India!F7</f>
        <v>#N/A</v>
      </c>
      <c r="G7" s="23" t="e">
        <f>Vietnam!G7+'Brazil Robusta'!G7+Indonesia!G7+Uganda!G7+India!G7</f>
        <v>#N/A</v>
      </c>
      <c r="H7" s="23" t="e">
        <f>Vietnam!H7+'Brazil Robusta'!H7+Indonesia!H7+Uganda!H7+India!H7</f>
        <v>#N/A</v>
      </c>
      <c r="I7" s="23" t="e">
        <f>Vietnam!I7+'Brazil Robusta'!I7+Indonesia!I7+Uganda!I7+India!I7</f>
        <v>#N/A</v>
      </c>
      <c r="J7" s="23" t="e">
        <f>Vietnam!J7+'Brazil Robusta'!J7+Indonesia!J7+Uganda!J7+India!J7</f>
        <v>#N/A</v>
      </c>
      <c r="K7" s="23" t="e">
        <f>Vietnam!K7+'Brazil Robusta'!K7+Indonesia!K7+Uganda!K7+India!K7</f>
        <v>#N/A</v>
      </c>
      <c r="L7" s="23" t="e">
        <f>Vietnam!L7+'Brazil Robusta'!L7+Indonesia!L7+Uganda!L7+India!L7</f>
        <v>#N/A</v>
      </c>
      <c r="M7" s="23" t="e">
        <f>Vietnam!M7+'Brazil Robusta'!M7+Indonesia!M7+Uganda!M7+India!M7</f>
        <v>#N/A</v>
      </c>
      <c r="N7" s="23" t="e">
        <f>Vietnam!N7+'Brazil Robusta'!N7+Indonesia!N7+Uganda!N7+India!N7</f>
        <v>#N/A</v>
      </c>
      <c r="O7" s="6" t="s">
        <v>15</v>
      </c>
      <c r="P7" s="20" t="str">
        <f t="shared" ref="P7:P19" si="0">IF(COUNT(C7:N7)=12,SUM(C7:N7),"")</f>
        <v/>
      </c>
      <c r="Q7" s="2"/>
      <c r="R7" s="2"/>
      <c r="S7" s="6" t="s">
        <v>15</v>
      </c>
      <c r="T7" s="20" t="str">
        <f ca="1">IFERROR(IF(SUM(OFFSET(C7,0,0,1,$C$56))=0,"",SUM(OFFSET(C7,0,0,1,$C$56))),"")</f>
        <v/>
      </c>
      <c r="U7" s="2"/>
    </row>
    <row r="8" spans="1:35" x14ac:dyDescent="0.55000000000000004">
      <c r="A8" s="14">
        <v>2</v>
      </c>
      <c r="B8" s="6" t="s">
        <v>16</v>
      </c>
      <c r="C8" s="23">
        <f>Vietnam!C8+'Brazil Robusta'!C8+Indonesia!C8+Uganda!C8+India!C8</f>
        <v>3142922.9671666669</v>
      </c>
      <c r="D8" s="23">
        <f>Vietnam!D8+'Brazil Robusta'!D8+Indonesia!D8+Uganda!D8+India!D8</f>
        <v>3175156.1630000002</v>
      </c>
      <c r="E8" s="23">
        <f>Vietnam!E8+'Brazil Robusta'!E8+Indonesia!E8+Uganda!E8+India!E8</f>
        <v>3891007.3807466663</v>
      </c>
      <c r="F8" s="23">
        <f>Vietnam!F8+'Brazil Robusta'!F8+Indonesia!F8+Uganda!F8+India!F8</f>
        <v>4320100.3633000003</v>
      </c>
      <c r="G8" s="23">
        <f>Vietnam!G8+'Brazil Robusta'!G8+Indonesia!G8+Uganda!G8+India!G8</f>
        <v>3370140.0378200007</v>
      </c>
      <c r="H8" s="23">
        <f>Vietnam!H8+'Brazil Robusta'!H8+Indonesia!H8+Uganda!H8+India!H8</f>
        <v>4295053.4797316669</v>
      </c>
      <c r="I8" s="23">
        <f>Vietnam!I8+'Brazil Robusta'!I8+Indonesia!I8+Uganda!I8+India!I8</f>
        <v>4408384.974026667</v>
      </c>
      <c r="J8" s="23">
        <f>Vietnam!J8+'Brazil Robusta'!J8+Indonesia!J8+Uganda!J8+India!J8</f>
        <v>3875075.1377216671</v>
      </c>
      <c r="K8" s="23">
        <f>Vietnam!K8+'Brazil Robusta'!K8+Indonesia!K8+Uganda!K8+India!K8</f>
        <v>3824952.0495800003</v>
      </c>
      <c r="L8" s="23">
        <f>Vietnam!L8+'Brazil Robusta'!L8+Indonesia!L8+Uganda!L8+India!L8</f>
        <v>3565526.4096416668</v>
      </c>
      <c r="M8" s="23">
        <f>Vietnam!M8+'Brazil Robusta'!M8+Indonesia!M8+Uganda!M8+India!M8</f>
        <v>4035579.0590733332</v>
      </c>
      <c r="N8" s="23">
        <f>Vietnam!N8+'Brazil Robusta'!N8+Indonesia!N8+Uganda!N8+India!N8</f>
        <v>3545101.4118233337</v>
      </c>
      <c r="O8" s="6" t="s">
        <v>16</v>
      </c>
      <c r="P8" s="20">
        <f t="shared" si="0"/>
        <v>45448999.433631673</v>
      </c>
      <c r="Q8" s="7" t="str">
        <f t="shared" ref="Q8:Q16" si="1">IFERROR(P8/P7-1,"")</f>
        <v/>
      </c>
      <c r="R8" s="2"/>
      <c r="S8" s="6" t="s">
        <v>16</v>
      </c>
      <c r="T8" s="20">
        <f t="shared" ref="T8:T19" ca="1" si="2">IFERROR(IF(SUM(OFFSET(C8,0,0,1,$C$56))=0,"",SUM(OFFSET(C8,0,0,1,$C$56))),"")</f>
        <v>26602765.365791671</v>
      </c>
      <c r="U8" s="7" t="str">
        <f t="shared" ref="U8:U18" ca="1" si="3">IFERROR(T8/T7-1,"")</f>
        <v/>
      </c>
      <c r="AA8" s="43"/>
    </row>
    <row r="9" spans="1:35" x14ac:dyDescent="0.55000000000000004">
      <c r="A9" s="14">
        <v>3</v>
      </c>
      <c r="B9" s="6" t="s">
        <v>17</v>
      </c>
      <c r="C9" s="23">
        <f>Vietnam!C9+'Brazil Robusta'!C9+Indonesia!C9+Uganda!C9+India!C9</f>
        <v>3476185.6252683331</v>
      </c>
      <c r="D9" s="23">
        <f>Vietnam!D9+'Brazil Robusta'!D9+Indonesia!D9+Uganda!D9+India!D9</f>
        <v>3502451.22322</v>
      </c>
      <c r="E9" s="23">
        <f>Vietnam!E9+'Brazil Robusta'!E9+Indonesia!E9+Uganda!E9+India!E9</f>
        <v>4061298.5440833336</v>
      </c>
      <c r="F9" s="23">
        <f>Vietnam!F9+'Brazil Robusta'!F9+Indonesia!F9+Uganda!F9+India!F9</f>
        <v>4388231.4637099998</v>
      </c>
      <c r="G9" s="23">
        <f>Vietnam!G9+'Brazil Robusta'!G9+Indonesia!G9+Uganda!G9+India!G9</f>
        <v>4201439.5815433329</v>
      </c>
      <c r="H9" s="23">
        <f>Vietnam!H9+'Brazil Robusta'!H9+Indonesia!H9+Uganda!H9+India!H9</f>
        <v>4698175.0230350001</v>
      </c>
      <c r="I9" s="23">
        <f>Vietnam!I9+'Brazil Robusta'!I9+Indonesia!I9+Uganda!I9+India!I9</f>
        <v>3820142.0978933335</v>
      </c>
      <c r="J9" s="23">
        <f>Vietnam!J9+'Brazil Robusta'!J9+Indonesia!J9+Uganda!J9+India!J9</f>
        <v>3752379.0209333338</v>
      </c>
      <c r="K9" s="23">
        <f>Vietnam!K9+'Brazil Robusta'!K9+Indonesia!K9+Uganda!K9+India!K9</f>
        <v>3693478.1989666671</v>
      </c>
      <c r="L9" s="23">
        <f>Vietnam!L9+'Brazil Robusta'!L9+Indonesia!L9+Uganda!L9+India!L9</f>
        <v>3614159.9330666666</v>
      </c>
      <c r="M9" s="23">
        <f>Vietnam!M9+'Brazil Robusta'!M9+Indonesia!M9+Uganda!M9+India!M9</f>
        <v>3405030.7992174434</v>
      </c>
      <c r="N9" s="23">
        <f>Vietnam!N9+'Brazil Robusta'!N9+Indonesia!N9+Uganda!N9+India!N9</f>
        <v>2800465.2414499996</v>
      </c>
      <c r="O9" s="6" t="s">
        <v>17</v>
      </c>
      <c r="P9" s="20">
        <f t="shared" si="0"/>
        <v>45413436.752387442</v>
      </c>
      <c r="Q9" s="7">
        <f t="shared" si="1"/>
        <v>-7.8247445900681001E-4</v>
      </c>
      <c r="R9" s="2"/>
      <c r="S9" s="6" t="s">
        <v>17</v>
      </c>
      <c r="T9" s="20">
        <f t="shared" ca="1" si="2"/>
        <v>28147923.558753334</v>
      </c>
      <c r="U9" s="7">
        <f t="shared" ca="1" si="3"/>
        <v>5.8082615536976245E-2</v>
      </c>
    </row>
    <row r="10" spans="1:35" x14ac:dyDescent="0.55000000000000004">
      <c r="A10" s="14">
        <v>4</v>
      </c>
      <c r="B10" s="6" t="s">
        <v>18</v>
      </c>
      <c r="C10" s="23">
        <f>Vietnam!C10+'Brazil Robusta'!C10+Indonesia!C10+Uganda!C10+India!C10</f>
        <v>2782900.5175600005</v>
      </c>
      <c r="D10" s="23">
        <f>Vietnam!D10+'Brazil Robusta'!D10+Indonesia!D10+Uganda!D10+India!D10</f>
        <v>3069813.3246802716</v>
      </c>
      <c r="E10" s="23">
        <f>Vietnam!E10+'Brazil Robusta'!E10+Indonesia!E10+Uganda!E10+India!E10</f>
        <v>3941411.1182750002</v>
      </c>
      <c r="F10" s="23">
        <f>Vietnam!F10+'Brazil Robusta'!F10+Indonesia!F10+Uganda!F10+India!F10</f>
        <v>4629095.3512666663</v>
      </c>
      <c r="G10" s="23">
        <f>Vietnam!G10+'Brazil Robusta'!G10+Indonesia!G10+Uganda!G10+India!G10</f>
        <v>3411026.2109250003</v>
      </c>
      <c r="H10" s="23">
        <f>Vietnam!H10+'Brazil Robusta'!H10+Indonesia!H10+Uganda!H10+India!H10</f>
        <v>4833163.8382416666</v>
      </c>
      <c r="I10" s="23">
        <f>Vietnam!I10+'Brazil Robusta'!I10+Indonesia!I10+Uganda!I10+India!I10</f>
        <v>3814647.2715083333</v>
      </c>
      <c r="J10" s="23">
        <f>Vietnam!J10+'Brazil Robusta'!J10+Indonesia!J10+Uganda!J10+India!J10</f>
        <v>3802792.0758750001</v>
      </c>
      <c r="K10" s="23">
        <f>Vietnam!K10+'Brazil Robusta'!K10+Indonesia!K10+Uganda!K10+India!K10</f>
        <v>3837417.1833500001</v>
      </c>
      <c r="L10" s="23">
        <f>Vietnam!L10+'Brazil Robusta'!L10+Indonesia!L10+Uganda!L10+India!L10</f>
        <v>3567986.035908333</v>
      </c>
      <c r="M10" s="23">
        <f>Vietnam!M10+'Brazil Robusta'!M10+Indonesia!M10+Uganda!M10+India!M10</f>
        <v>3762130.8127166666</v>
      </c>
      <c r="N10" s="23">
        <f>Vietnam!N10+'Brazil Robusta'!N10+Indonesia!N10+Uganda!N10+India!N10</f>
        <v>3389005.5686183334</v>
      </c>
      <c r="O10" s="6" t="s">
        <v>18</v>
      </c>
      <c r="P10" s="20">
        <f t="shared" si="0"/>
        <v>44841389.308925278</v>
      </c>
      <c r="Q10" s="7">
        <f t="shared" si="1"/>
        <v>-1.2596435865032563E-2</v>
      </c>
      <c r="R10" s="2"/>
      <c r="S10" s="6" t="s">
        <v>18</v>
      </c>
      <c r="T10" s="20">
        <f t="shared" ca="1" si="2"/>
        <v>26482057.63245694</v>
      </c>
      <c r="U10" s="7">
        <f t="shared" ca="1" si="3"/>
        <v>-5.9182551168267206E-2</v>
      </c>
    </row>
    <row r="11" spans="1:35" x14ac:dyDescent="0.55000000000000004">
      <c r="A11" s="14">
        <v>5</v>
      </c>
      <c r="B11" s="6" t="s">
        <v>19</v>
      </c>
      <c r="C11" s="23">
        <f>Vietnam!C11+'Brazil Robusta'!C11+Indonesia!C11+Uganda!C11+India!C11</f>
        <v>3750317.2548083337</v>
      </c>
      <c r="D11" s="23">
        <f>Vietnam!D11+'Brazil Robusta'!D11+Indonesia!D11+Uganda!D11+India!D11</f>
        <v>3941179.2088333336</v>
      </c>
      <c r="E11" s="23">
        <f>Vietnam!E11+'Brazil Robusta'!E11+Indonesia!E11+Uganda!E11+India!E11</f>
        <v>3877150.4846933335</v>
      </c>
      <c r="F11" s="23">
        <f>Vietnam!F11+'Brazil Robusta'!F11+Indonesia!F11+Uganda!F11+India!F11</f>
        <v>4876589.2875166666</v>
      </c>
      <c r="G11" s="23">
        <f>Vietnam!G11+'Brazil Robusta'!G11+Indonesia!G11+Uganda!G11+India!G11</f>
        <v>3344709.3204366672</v>
      </c>
      <c r="H11" s="23">
        <f>Vietnam!H11+'Brazil Robusta'!H11+Indonesia!H11+Uganda!H11+India!H11</f>
        <v>4361114.5381633332</v>
      </c>
      <c r="I11" s="23">
        <f>Vietnam!I11+'Brazil Robusta'!I11+Indonesia!I11+Uganda!I11+India!I11</f>
        <v>3687632.9230583338</v>
      </c>
      <c r="J11" s="23">
        <f>Vietnam!J11+'Brazil Robusta'!J11+Indonesia!J11+Uganda!J11+India!J11</f>
        <v>3849278.735321667</v>
      </c>
      <c r="K11" s="23">
        <f>Vietnam!K11+'Brazil Robusta'!K11+Indonesia!K11+Uganda!K11+India!K11</f>
        <v>3764124.3693650002</v>
      </c>
      <c r="L11" s="23">
        <f>Vietnam!L11+'Brazil Robusta'!L11+Indonesia!L11+Uganda!L11+India!L11</f>
        <v>4016844.7812483334</v>
      </c>
      <c r="M11" s="23">
        <f>Vietnam!M11+'Brazil Robusta'!M11+Indonesia!M11+Uganda!M11+India!M11</f>
        <v>3823716.6951099997</v>
      </c>
      <c r="N11" s="23">
        <f>Vietnam!N11+'Brazil Robusta'!N11+Indonesia!N11+Uganda!N11+India!N11</f>
        <v>3363646.2921300004</v>
      </c>
      <c r="O11" s="6" t="s">
        <v>19</v>
      </c>
      <c r="P11" s="20">
        <f t="shared" si="0"/>
        <v>46656303.890685007</v>
      </c>
      <c r="Q11" s="7">
        <f t="shared" si="1"/>
        <v>4.0474093459867078E-2</v>
      </c>
      <c r="R11" s="2"/>
      <c r="S11" s="6" t="s">
        <v>19</v>
      </c>
      <c r="T11" s="20">
        <f t="shared" ca="1" si="2"/>
        <v>27838693.017510004</v>
      </c>
      <c r="U11" s="7">
        <f t="shared" ca="1" si="3"/>
        <v>5.1228473401943919E-2</v>
      </c>
    </row>
    <row r="12" spans="1:35" x14ac:dyDescent="0.55000000000000004">
      <c r="A12" s="14">
        <v>6</v>
      </c>
      <c r="B12" s="6" t="s">
        <v>20</v>
      </c>
      <c r="C12" s="23">
        <f>Vietnam!C12+'Brazil Robusta'!C12+Indonesia!C12+Uganda!C12+India!C12</f>
        <v>3457361.0276733339</v>
      </c>
      <c r="D12" s="23">
        <f>Vietnam!D12+'Brazil Robusta'!D12+Indonesia!D12+Uganda!D12+India!D12</f>
        <v>3663210.0157683338</v>
      </c>
      <c r="E12" s="23">
        <f>Vietnam!E12+'Brazil Robusta'!E12+Indonesia!E12+Uganda!E12+India!E12</f>
        <v>4651296.3335833335</v>
      </c>
      <c r="F12" s="23">
        <f>Vietnam!F12+'Brazil Robusta'!F12+Indonesia!F12+Uganda!F12+India!F12</f>
        <v>3990825.2147766668</v>
      </c>
      <c r="G12" s="23">
        <f>Vietnam!G12+'Brazil Robusta'!G12+Indonesia!G12+Uganda!G12+India!G12</f>
        <v>4653943.3688233346</v>
      </c>
      <c r="H12" s="23">
        <f>Vietnam!H12+'Brazil Robusta'!H12+Indonesia!H12+Uganda!H12+India!H12</f>
        <v>4825638.2182333339</v>
      </c>
      <c r="I12" s="23">
        <f>Vietnam!I12+'Brazil Robusta'!I12+Indonesia!I12+Uganda!I12+India!I12</f>
        <v>4083403.9989999998</v>
      </c>
      <c r="J12" s="23">
        <f>Vietnam!J12+'Brazil Robusta'!J12+Indonesia!J12+Uganda!J12+India!J12</f>
        <v>3541461.0031666672</v>
      </c>
      <c r="K12" s="23">
        <f>Vietnam!K12+'Brazil Robusta'!K12+Indonesia!K12+Uganda!K12+India!K12</f>
        <v>3723286.9267983334</v>
      </c>
      <c r="L12" s="23">
        <f>Vietnam!L12+'Brazil Robusta'!L12+Indonesia!L12+Uganda!L12+India!L12</f>
        <v>3676624.3740250003</v>
      </c>
      <c r="M12" s="23">
        <f>Vietnam!M12+'Brazil Robusta'!M12+Indonesia!M12+Uganda!M12+India!M12</f>
        <v>3534603.7190516666</v>
      </c>
      <c r="N12" s="23">
        <f>Vietnam!N12+'Brazil Robusta'!N12+Indonesia!N12+Uganda!N12+India!N12</f>
        <v>3783031.7311666673</v>
      </c>
      <c r="O12" s="6" t="s">
        <v>20</v>
      </c>
      <c r="P12" s="20">
        <f t="shared" si="0"/>
        <v>47584685.932066672</v>
      </c>
      <c r="Q12" s="7">
        <f t="shared" si="1"/>
        <v>1.9898319497336336E-2</v>
      </c>
      <c r="R12" s="2"/>
      <c r="S12" s="6" t="s">
        <v>20</v>
      </c>
      <c r="T12" s="20">
        <f t="shared" ca="1" si="2"/>
        <v>29325678.17785833</v>
      </c>
      <c r="U12" s="7">
        <f t="shared" ca="1" si="3"/>
        <v>5.3414330888775563E-2</v>
      </c>
    </row>
    <row r="13" spans="1:35" x14ac:dyDescent="0.55000000000000004">
      <c r="A13" s="14">
        <v>7</v>
      </c>
      <c r="B13" s="6" t="s">
        <v>21</v>
      </c>
      <c r="C13" s="23">
        <f>Vietnam!C13+'Brazil Robusta'!C13+Indonesia!C13+Uganda!C13+India!C13</f>
        <v>3421719.757666667</v>
      </c>
      <c r="D13" s="23">
        <f>Vietnam!D13+'Brazil Robusta'!D13+Indonesia!D13+Uganda!D13+India!D13</f>
        <v>3200988.5988333337</v>
      </c>
      <c r="E13" s="23">
        <f>Vietnam!E13+'Brazil Robusta'!E13+Indonesia!E13+Uganda!E13+India!E13</f>
        <v>4382717.5472266665</v>
      </c>
      <c r="F13" s="23">
        <f>Vietnam!F13+'Brazil Robusta'!F13+Indonesia!F13+Uganda!F13+India!F13</f>
        <v>4408665.3817633335</v>
      </c>
      <c r="G13" s="23">
        <f>Vietnam!G13+'Brazil Robusta'!G13+Indonesia!G13+Uganda!G13+India!G13</f>
        <v>3824051.7782583334</v>
      </c>
      <c r="H13" s="23">
        <f>Vietnam!H13+'Brazil Robusta'!H13+Indonesia!H13+Uganda!H13+India!H13</f>
        <v>4831038.3816133337</v>
      </c>
      <c r="I13" s="23">
        <f>Vietnam!I13+'Brazil Robusta'!I13+Indonesia!I13+Uganda!I13+India!I13</f>
        <v>3813300.0974283339</v>
      </c>
      <c r="J13" s="23">
        <f>Vietnam!J13+'Brazil Robusta'!J13+Indonesia!J13+Uganda!J13+India!J13</f>
        <v>3626675.3982016668</v>
      </c>
      <c r="K13" s="23">
        <f>Vietnam!K13+'Brazil Robusta'!K13+Indonesia!K13+Uganda!K13+India!K13</f>
        <v>4045000.3313683337</v>
      </c>
      <c r="L13" s="23">
        <f>Vietnam!L13+'Brazil Robusta'!L13+Indonesia!L13+Uganda!L13+India!L13</f>
        <v>3941977.9925966668</v>
      </c>
      <c r="M13" s="23">
        <f>Vietnam!M13+'Brazil Robusta'!M13+Indonesia!M13+Uganda!M13+India!M13</f>
        <v>3890193.6075750007</v>
      </c>
      <c r="N13" s="23">
        <f>Vietnam!N13+'Brazil Robusta'!N13+Indonesia!N13+Uganda!N13+India!N13</f>
        <v>3811827.8574033333</v>
      </c>
      <c r="O13" s="6" t="s">
        <v>21</v>
      </c>
      <c r="P13" s="20">
        <f t="shared" si="0"/>
        <v>47198156.72993499</v>
      </c>
      <c r="Q13" s="7">
        <f t="shared" si="1"/>
        <v>-8.1229747461925017E-3</v>
      </c>
      <c r="R13" s="2"/>
      <c r="S13" s="6" t="s">
        <v>21</v>
      </c>
      <c r="T13" s="20">
        <f t="shared" ca="1" si="2"/>
        <v>27882481.542789999</v>
      </c>
      <c r="U13" s="7">
        <f t="shared" ca="1" si="3"/>
        <v>-4.921272839166535E-2</v>
      </c>
    </row>
    <row r="14" spans="1:35" x14ac:dyDescent="0.55000000000000004">
      <c r="A14" s="14">
        <v>8</v>
      </c>
      <c r="B14" s="6" t="s">
        <v>22</v>
      </c>
      <c r="C14" s="23">
        <f>Vietnam!C14+'Brazil Robusta'!C14+Indonesia!C14+Uganda!C14+India!C14</f>
        <v>3708176.4163799998</v>
      </c>
      <c r="D14" s="23">
        <f>Vietnam!D14+'Brazil Robusta'!D14+Indonesia!D14+Uganda!D14+India!D14</f>
        <v>3894882.4421783332</v>
      </c>
      <c r="E14" s="23">
        <f>Vietnam!E14+'Brazil Robusta'!E14+Indonesia!E14+Uganda!E14+India!E14</f>
        <v>4929357.7774533331</v>
      </c>
      <c r="F14" s="23">
        <f>Vietnam!F14+'Brazil Robusta'!F14+Indonesia!F14+Uganda!F14+India!F14</f>
        <v>5669074.5573816663</v>
      </c>
      <c r="G14" s="23">
        <f>Vietnam!G14+'Brazil Robusta'!G14+Indonesia!G14+Uganda!G14+India!G14</f>
        <v>3928639.9462833335</v>
      </c>
      <c r="H14" s="23">
        <f>Vietnam!H14+'Brazil Robusta'!H14+Indonesia!H14+Uganda!H14+India!H14</f>
        <v>5141461.7382400008</v>
      </c>
      <c r="I14" s="23">
        <f>Vietnam!I14+'Brazil Robusta'!I14+Indonesia!I14+Uganda!I14+India!I14</f>
        <v>4049526.2771383338</v>
      </c>
      <c r="J14" s="23">
        <f>Vietnam!J14+'Brazil Robusta'!J14+Indonesia!J14+Uganda!J14+India!J14</f>
        <v>3953747.9205200002</v>
      </c>
      <c r="K14" s="23">
        <f>Vietnam!K14+'Brazil Robusta'!K14+Indonesia!K14+Uganda!K14+India!K14</f>
        <v>3916414.5964549999</v>
      </c>
      <c r="L14" s="23">
        <f>Vietnam!L14+'Brazil Robusta'!L14+Indonesia!L14+Uganda!L14+India!L14</f>
        <v>3663053.7914166669</v>
      </c>
      <c r="M14" s="23">
        <f>Vietnam!M14+'Brazil Robusta'!M14+Indonesia!M14+Uganda!M14+India!M14</f>
        <v>3894194.3862266671</v>
      </c>
      <c r="N14" s="23">
        <f>Vietnam!N14+'Brazil Robusta'!N14+Indonesia!N14+Uganda!N14+India!N14</f>
        <v>3495999.3512133337</v>
      </c>
      <c r="O14" s="6" t="s">
        <v>22</v>
      </c>
      <c r="P14" s="20">
        <f t="shared" si="0"/>
        <v>50244529.200886667</v>
      </c>
      <c r="Q14" s="7">
        <f t="shared" si="1"/>
        <v>6.4544310244631697E-2</v>
      </c>
      <c r="R14" s="2"/>
      <c r="S14" s="6" t="s">
        <v>22</v>
      </c>
      <c r="T14" s="20">
        <f t="shared" ca="1" si="2"/>
        <v>31321119.155054998</v>
      </c>
      <c r="U14" s="7">
        <f t="shared" ca="1" si="3"/>
        <v>0.12332609660255223</v>
      </c>
    </row>
    <row r="15" spans="1:35" x14ac:dyDescent="0.55000000000000004">
      <c r="A15" s="14">
        <v>9</v>
      </c>
      <c r="B15" s="6" t="s">
        <v>23</v>
      </c>
      <c r="C15" s="23">
        <f>Vietnam!C15+'Brazil Robusta'!C15+Indonesia!C15+Uganda!C15+India!C15</f>
        <v>3056268.9546166668</v>
      </c>
      <c r="D15" s="23">
        <f>Vietnam!D15+'Brazil Robusta'!D15+Indonesia!D15+Uganda!D15+India!D15</f>
        <v>3931690.7162016672</v>
      </c>
      <c r="E15" s="23">
        <f>Vietnam!E15+'Brazil Robusta'!E15+Indonesia!E15+Uganda!E15+India!E15</f>
        <v>4675877.2207450001</v>
      </c>
      <c r="F15" s="23">
        <f>Vietnam!F15+'Brazil Robusta'!F15+Indonesia!F15+Uganda!F15+India!F15</f>
        <v>4169846.2500639306</v>
      </c>
      <c r="G15" s="23">
        <f>Vietnam!G15+'Brazil Robusta'!G15+Indonesia!G15+Uganda!G15+India!G15</f>
        <v>4244848.9383861534</v>
      </c>
      <c r="H15" s="23">
        <f>Vietnam!H15+'Brazil Robusta'!H15+Indonesia!H15+Uganda!H15+India!H15</f>
        <v>5003551.5155627783</v>
      </c>
      <c r="I15" s="23">
        <f>Vietnam!I15+'Brazil Robusta'!I15+Indonesia!I15+Uganda!I15+India!I15</f>
        <v>4063124.6646461114</v>
      </c>
      <c r="J15" s="23">
        <f>Vietnam!J15+'Brazil Robusta'!J15+Indonesia!J15+Uganda!J15+India!J15</f>
        <v>4073532.2953845276</v>
      </c>
      <c r="K15" s="23">
        <f>Vietnam!K15+'Brazil Robusta'!K15+Indonesia!K15+Uganda!K15+India!K15</f>
        <v>4153189.142687778</v>
      </c>
      <c r="L15" s="23">
        <f>Vietnam!L15+'Brazil Robusta'!L15+Indonesia!L15+Uganda!L15+India!L15</f>
        <v>4031409.0390817472</v>
      </c>
      <c r="M15" s="23">
        <f>Vietnam!M15+'Brazil Robusta'!M15+Indonesia!M15+Uganda!M15+India!M15</f>
        <v>3880807.0940577779</v>
      </c>
      <c r="N15" s="23">
        <f>Vietnam!N15+'Brazil Robusta'!N15+Indonesia!N15+Uganda!N15+India!N15</f>
        <v>2896229.0083461115</v>
      </c>
      <c r="O15" s="6" t="s">
        <v>23</v>
      </c>
      <c r="P15" s="20">
        <f t="shared" si="0"/>
        <v>48180374.839780241</v>
      </c>
      <c r="Q15" s="7">
        <f t="shared" si="1"/>
        <v>-4.1082171411211066E-2</v>
      </c>
      <c r="R15" s="2"/>
      <c r="S15" s="6" t="s">
        <v>23</v>
      </c>
      <c r="T15" s="20">
        <f t="shared" ca="1" si="2"/>
        <v>29145208.260222308</v>
      </c>
      <c r="U15" s="7">
        <f t="shared" ca="1" si="3"/>
        <v>-6.9471045528764708E-2</v>
      </c>
    </row>
    <row r="16" spans="1:35" x14ac:dyDescent="0.55000000000000004">
      <c r="A16" s="14">
        <v>10</v>
      </c>
      <c r="B16" s="6" t="s">
        <v>24</v>
      </c>
      <c r="C16" s="23">
        <f>Vietnam!C16+'Brazil Robusta'!C16+Indonesia!C16+Uganda!C16+India!C16</f>
        <v>2698290.4687283332</v>
      </c>
      <c r="D16" s="23">
        <f>Vietnam!D16+'Brazil Robusta'!D16+Indonesia!D16+Uganda!D16+India!D16</f>
        <v>4067753.1562350239</v>
      </c>
      <c r="E16" s="23">
        <f>Vietnam!E16+'Brazil Robusta'!E16+Indonesia!E16+Uganda!E16+India!E16</f>
        <v>4961612.188103334</v>
      </c>
      <c r="F16" s="23">
        <f>Vietnam!F16+'Brazil Robusta'!F16+Indonesia!F16+Uganda!F16+India!F16</f>
        <v>5436721.0304466663</v>
      </c>
      <c r="G16" s="23">
        <f>Vietnam!G16+'Brazil Robusta'!G16+Indonesia!G16+Uganda!G16+India!G16</f>
        <v>4511533.6665060846</v>
      </c>
      <c r="H16" s="23">
        <f>Vietnam!H16+'Brazil Robusta'!H16+Indonesia!H16+Uganda!H16+India!H16</f>
        <v>5338142.2960216664</v>
      </c>
      <c r="I16" s="23">
        <f>Vietnam!I16+'Brazil Robusta'!I16+Indonesia!I16+Uganda!I16+India!I16</f>
        <v>4304766.7840766665</v>
      </c>
      <c r="J16" s="23">
        <f>Vietnam!J16+'Brazil Robusta'!J16+Indonesia!J16+Uganda!J16+India!J16</f>
        <v>3673592.8918416672</v>
      </c>
      <c r="K16" s="23">
        <f>Vietnam!K16+'Brazil Robusta'!K16+Indonesia!K16+Uganda!K16+India!K16</f>
        <v>3555374.915961667</v>
      </c>
      <c r="L16" s="23">
        <f>Vietnam!L16+'Brazil Robusta'!L16+Indonesia!L16+Uganda!L16+India!L16</f>
        <v>4099836.8430250003</v>
      </c>
      <c r="M16" s="23">
        <f>Vietnam!M16+'Brazil Robusta'!M16+Indonesia!M16+Uganda!M16+India!M16</f>
        <v>4090245.1045383336</v>
      </c>
      <c r="N16" s="23">
        <f>Vietnam!N16+'Brazil Robusta'!N16+Indonesia!N16+Uganda!N16+India!N16</f>
        <v>3304463.3223516671</v>
      </c>
      <c r="O16" s="6" t="s">
        <v>24</v>
      </c>
      <c r="P16" s="20">
        <f t="shared" si="0"/>
        <v>50042332.667836107</v>
      </c>
      <c r="Q16" s="7">
        <f t="shared" si="1"/>
        <v>3.8645565424670236E-2</v>
      </c>
      <c r="R16" s="2"/>
      <c r="S16" s="6" t="s">
        <v>24</v>
      </c>
      <c r="T16" s="20">
        <f t="shared" ca="1" si="2"/>
        <v>31318819.590117775</v>
      </c>
      <c r="U16" s="7">
        <f t="shared" ca="1" si="3"/>
        <v>7.4578685816496071E-2</v>
      </c>
    </row>
    <row r="17" spans="1:21" x14ac:dyDescent="0.55000000000000004">
      <c r="A17" s="14">
        <v>11</v>
      </c>
      <c r="B17" s="6" t="s">
        <v>25</v>
      </c>
      <c r="C17" s="23">
        <f>Vietnam!C17+'Brazil Robusta'!C17+Indonesia!C17+Uganda!C17+India!C17</f>
        <v>3273026.8469266668</v>
      </c>
      <c r="D17" s="23">
        <f>Vietnam!D17+'Brazil Robusta'!D17+Indonesia!D17+Uganda!D17+India!D17</f>
        <v>2958672.3951533334</v>
      </c>
      <c r="E17" s="23">
        <f>Vietnam!E17+'Brazil Robusta'!E17+Indonesia!E17+Uganda!E17+India!E17</f>
        <v>4089182.90992</v>
      </c>
      <c r="F17" s="23">
        <f>Vietnam!F17+'Brazil Robusta'!F17+Indonesia!F17+Uganda!F17+India!F17</f>
        <v>3973829.8068833337</v>
      </c>
      <c r="G17" s="23">
        <f>Vietnam!G17+'Brazil Robusta'!G17+Indonesia!G17+Uganda!G17+India!G17</f>
        <v>4637063.5376549996</v>
      </c>
      <c r="H17" s="23">
        <f>Vietnam!H17+'Brazil Robusta'!H17+Indonesia!H17+Uganda!H17+India!H17</f>
        <v>5012012.4498699997</v>
      </c>
      <c r="I17" s="23">
        <f>Vietnam!I17+'Brazil Robusta'!I17+Indonesia!I17+Uganda!I17+India!I17</f>
        <v>4529535.009438334</v>
      </c>
      <c r="J17" s="23">
        <f>Vietnam!J17+'Brazil Robusta'!J17+Indonesia!J17+Uganda!J17+India!J17</f>
        <v>4559051.7436766662</v>
      </c>
      <c r="K17" s="23">
        <f>Vietnam!K17+'Brazil Robusta'!K17+Indonesia!K17+Uganda!K17+India!K17</f>
        <v>4633017.099508334</v>
      </c>
      <c r="L17" s="23">
        <f>Vietnam!L17+'Brazil Robusta'!L17+Indonesia!L17+Uganda!L17+India!L17</f>
        <v>4365278.7180266669</v>
      </c>
      <c r="M17" s="23">
        <f>Vietnam!M17+'Brazil Robusta'!M17+Indonesia!M17+Uganda!M17+India!M17</f>
        <v>4264623.2769983336</v>
      </c>
      <c r="N17" s="23">
        <f>Vietnam!N17+'Brazil Robusta'!N17+Indonesia!N17+Uganda!N17+India!N17</f>
        <v>4094425.9329233333</v>
      </c>
      <c r="O17" s="6" t="s">
        <v>25</v>
      </c>
      <c r="P17" s="5">
        <f t="shared" si="0"/>
        <v>50389719.726980001</v>
      </c>
      <c r="Q17" s="7"/>
      <c r="R17" s="2"/>
      <c r="S17" s="6" t="s">
        <v>25</v>
      </c>
      <c r="T17" s="20">
        <f t="shared" ca="1" si="2"/>
        <v>28473322.955846667</v>
      </c>
      <c r="U17" s="7">
        <f t="shared" ca="1" si="3"/>
        <v>-9.0855807195522997E-2</v>
      </c>
    </row>
    <row r="18" spans="1:21" x14ac:dyDescent="0.55000000000000004">
      <c r="A18" s="14">
        <v>12</v>
      </c>
      <c r="B18" s="6" t="s">
        <v>26</v>
      </c>
      <c r="C18" s="23">
        <f>Vietnam!C18+'Brazil Robusta'!C18+Indonesia!C18+Uganda!C18+India!C18</f>
        <v>3526408.6207849998</v>
      </c>
      <c r="D18" s="23">
        <f>Vietnam!D18+'Brazil Robusta'!D18+Indonesia!D18+Uganda!D18+India!D18</f>
        <v>3485831.5618150001</v>
      </c>
      <c r="E18" s="23">
        <f>Vietnam!E18+'Brazil Robusta'!E18+Indonesia!E18+Uganda!E18+India!E18</f>
        <v>4769334.0711316671</v>
      </c>
      <c r="F18" s="23">
        <f>Vietnam!F18+'Brazil Robusta'!F18+Indonesia!F18+Uganda!F18+India!F18</f>
        <v>5209729</v>
      </c>
      <c r="G18" s="23">
        <f>Vietnam!G18+'Brazil Robusta'!G18+Indonesia!G18+Uganda!G18+India!G18</f>
        <v>4176271.3333333335</v>
      </c>
      <c r="H18" s="23">
        <f>Vietnam!H18+'Brazil Robusta'!H18+Indonesia!H18+Uganda!H18+India!H18</f>
        <v>4966608</v>
      </c>
      <c r="I18" s="23">
        <f>Vietnam!I18+'Brazil Robusta'!I18+Indonesia!I18+Uganda!I18+India!I18</f>
        <v>5203956.666666667</v>
      </c>
      <c r="J18" s="23" t="e">
        <f>Vietnam!J18+'Brazil Robusta'!J18+Indonesia!J18+Uganda!J18+India!J18</f>
        <v>#N/A</v>
      </c>
      <c r="K18" s="23" t="e">
        <f>Vietnam!K18+'Brazil Robusta'!K18+Indonesia!K18+Uganda!K18+India!K18</f>
        <v>#N/A</v>
      </c>
      <c r="L18" s="23" t="e">
        <f>Vietnam!L18+'Brazil Robusta'!L18+Indonesia!L18+Uganda!L18+India!L18</f>
        <v>#N/A</v>
      </c>
      <c r="M18" s="23" t="e">
        <f>Vietnam!M18+'Brazil Robusta'!M18+Indonesia!M18+Uganda!M18+India!M18</f>
        <v>#N/A</v>
      </c>
      <c r="N18" s="23" t="e">
        <f>Vietnam!N18+'Brazil Robusta'!N18+Indonesia!N18+Uganda!N18+India!N18</f>
        <v>#N/A</v>
      </c>
      <c r="O18" s="6" t="s">
        <v>26</v>
      </c>
      <c r="P18" s="5" t="str">
        <f t="shared" si="0"/>
        <v/>
      </c>
      <c r="Q18" s="7"/>
      <c r="R18" s="2"/>
      <c r="S18" s="6" t="s">
        <v>26</v>
      </c>
      <c r="T18" s="20">
        <f t="shared" ca="1" si="2"/>
        <v>31338139.253731668</v>
      </c>
      <c r="U18" s="7">
        <f t="shared" ca="1" si="3"/>
        <v>0.10061404853685141</v>
      </c>
    </row>
    <row r="19" spans="1:21" x14ac:dyDescent="0.55000000000000004">
      <c r="A19" s="14">
        <v>13</v>
      </c>
      <c r="B19" s="6" t="s">
        <v>27</v>
      </c>
      <c r="C19" s="23" t="e">
        <f>Vietnam!C19+'Brazil Robusta'!C19+Indonesia!C19+Uganda!C19+India!C19</f>
        <v>#N/A</v>
      </c>
      <c r="D19" s="23" t="e">
        <f>Vietnam!D19+'Brazil Robusta'!D19+Indonesia!D19+Uganda!D19+India!D19</f>
        <v>#N/A</v>
      </c>
      <c r="E19" s="23" t="e">
        <f>Vietnam!E19+'Brazil Robusta'!E19+Indonesia!E19+Uganda!E19+India!E19</f>
        <v>#N/A</v>
      </c>
      <c r="F19" s="23" t="e">
        <f>Vietnam!F19+'Brazil Robusta'!F19+Indonesia!F19+Uganda!F19+India!F19</f>
        <v>#N/A</v>
      </c>
      <c r="G19" s="23" t="e">
        <f>Vietnam!G19+'Brazil Robusta'!G19+Indonesia!G19+Uganda!G19+India!G19</f>
        <v>#N/A</v>
      </c>
      <c r="H19" s="23" t="e">
        <f>Vietnam!H19+'Brazil Robusta'!H19+Indonesia!H19+Uganda!H19+India!H19</f>
        <v>#N/A</v>
      </c>
      <c r="I19" s="23" t="e">
        <f>Vietnam!I19+'Brazil Robusta'!I19+Indonesia!I19+Uganda!I19+India!I19</f>
        <v>#N/A</v>
      </c>
      <c r="J19" s="23" t="e">
        <f>Vietnam!J19+'Brazil Robusta'!J19+Indonesia!J19+Uganda!J19+India!J19</f>
        <v>#N/A</v>
      </c>
      <c r="K19" s="23" t="e">
        <f>Vietnam!K19+'Brazil Robusta'!K19+Indonesia!K19+Uganda!K19+India!K19</f>
        <v>#N/A</v>
      </c>
      <c r="L19" s="23" t="e">
        <f>Vietnam!L19+'Brazil Robusta'!L19+Indonesia!L19+Uganda!L19+India!L19</f>
        <v>#N/A</v>
      </c>
      <c r="M19" s="23" t="e">
        <f>Vietnam!M19+'Brazil Robusta'!M19+Indonesia!M19+Uganda!M19+India!M19</f>
        <v>#N/A</v>
      </c>
      <c r="N19" s="23" t="e">
        <f>Vietnam!N19+'Brazil Robusta'!N19+Indonesia!N19+Uganda!N19+India!N19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t="shared" ca="1" si="2"/>
        <v/>
      </c>
      <c r="U19" s="7"/>
    </row>
    <row r="20" spans="1:21" x14ac:dyDescent="0.55000000000000004">
      <c r="B20" s="8" t="s">
        <v>28</v>
      </c>
      <c r="C20" s="22">
        <f>IFERROR(C18/C17-1,"")</f>
        <v>7.7415122364870248E-2</v>
      </c>
      <c r="D20" s="22">
        <f t="shared" ref="D20:N20" si="4">IFERROR(D18/D17-1,"")</f>
        <v>0.17817422690163931</v>
      </c>
      <c r="E20" s="22">
        <f t="shared" si="4"/>
        <v>0.16632935630286427</v>
      </c>
      <c r="F20" s="22">
        <f t="shared" si="4"/>
        <v>0.31100959356031899</v>
      </c>
      <c r="G20" s="22">
        <f t="shared" si="4"/>
        <v>-9.9371552832914656E-2</v>
      </c>
      <c r="H20" s="22">
        <f t="shared" si="4"/>
        <v>-9.059125515775035E-3</v>
      </c>
      <c r="I20" s="22">
        <f t="shared" si="4"/>
        <v>0.1488942365657886</v>
      </c>
      <c r="J20" s="22" t="str">
        <f t="shared" si="4"/>
        <v/>
      </c>
      <c r="K20" s="22" t="str">
        <f t="shared" si="4"/>
        <v/>
      </c>
      <c r="L20" s="22" t="str">
        <f t="shared" si="4"/>
        <v/>
      </c>
      <c r="M20" s="22" t="str">
        <f t="shared" si="4"/>
        <v/>
      </c>
      <c r="N20" s="22" t="str">
        <f t="shared" si="4"/>
        <v/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Super 5 : Robusta Exports | YTD : Oct-Apr</v>
      </c>
      <c r="Q27" s="13" t="str">
        <f>_xlfn.CONCAT(A1," | ","Cumulative")</f>
        <v>Super 5 : Robusta Exports | Cumulative</v>
      </c>
    </row>
    <row r="56" spans="2:6" x14ac:dyDescent="0.55000000000000004">
      <c r="B56" s="9" t="s">
        <v>29</v>
      </c>
      <c r="C56" s="9">
        <f>COUNT(C18:N18)</f>
        <v>7</v>
      </c>
      <c r="D56" s="25" t="str">
        <f ca="1">OFFSET(B6,0,$C$56,1,1)</f>
        <v>Apr</v>
      </c>
      <c r="E56" s="11" t="str">
        <f>B18</f>
        <v>25/26</v>
      </c>
      <c r="F56" s="11" t="str">
        <f ca="1">_xlfn.CONCAT(D56,"'",E56)</f>
        <v>Apr'25/26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3526408.6207849998</v>
      </c>
      <c r="C66" s="12">
        <f t="shared" ref="C66:M66" si="5">D18</f>
        <v>3485831.5618150001</v>
      </c>
      <c r="D66" s="12">
        <f t="shared" si="5"/>
        <v>4769334.0711316671</v>
      </c>
      <c r="E66" s="12">
        <f t="shared" si="5"/>
        <v>5209729</v>
      </c>
      <c r="F66" s="12">
        <f t="shared" si="5"/>
        <v>4176271.3333333335</v>
      </c>
      <c r="G66" s="12">
        <f t="shared" si="5"/>
        <v>4966608</v>
      </c>
      <c r="H66" s="12">
        <f t="shared" si="5"/>
        <v>5203956.666666667</v>
      </c>
      <c r="I66" s="12" t="e">
        <f t="shared" si="5"/>
        <v>#N/A</v>
      </c>
      <c r="J66" s="12" t="e">
        <f t="shared" si="5"/>
        <v>#N/A</v>
      </c>
      <c r="K66" s="12" t="e">
        <f t="shared" si="5"/>
        <v>#N/A</v>
      </c>
      <c r="L66" s="12" t="e">
        <f t="shared" si="5"/>
        <v>#N/A</v>
      </c>
      <c r="M66" s="12" t="e">
        <f t="shared" si="5"/>
        <v>#N/A</v>
      </c>
    </row>
    <row r="67" spans="1:25" x14ac:dyDescent="0.55000000000000004">
      <c r="A67" s="11" t="s">
        <v>30</v>
      </c>
      <c r="B67" s="12" t="e">
        <f>MIN(C7:C17)</f>
        <v>#N/A</v>
      </c>
      <c r="C67" s="12" t="e">
        <f t="shared" ref="C67:M67" si="6">MIN(D7:D17)</f>
        <v>#N/A</v>
      </c>
      <c r="D67" s="12" t="e">
        <f t="shared" si="6"/>
        <v>#N/A</v>
      </c>
      <c r="E67" s="12" t="e">
        <f t="shared" si="6"/>
        <v>#N/A</v>
      </c>
      <c r="F67" s="12" t="e">
        <f t="shared" si="6"/>
        <v>#N/A</v>
      </c>
      <c r="G67" s="12" t="e">
        <f t="shared" si="6"/>
        <v>#N/A</v>
      </c>
      <c r="H67" s="12" t="e">
        <f t="shared" si="6"/>
        <v>#N/A</v>
      </c>
      <c r="I67" s="12" t="e">
        <f t="shared" si="6"/>
        <v>#N/A</v>
      </c>
      <c r="J67" s="12" t="e">
        <f t="shared" si="6"/>
        <v>#N/A</v>
      </c>
      <c r="K67" s="12" t="e">
        <f t="shared" si="6"/>
        <v>#N/A</v>
      </c>
      <c r="L67" s="12" t="e">
        <f t="shared" si="6"/>
        <v>#N/A</v>
      </c>
      <c r="M67" s="12" t="e">
        <f t="shared" si="6"/>
        <v>#N/A</v>
      </c>
      <c r="N67" s="12"/>
    </row>
    <row r="68" spans="1:25" x14ac:dyDescent="0.55000000000000004">
      <c r="A68" s="11" t="s">
        <v>31</v>
      </c>
      <c r="B68" s="12" t="e">
        <f>MAX(C7:C17)</f>
        <v>#N/A</v>
      </c>
      <c r="C68" s="12" t="e">
        <f t="shared" ref="C68:M68" si="7">MAX(D7:D17)</f>
        <v>#N/A</v>
      </c>
      <c r="D68" s="12" t="e">
        <f t="shared" si="7"/>
        <v>#N/A</v>
      </c>
      <c r="E68" s="12" t="e">
        <f t="shared" si="7"/>
        <v>#N/A</v>
      </c>
      <c r="F68" s="12" t="e">
        <f t="shared" si="7"/>
        <v>#N/A</v>
      </c>
      <c r="G68" s="12" t="e">
        <f t="shared" si="7"/>
        <v>#N/A</v>
      </c>
      <c r="H68" s="12" t="e">
        <f t="shared" si="7"/>
        <v>#N/A</v>
      </c>
      <c r="I68" s="12" t="e">
        <f t="shared" si="7"/>
        <v>#N/A</v>
      </c>
      <c r="J68" s="12" t="e">
        <f t="shared" si="7"/>
        <v>#N/A</v>
      </c>
      <c r="K68" s="12" t="e">
        <f t="shared" si="7"/>
        <v>#N/A</v>
      </c>
      <c r="L68" s="12" t="e">
        <f t="shared" si="7"/>
        <v>#N/A</v>
      </c>
      <c r="M68" s="12" t="e">
        <f t="shared" si="7"/>
        <v>#N/A</v>
      </c>
      <c r="N68" s="12"/>
    </row>
    <row r="69" spans="1:25" x14ac:dyDescent="0.55000000000000004">
      <c r="A69" s="11" t="s">
        <v>32</v>
      </c>
      <c r="B69" s="12">
        <f>AVERAGE(C12:C17)</f>
        <v>3269140.5786652784</v>
      </c>
      <c r="C69" s="12">
        <f t="shared" ref="C69:M69" si="8">AVERAGE(D12:D17)</f>
        <v>3619532.8873950038</v>
      </c>
      <c r="D69" s="12">
        <f t="shared" si="8"/>
        <v>4615007.3295052778</v>
      </c>
      <c r="E69" s="12">
        <f t="shared" si="8"/>
        <v>4608160.3735525999</v>
      </c>
      <c r="F69" s="12">
        <f t="shared" si="8"/>
        <v>4300013.5393187059</v>
      </c>
      <c r="G69" s="12">
        <f t="shared" si="8"/>
        <v>5025307.4332568524</v>
      </c>
      <c r="H69" s="12">
        <f t="shared" si="8"/>
        <v>4140609.4719546302</v>
      </c>
      <c r="I69" s="12">
        <f t="shared" si="8"/>
        <v>3904676.8754651994</v>
      </c>
      <c r="J69" s="12">
        <f t="shared" si="8"/>
        <v>4004380.5021299082</v>
      </c>
      <c r="K69" s="12">
        <f t="shared" si="8"/>
        <v>3963030.1263619582</v>
      </c>
      <c r="L69" s="12">
        <f t="shared" si="8"/>
        <v>3925777.864741297</v>
      </c>
      <c r="M69" s="12">
        <f t="shared" si="8"/>
        <v>3564329.533900741</v>
      </c>
      <c r="N69" s="12"/>
    </row>
    <row r="74" spans="1:25" x14ac:dyDescent="0.55000000000000004">
      <c r="B74" s="11">
        <v>1</v>
      </c>
      <c r="C74" s="11">
        <v>1</v>
      </c>
      <c r="D74" s="12" t="e">
        <f>INDEX($C$7:$N$19,MATCH(B74,$A$7:$A$19),MATCH(C74,$C$4:$N$4))</f>
        <v>#N/A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 t="e">
        <f t="shared" ref="D75:D138" si="9">INDEX($C$7:$N$19,MATCH(B75,$A$7:$A$19),MATCH(C75,$C$4:$N$4))</f>
        <v>#N/A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 t="e">
        <f t="shared" si="9"/>
        <v>#N/A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 t="e">
        <f>C7</f>
        <v>#N/A</v>
      </c>
      <c r="O76" s="5" t="e">
        <f t="shared" ref="O76:O88" si="13">N76+D7</f>
        <v>#N/A</v>
      </c>
      <c r="P76" s="5" t="e">
        <f t="shared" ref="P76:P88" si="14">O76+E7</f>
        <v>#N/A</v>
      </c>
      <c r="Q76" s="5" t="e">
        <f t="shared" ref="Q76:Q88" si="15">P76+F7</f>
        <v>#N/A</v>
      </c>
      <c r="R76" s="5" t="e">
        <f t="shared" ref="R76:R88" si="16">Q76+G7</f>
        <v>#N/A</v>
      </c>
      <c r="S76" s="5" t="e">
        <f t="shared" ref="S76:S88" si="17">R76+H7</f>
        <v>#N/A</v>
      </c>
      <c r="T76" s="5" t="e">
        <f t="shared" ref="T76:T88" si="18">S76+I7</f>
        <v>#N/A</v>
      </c>
      <c r="U76" s="5" t="e">
        <f t="shared" ref="U76:U88" si="19">T76+J7</f>
        <v>#N/A</v>
      </c>
      <c r="V76" s="5" t="e">
        <f t="shared" ref="V76:V88" si="20">U76+K7</f>
        <v>#N/A</v>
      </c>
      <c r="W76" s="5" t="e">
        <f t="shared" ref="W76:W88" si="21">V76+L7</f>
        <v>#N/A</v>
      </c>
      <c r="X76" s="5" t="e">
        <f t="shared" ref="X76:X88" si="22">W76+M7</f>
        <v>#N/A</v>
      </c>
      <c r="Y76" s="5" t="e">
        <f t="shared" ref="Y76:Y88" si="23">X76+N7</f>
        <v>#N/A</v>
      </c>
    </row>
    <row r="77" spans="1:25" x14ac:dyDescent="0.55000000000000004">
      <c r="B77" s="11">
        <v>1</v>
      </c>
      <c r="C77" s="11">
        <v>4</v>
      </c>
      <c r="D77" s="12" t="e">
        <f t="shared" si="9"/>
        <v>#N/A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24">C8</f>
        <v>3142922.9671666669</v>
      </c>
      <c r="O77" s="5">
        <f t="shared" si="13"/>
        <v>6318079.1301666666</v>
      </c>
      <c r="P77" s="5">
        <f t="shared" si="14"/>
        <v>10209086.510913333</v>
      </c>
      <c r="Q77" s="5">
        <f t="shared" si="15"/>
        <v>14529186.874213334</v>
      </c>
      <c r="R77" s="5">
        <f t="shared" si="16"/>
        <v>17899326.912033334</v>
      </c>
      <c r="S77" s="5">
        <f t="shared" si="17"/>
        <v>22194380.391765002</v>
      </c>
      <c r="T77" s="5">
        <f t="shared" si="18"/>
        <v>26602765.365791671</v>
      </c>
      <c r="U77" s="5">
        <f t="shared" si="19"/>
        <v>30477840.503513336</v>
      </c>
      <c r="V77" s="5">
        <f t="shared" si="20"/>
        <v>34302792.553093337</v>
      </c>
      <c r="W77" s="5">
        <f t="shared" si="21"/>
        <v>37868318.962735005</v>
      </c>
      <c r="X77" s="5">
        <f t="shared" si="22"/>
        <v>41903898.021808341</v>
      </c>
      <c r="Y77" s="5">
        <f t="shared" si="23"/>
        <v>45448999.433631673</v>
      </c>
    </row>
    <row r="78" spans="1:25" x14ac:dyDescent="0.55000000000000004">
      <c r="B78" s="11">
        <v>1</v>
      </c>
      <c r="C78" s="11">
        <v>5</v>
      </c>
      <c r="D78" s="12" t="e">
        <f t="shared" si="9"/>
        <v>#N/A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24"/>
        <v>3476185.6252683331</v>
      </c>
      <c r="O78" s="5">
        <f t="shared" si="13"/>
        <v>6978636.8484883327</v>
      </c>
      <c r="P78" s="5">
        <f t="shared" si="14"/>
        <v>11039935.392571665</v>
      </c>
      <c r="Q78" s="5">
        <f t="shared" si="15"/>
        <v>15428166.856281664</v>
      </c>
      <c r="R78" s="5">
        <f t="shared" si="16"/>
        <v>19629606.437824998</v>
      </c>
      <c r="S78" s="5">
        <f t="shared" si="17"/>
        <v>24327781.460859999</v>
      </c>
      <c r="T78" s="5">
        <f t="shared" si="18"/>
        <v>28147923.558753334</v>
      </c>
      <c r="U78" s="5">
        <f t="shared" si="19"/>
        <v>31900302.579686668</v>
      </c>
      <c r="V78" s="5">
        <f t="shared" si="20"/>
        <v>35593780.778653339</v>
      </c>
      <c r="W78" s="5">
        <f t="shared" si="21"/>
        <v>39207940.711720005</v>
      </c>
      <c r="X78" s="5">
        <f t="shared" si="22"/>
        <v>42612971.510937445</v>
      </c>
      <c r="Y78" s="5">
        <f t="shared" si="23"/>
        <v>45413436.752387442</v>
      </c>
    </row>
    <row r="79" spans="1:25" x14ac:dyDescent="0.55000000000000004">
      <c r="B79" s="11">
        <v>1</v>
      </c>
      <c r="C79" s="11">
        <v>6</v>
      </c>
      <c r="D79" s="12" t="e">
        <f t="shared" si="9"/>
        <v>#N/A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24"/>
        <v>2782900.5175600005</v>
      </c>
      <c r="O79" s="5">
        <f t="shared" si="13"/>
        <v>5852713.8422402721</v>
      </c>
      <c r="P79" s="5">
        <f t="shared" si="14"/>
        <v>9794124.9605152719</v>
      </c>
      <c r="Q79" s="5">
        <f t="shared" si="15"/>
        <v>14423220.311781939</v>
      </c>
      <c r="R79" s="5">
        <f t="shared" si="16"/>
        <v>17834246.522706941</v>
      </c>
      <c r="S79" s="5">
        <f t="shared" si="17"/>
        <v>22667410.360948607</v>
      </c>
      <c r="T79" s="5">
        <f t="shared" si="18"/>
        <v>26482057.63245694</v>
      </c>
      <c r="U79" s="5">
        <f t="shared" si="19"/>
        <v>30284849.708331939</v>
      </c>
      <c r="V79" s="5">
        <f t="shared" si="20"/>
        <v>34122266.891681939</v>
      </c>
      <c r="W79" s="5">
        <f t="shared" si="21"/>
        <v>37690252.927590273</v>
      </c>
      <c r="X79" s="5">
        <f t="shared" si="22"/>
        <v>41452383.740306944</v>
      </c>
      <c r="Y79" s="5">
        <f t="shared" si="23"/>
        <v>44841389.308925278</v>
      </c>
    </row>
    <row r="80" spans="1:25" x14ac:dyDescent="0.55000000000000004">
      <c r="B80" s="11">
        <v>1</v>
      </c>
      <c r="C80" s="11">
        <v>7</v>
      </c>
      <c r="D80" s="12" t="e">
        <f t="shared" si="9"/>
        <v>#N/A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24"/>
        <v>3750317.2548083337</v>
      </c>
      <c r="O80" s="5">
        <f t="shared" si="13"/>
        <v>7691496.4636416677</v>
      </c>
      <c r="P80" s="5">
        <f t="shared" si="14"/>
        <v>11568646.948335001</v>
      </c>
      <c r="Q80" s="5">
        <f t="shared" si="15"/>
        <v>16445236.235851668</v>
      </c>
      <c r="R80" s="5">
        <f t="shared" si="16"/>
        <v>19789945.556288335</v>
      </c>
      <c r="S80" s="5">
        <f t="shared" si="17"/>
        <v>24151060.09445167</v>
      </c>
      <c r="T80" s="5">
        <f t="shared" si="18"/>
        <v>27838693.017510004</v>
      </c>
      <c r="U80" s="5">
        <f t="shared" si="19"/>
        <v>31687971.752831671</v>
      </c>
      <c r="V80" s="5">
        <f t="shared" si="20"/>
        <v>35452096.122196674</v>
      </c>
      <c r="W80" s="5">
        <f t="shared" si="21"/>
        <v>39468940.903445005</v>
      </c>
      <c r="X80" s="5">
        <f t="shared" si="22"/>
        <v>43292657.598555006</v>
      </c>
      <c r="Y80" s="5">
        <f t="shared" si="23"/>
        <v>46656303.890685007</v>
      </c>
    </row>
    <row r="81" spans="2:25" x14ac:dyDescent="0.55000000000000004">
      <c r="B81" s="11">
        <v>1</v>
      </c>
      <c r="C81" s="11">
        <v>8</v>
      </c>
      <c r="D81" s="12" t="e">
        <f t="shared" si="9"/>
        <v>#N/A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24"/>
        <v>3457361.0276733339</v>
      </c>
      <c r="O81" s="5">
        <f t="shared" si="13"/>
        <v>7120571.0434416682</v>
      </c>
      <c r="P81" s="5">
        <f t="shared" si="14"/>
        <v>11771867.377025001</v>
      </c>
      <c r="Q81" s="5">
        <f t="shared" si="15"/>
        <v>15762692.591801668</v>
      </c>
      <c r="R81" s="5">
        <f t="shared" si="16"/>
        <v>20416635.960625</v>
      </c>
      <c r="S81" s="5">
        <f t="shared" si="17"/>
        <v>25242274.178858332</v>
      </c>
      <c r="T81" s="5">
        <f t="shared" si="18"/>
        <v>29325678.17785833</v>
      </c>
      <c r="U81" s="5">
        <f t="shared" si="19"/>
        <v>32867139.181024998</v>
      </c>
      <c r="V81" s="5">
        <f t="shared" si="20"/>
        <v>36590426.107823335</v>
      </c>
      <c r="W81" s="5">
        <f t="shared" si="21"/>
        <v>40267050.481848337</v>
      </c>
      <c r="X81" s="5">
        <f t="shared" si="22"/>
        <v>43801654.200900003</v>
      </c>
      <c r="Y81" s="5">
        <f t="shared" si="23"/>
        <v>47584685.932066672</v>
      </c>
    </row>
    <row r="82" spans="2:25" x14ac:dyDescent="0.55000000000000004">
      <c r="B82" s="11">
        <v>1</v>
      </c>
      <c r="C82" s="11">
        <v>9</v>
      </c>
      <c r="D82" s="12" t="e">
        <f t="shared" si="9"/>
        <v>#N/A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24"/>
        <v>3421719.757666667</v>
      </c>
      <c r="O82" s="5">
        <f t="shared" si="13"/>
        <v>6622708.3565000007</v>
      </c>
      <c r="P82" s="5">
        <f t="shared" si="14"/>
        <v>11005425.903726667</v>
      </c>
      <c r="Q82" s="5">
        <f t="shared" si="15"/>
        <v>15414091.285490001</v>
      </c>
      <c r="R82" s="5">
        <f t="shared" si="16"/>
        <v>19238143.063748334</v>
      </c>
      <c r="S82" s="5">
        <f t="shared" si="17"/>
        <v>24069181.445361666</v>
      </c>
      <c r="T82" s="5">
        <f t="shared" si="18"/>
        <v>27882481.542789999</v>
      </c>
      <c r="U82" s="5">
        <f t="shared" si="19"/>
        <v>31509156.940991666</v>
      </c>
      <c r="V82" s="5">
        <f t="shared" si="20"/>
        <v>35554157.272359997</v>
      </c>
      <c r="W82" s="5">
        <f t="shared" si="21"/>
        <v>39496135.264956661</v>
      </c>
      <c r="X82" s="5">
        <f t="shared" si="22"/>
        <v>43386328.87253166</v>
      </c>
      <c r="Y82" s="5">
        <f t="shared" si="23"/>
        <v>47198156.72993499</v>
      </c>
    </row>
    <row r="83" spans="2:25" x14ac:dyDescent="0.55000000000000004">
      <c r="B83" s="11">
        <v>1</v>
      </c>
      <c r="C83" s="11">
        <v>10</v>
      </c>
      <c r="D83" s="12" t="e">
        <f t="shared" si="9"/>
        <v>#N/A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24"/>
        <v>3708176.4163799998</v>
      </c>
      <c r="O83" s="5">
        <f t="shared" si="13"/>
        <v>7603058.8585583325</v>
      </c>
      <c r="P83" s="5">
        <f t="shared" si="14"/>
        <v>12532416.636011666</v>
      </c>
      <c r="Q83" s="5">
        <f t="shared" si="15"/>
        <v>18201491.193393331</v>
      </c>
      <c r="R83" s="5">
        <f t="shared" si="16"/>
        <v>22130131.139676664</v>
      </c>
      <c r="S83" s="5">
        <f t="shared" si="17"/>
        <v>27271592.877916664</v>
      </c>
      <c r="T83" s="5">
        <f t="shared" si="18"/>
        <v>31321119.155054998</v>
      </c>
      <c r="U83" s="5">
        <f t="shared" si="19"/>
        <v>35274867.075574994</v>
      </c>
      <c r="V83" s="5">
        <f t="shared" si="20"/>
        <v>39191281.672029994</v>
      </c>
      <c r="W83" s="5">
        <f t="shared" si="21"/>
        <v>42854335.463446662</v>
      </c>
      <c r="X83" s="5">
        <f t="shared" si="22"/>
        <v>46748529.849673331</v>
      </c>
      <c r="Y83" s="5">
        <f t="shared" si="23"/>
        <v>50244529.200886667</v>
      </c>
    </row>
    <row r="84" spans="2:25" x14ac:dyDescent="0.55000000000000004">
      <c r="B84" s="11">
        <v>1</v>
      </c>
      <c r="C84" s="11">
        <v>11</v>
      </c>
      <c r="D84" s="12" t="e">
        <f t="shared" si="9"/>
        <v>#N/A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24"/>
        <v>3056268.9546166668</v>
      </c>
      <c r="O84" s="5">
        <f t="shared" si="13"/>
        <v>6987959.6708183344</v>
      </c>
      <c r="P84" s="5">
        <f t="shared" si="14"/>
        <v>11663836.891563334</v>
      </c>
      <c r="Q84" s="5">
        <f t="shared" si="15"/>
        <v>15833683.141627263</v>
      </c>
      <c r="R84" s="5">
        <f t="shared" si="16"/>
        <v>20078532.080013417</v>
      </c>
      <c r="S84" s="5">
        <f t="shared" si="17"/>
        <v>25082083.595576197</v>
      </c>
      <c r="T84" s="5">
        <f t="shared" si="18"/>
        <v>29145208.260222308</v>
      </c>
      <c r="U84" s="5">
        <f t="shared" si="19"/>
        <v>33218740.555606835</v>
      </c>
      <c r="V84" s="5">
        <f t="shared" si="20"/>
        <v>37371929.69829461</v>
      </c>
      <c r="W84" s="5">
        <f t="shared" si="21"/>
        <v>41403338.737376355</v>
      </c>
      <c r="X84" s="5">
        <f t="shared" si="22"/>
        <v>45284145.831434131</v>
      </c>
      <c r="Y84" s="5">
        <f t="shared" si="23"/>
        <v>48180374.839780241</v>
      </c>
    </row>
    <row r="85" spans="2:25" x14ac:dyDescent="0.55000000000000004">
      <c r="B85" s="11">
        <v>1</v>
      </c>
      <c r="C85" s="11">
        <v>12</v>
      </c>
      <c r="D85" s="12" t="e">
        <f t="shared" si="9"/>
        <v>#N/A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 t="e">
        <f>SUM(D74:D85)/1000000</f>
        <v>#N/A</v>
      </c>
      <c r="M85" s="6" t="s">
        <v>24</v>
      </c>
      <c r="N85" s="5">
        <f t="shared" si="24"/>
        <v>2698290.4687283332</v>
      </c>
      <c r="O85" s="5">
        <f t="shared" si="13"/>
        <v>6766043.6249633571</v>
      </c>
      <c r="P85" s="5">
        <f t="shared" si="14"/>
        <v>11727655.813066691</v>
      </c>
      <c r="Q85" s="5">
        <f t="shared" si="15"/>
        <v>17164376.843513358</v>
      </c>
      <c r="R85" s="5">
        <f t="shared" si="16"/>
        <v>21675910.510019444</v>
      </c>
      <c r="S85" s="5">
        <f t="shared" si="17"/>
        <v>27014052.80604111</v>
      </c>
      <c r="T85" s="5">
        <f t="shared" si="18"/>
        <v>31318819.590117775</v>
      </c>
      <c r="U85" s="5">
        <f t="shared" si="19"/>
        <v>34992412.48195944</v>
      </c>
      <c r="V85" s="5">
        <f t="shared" si="20"/>
        <v>38547787.397921108</v>
      </c>
      <c r="W85" s="5">
        <f t="shared" si="21"/>
        <v>42647624.240946107</v>
      </c>
      <c r="X85" s="5">
        <f t="shared" si="22"/>
        <v>46737869.345484443</v>
      </c>
      <c r="Y85" s="5">
        <f t="shared" si="23"/>
        <v>50042332.667836107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3142922.9671666669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25">G86</f>
        <v>Oct'15/16</v>
      </c>
      <c r="I86" s="11" t="e">
        <f t="shared" ref="I86:I149" si="26">SUM(D75:D86)/1000000</f>
        <v>#N/A</v>
      </c>
      <c r="M86" s="6" t="s">
        <v>25</v>
      </c>
      <c r="N86" s="5">
        <f t="shared" si="24"/>
        <v>3273026.8469266668</v>
      </c>
      <c r="O86" s="5">
        <f t="shared" si="13"/>
        <v>6231699.2420800002</v>
      </c>
      <c r="P86" s="5">
        <f t="shared" si="14"/>
        <v>10320882.152000001</v>
      </c>
      <c r="Q86" s="5">
        <f t="shared" si="15"/>
        <v>14294711.958883334</v>
      </c>
      <c r="R86" s="5">
        <f t="shared" si="16"/>
        <v>18931775.496538334</v>
      </c>
      <c r="S86" s="5">
        <f t="shared" si="17"/>
        <v>23943787.946408331</v>
      </c>
      <c r="T86" s="5">
        <f t="shared" si="18"/>
        <v>28473322.955846667</v>
      </c>
      <c r="U86" s="5">
        <f t="shared" si="19"/>
        <v>33032374.699523333</v>
      </c>
      <c r="V86" s="5">
        <f t="shared" si="20"/>
        <v>37665391.799031667</v>
      </c>
      <c r="W86" s="5">
        <f t="shared" si="21"/>
        <v>42030670.517058335</v>
      </c>
      <c r="X86" s="5">
        <f t="shared" si="22"/>
        <v>46295293.794056669</v>
      </c>
      <c r="Y86" s="5">
        <f t="shared" si="23"/>
        <v>50389719.726980001</v>
      </c>
    </row>
    <row r="87" spans="2:25" x14ac:dyDescent="0.55000000000000004">
      <c r="B87" s="11">
        <f t="shared" ref="B87:B150" si="27">B75+1</f>
        <v>2</v>
      </c>
      <c r="C87" s="11">
        <f t="shared" ref="C87:C150" si="28">C75</f>
        <v>2</v>
      </c>
      <c r="D87" s="12">
        <f t="shared" si="9"/>
        <v>3175156.1630000002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25"/>
        <v>Nov'15/16</v>
      </c>
      <c r="I87" s="11" t="e">
        <f t="shared" si="26"/>
        <v>#N/A</v>
      </c>
      <c r="M87" s="6" t="s">
        <v>26</v>
      </c>
      <c r="N87" s="5">
        <f t="shared" si="24"/>
        <v>3526408.6207849998</v>
      </c>
      <c r="O87" s="5">
        <f t="shared" si="13"/>
        <v>7012240.1825999999</v>
      </c>
      <c r="P87" s="5">
        <f t="shared" si="14"/>
        <v>11781574.253731668</v>
      </c>
      <c r="Q87" s="5">
        <f t="shared" si="15"/>
        <v>16991303.253731668</v>
      </c>
      <c r="R87" s="5">
        <f t="shared" si="16"/>
        <v>21167574.587065</v>
      </c>
      <c r="S87" s="5">
        <f t="shared" si="17"/>
        <v>26134182.587065</v>
      </c>
      <c r="T87" s="5">
        <f t="shared" si="18"/>
        <v>31338139.253731668</v>
      </c>
      <c r="U87" s="5" t="e">
        <f t="shared" si="19"/>
        <v>#N/A</v>
      </c>
      <c r="V87" s="5" t="e">
        <f t="shared" si="20"/>
        <v>#N/A</v>
      </c>
      <c r="W87" s="5" t="e">
        <f t="shared" si="21"/>
        <v>#N/A</v>
      </c>
      <c r="X87" s="5" t="e">
        <f t="shared" si="22"/>
        <v>#N/A</v>
      </c>
      <c r="Y87" s="5" t="e">
        <f t="shared" si="23"/>
        <v>#N/A</v>
      </c>
    </row>
    <row r="88" spans="2:25" x14ac:dyDescent="0.55000000000000004">
      <c r="B88" s="11">
        <f t="shared" si="27"/>
        <v>2</v>
      </c>
      <c r="C88" s="11">
        <f t="shared" si="28"/>
        <v>3</v>
      </c>
      <c r="D88" s="12">
        <f t="shared" si="9"/>
        <v>3891007.3807466663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25"/>
        <v>Dec'15/16</v>
      </c>
      <c r="I88" s="11" t="e">
        <f t="shared" si="26"/>
        <v>#N/A</v>
      </c>
      <c r="M88" s="6" t="s">
        <v>27</v>
      </c>
      <c r="N88" s="5" t="e">
        <f t="shared" si="24"/>
        <v>#N/A</v>
      </c>
      <c r="O88" s="5" t="e">
        <f t="shared" si="13"/>
        <v>#N/A</v>
      </c>
      <c r="P88" s="5" t="e">
        <f t="shared" si="14"/>
        <v>#N/A</v>
      </c>
      <c r="Q88" s="5" t="e">
        <f t="shared" si="15"/>
        <v>#N/A</v>
      </c>
      <c r="R88" s="5" t="e">
        <f t="shared" si="16"/>
        <v>#N/A</v>
      </c>
      <c r="S88" s="5" t="e">
        <f t="shared" si="17"/>
        <v>#N/A</v>
      </c>
      <c r="T88" s="5" t="e">
        <f t="shared" si="18"/>
        <v>#N/A</v>
      </c>
      <c r="U88" s="5" t="e">
        <f t="shared" si="19"/>
        <v>#N/A</v>
      </c>
      <c r="V88" s="5" t="e">
        <f t="shared" si="20"/>
        <v>#N/A</v>
      </c>
      <c r="W88" s="5" t="e">
        <f t="shared" si="21"/>
        <v>#N/A</v>
      </c>
      <c r="X88" s="5" t="e">
        <f t="shared" si="22"/>
        <v>#N/A</v>
      </c>
      <c r="Y88" s="5" t="e">
        <f t="shared" si="23"/>
        <v>#N/A</v>
      </c>
    </row>
    <row r="89" spans="2:25" x14ac:dyDescent="0.55000000000000004">
      <c r="B89" s="11">
        <f t="shared" si="27"/>
        <v>2</v>
      </c>
      <c r="C89" s="11">
        <f t="shared" si="28"/>
        <v>4</v>
      </c>
      <c r="D89" s="12">
        <f t="shared" si="9"/>
        <v>4320100.3633000003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25"/>
        <v>Jan'15/16</v>
      </c>
      <c r="I89" s="11" t="e">
        <f t="shared" si="26"/>
        <v>#N/A</v>
      </c>
    </row>
    <row r="90" spans="2:25" x14ac:dyDescent="0.55000000000000004">
      <c r="B90" s="11">
        <f t="shared" si="27"/>
        <v>2</v>
      </c>
      <c r="C90" s="11">
        <f t="shared" si="28"/>
        <v>5</v>
      </c>
      <c r="D90" s="12">
        <f t="shared" si="9"/>
        <v>3370140.0378200007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25"/>
        <v>Feb'15/16</v>
      </c>
      <c r="I90" s="11" t="e">
        <f t="shared" si="26"/>
        <v>#N/A</v>
      </c>
    </row>
    <row r="91" spans="2:25" x14ac:dyDescent="0.55000000000000004">
      <c r="B91" s="11">
        <f t="shared" si="27"/>
        <v>2</v>
      </c>
      <c r="C91" s="11">
        <f t="shared" si="28"/>
        <v>6</v>
      </c>
      <c r="D91" s="12">
        <f t="shared" si="9"/>
        <v>4295053.4797316669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25"/>
        <v>Mar'15/16</v>
      </c>
      <c r="I91" s="11" t="e">
        <f t="shared" si="26"/>
        <v>#N/A</v>
      </c>
    </row>
    <row r="92" spans="2:25" x14ac:dyDescent="0.55000000000000004">
      <c r="B92" s="11">
        <f t="shared" si="27"/>
        <v>2</v>
      </c>
      <c r="C92" s="11">
        <f t="shared" si="28"/>
        <v>7</v>
      </c>
      <c r="D92" s="12">
        <f t="shared" si="9"/>
        <v>4408384.974026667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25"/>
        <v>Apr'15/16</v>
      </c>
      <c r="I92" s="11" t="e">
        <f t="shared" si="26"/>
        <v>#N/A</v>
      </c>
    </row>
    <row r="93" spans="2:25" x14ac:dyDescent="0.55000000000000004">
      <c r="B93" s="11">
        <f t="shared" si="27"/>
        <v>2</v>
      </c>
      <c r="C93" s="11">
        <f t="shared" si="28"/>
        <v>8</v>
      </c>
      <c r="D93" s="12">
        <f t="shared" si="9"/>
        <v>3875075.1377216671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25"/>
        <v>May'15/16</v>
      </c>
      <c r="I93" s="11" t="e">
        <f t="shared" si="26"/>
        <v>#N/A</v>
      </c>
    </row>
    <row r="94" spans="2:25" x14ac:dyDescent="0.55000000000000004">
      <c r="B94" s="11">
        <f t="shared" si="27"/>
        <v>2</v>
      </c>
      <c r="C94" s="11">
        <f t="shared" si="28"/>
        <v>9</v>
      </c>
      <c r="D94" s="12">
        <f t="shared" si="9"/>
        <v>3824952.0495800003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25"/>
        <v>Jun'15/16</v>
      </c>
      <c r="I94" s="11" t="e">
        <f t="shared" si="26"/>
        <v>#N/A</v>
      </c>
    </row>
    <row r="95" spans="2:25" x14ac:dyDescent="0.55000000000000004">
      <c r="B95" s="11">
        <f t="shared" si="27"/>
        <v>2</v>
      </c>
      <c r="C95" s="11">
        <f t="shared" si="28"/>
        <v>10</v>
      </c>
      <c r="D95" s="12">
        <f t="shared" si="9"/>
        <v>3565526.4096416668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25"/>
        <v>Jul'15/16</v>
      </c>
      <c r="I95" s="11" t="e">
        <f t="shared" si="26"/>
        <v>#N/A</v>
      </c>
    </row>
    <row r="96" spans="2:25" x14ac:dyDescent="0.55000000000000004">
      <c r="B96" s="11">
        <f t="shared" si="27"/>
        <v>2</v>
      </c>
      <c r="C96" s="11">
        <f t="shared" si="28"/>
        <v>11</v>
      </c>
      <c r="D96" s="12">
        <f t="shared" si="9"/>
        <v>4035579.0590733332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25"/>
        <v>Aug'15/16</v>
      </c>
      <c r="I96" s="11" t="e">
        <f t="shared" si="26"/>
        <v>#N/A</v>
      </c>
    </row>
    <row r="97" spans="2:9" x14ac:dyDescent="0.55000000000000004">
      <c r="B97" s="11">
        <f t="shared" si="27"/>
        <v>2</v>
      </c>
      <c r="C97" s="11">
        <f t="shared" si="28"/>
        <v>12</v>
      </c>
      <c r="D97" s="12">
        <f t="shared" si="9"/>
        <v>3545101.4118233337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25"/>
        <v>Sep'15/16</v>
      </c>
      <c r="I97" s="11">
        <f t="shared" si="26"/>
        <v>45.448999433631677</v>
      </c>
    </row>
    <row r="98" spans="2:9" x14ac:dyDescent="0.55000000000000004">
      <c r="B98" s="11">
        <f t="shared" si="27"/>
        <v>3</v>
      </c>
      <c r="C98" s="11">
        <f t="shared" si="28"/>
        <v>1</v>
      </c>
      <c r="D98" s="12">
        <f t="shared" si="9"/>
        <v>3476185.6252683331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25"/>
        <v>Oct'16/17</v>
      </c>
      <c r="I98" s="11">
        <f t="shared" si="26"/>
        <v>45.782262091733337</v>
      </c>
    </row>
    <row r="99" spans="2:9" x14ac:dyDescent="0.55000000000000004">
      <c r="B99" s="11">
        <f t="shared" si="27"/>
        <v>3</v>
      </c>
      <c r="C99" s="11">
        <f t="shared" si="28"/>
        <v>2</v>
      </c>
      <c r="D99" s="12">
        <f t="shared" si="9"/>
        <v>3502451.22322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25"/>
        <v>Nov'16/17</v>
      </c>
      <c r="I99" s="11">
        <f t="shared" si="26"/>
        <v>46.109557151953332</v>
      </c>
    </row>
    <row r="100" spans="2:9" x14ac:dyDescent="0.55000000000000004">
      <c r="B100" s="11">
        <f t="shared" si="27"/>
        <v>3</v>
      </c>
      <c r="C100" s="11">
        <f t="shared" si="28"/>
        <v>3</v>
      </c>
      <c r="D100" s="12">
        <f t="shared" si="9"/>
        <v>4061298.5440833336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25"/>
        <v>Dec'16/17</v>
      </c>
      <c r="I100" s="11">
        <f t="shared" si="26"/>
        <v>46.279848315290003</v>
      </c>
    </row>
    <row r="101" spans="2:9" x14ac:dyDescent="0.55000000000000004">
      <c r="B101" s="11">
        <f t="shared" si="27"/>
        <v>3</v>
      </c>
      <c r="C101" s="11">
        <f t="shared" si="28"/>
        <v>4</v>
      </c>
      <c r="D101" s="12">
        <f t="shared" si="9"/>
        <v>4388231.4637099998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25"/>
        <v>Jan'16/17</v>
      </c>
      <c r="I101" s="11">
        <f t="shared" si="26"/>
        <v>46.347979415700003</v>
      </c>
    </row>
    <row r="102" spans="2:9" x14ac:dyDescent="0.55000000000000004">
      <c r="B102" s="11">
        <f t="shared" si="27"/>
        <v>3</v>
      </c>
      <c r="C102" s="11">
        <f t="shared" si="28"/>
        <v>5</v>
      </c>
      <c r="D102" s="12">
        <f t="shared" si="9"/>
        <v>4201439.5815433329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25"/>
        <v>Feb'16/17</v>
      </c>
      <c r="I102" s="11">
        <f t="shared" si="26"/>
        <v>47.179278959423335</v>
      </c>
    </row>
    <row r="103" spans="2:9" x14ac:dyDescent="0.55000000000000004">
      <c r="B103" s="11">
        <f t="shared" si="27"/>
        <v>3</v>
      </c>
      <c r="C103" s="11">
        <f t="shared" si="28"/>
        <v>6</v>
      </c>
      <c r="D103" s="12">
        <f t="shared" si="9"/>
        <v>4698175.0230350001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25"/>
        <v>Mar'16/17</v>
      </c>
      <c r="I103" s="11">
        <f t="shared" si="26"/>
        <v>47.582400502726664</v>
      </c>
    </row>
    <row r="104" spans="2:9" x14ac:dyDescent="0.55000000000000004">
      <c r="B104" s="11">
        <f t="shared" si="27"/>
        <v>3</v>
      </c>
      <c r="C104" s="11">
        <f t="shared" si="28"/>
        <v>7</v>
      </c>
      <c r="D104" s="12">
        <f t="shared" si="9"/>
        <v>3820142.0978933335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25"/>
        <v>Apr'16/17</v>
      </c>
      <c r="I104" s="11">
        <f t="shared" si="26"/>
        <v>46.994157626593335</v>
      </c>
    </row>
    <row r="105" spans="2:9" x14ac:dyDescent="0.55000000000000004">
      <c r="B105" s="11">
        <f t="shared" si="27"/>
        <v>3</v>
      </c>
      <c r="C105" s="11">
        <f t="shared" si="28"/>
        <v>8</v>
      </c>
      <c r="D105" s="12">
        <f t="shared" si="9"/>
        <v>3752379.0209333338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25"/>
        <v>May'16/17</v>
      </c>
      <c r="I105" s="11">
        <f t="shared" si="26"/>
        <v>46.871461509804995</v>
      </c>
    </row>
    <row r="106" spans="2:9" x14ac:dyDescent="0.55000000000000004">
      <c r="B106" s="11">
        <f t="shared" si="27"/>
        <v>3</v>
      </c>
      <c r="C106" s="11">
        <f t="shared" si="28"/>
        <v>9</v>
      </c>
      <c r="D106" s="12">
        <f t="shared" si="9"/>
        <v>3693478.1989666671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25"/>
        <v>Jun'16/17</v>
      </c>
      <c r="I106" s="11">
        <f t="shared" si="26"/>
        <v>46.739987659191669</v>
      </c>
    </row>
    <row r="107" spans="2:9" x14ac:dyDescent="0.55000000000000004">
      <c r="B107" s="11">
        <f t="shared" si="27"/>
        <v>3</v>
      </c>
      <c r="C107" s="11">
        <f t="shared" si="28"/>
        <v>10</v>
      </c>
      <c r="D107" s="12">
        <f t="shared" si="9"/>
        <v>3614159.9330666666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25"/>
        <v>Jul'16/17</v>
      </c>
      <c r="I107" s="11">
        <f t="shared" si="26"/>
        <v>46.788621182616666</v>
      </c>
    </row>
    <row r="108" spans="2:9" x14ac:dyDescent="0.55000000000000004">
      <c r="B108" s="11">
        <f t="shared" si="27"/>
        <v>3</v>
      </c>
      <c r="C108" s="11">
        <f t="shared" si="28"/>
        <v>11</v>
      </c>
      <c r="D108" s="12">
        <f t="shared" si="9"/>
        <v>3405030.7992174434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25"/>
        <v>Aug'16/17</v>
      </c>
      <c r="I108" s="11">
        <f t="shared" si="26"/>
        <v>46.15807292276078</v>
      </c>
    </row>
    <row r="109" spans="2:9" x14ac:dyDescent="0.55000000000000004">
      <c r="B109" s="11">
        <f t="shared" si="27"/>
        <v>3</v>
      </c>
      <c r="C109" s="11">
        <f t="shared" si="28"/>
        <v>12</v>
      </c>
      <c r="D109" s="12">
        <f t="shared" si="9"/>
        <v>2800465.2414499996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25"/>
        <v>Sep'16/17</v>
      </c>
      <c r="I109" s="11">
        <f t="shared" si="26"/>
        <v>45.41343675238744</v>
      </c>
    </row>
    <row r="110" spans="2:9" x14ac:dyDescent="0.55000000000000004">
      <c r="B110" s="11">
        <f t="shared" si="27"/>
        <v>4</v>
      </c>
      <c r="C110" s="11">
        <f t="shared" si="28"/>
        <v>1</v>
      </c>
      <c r="D110" s="12">
        <f t="shared" si="9"/>
        <v>2782900.5175600005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25"/>
        <v>Oct'17/18</v>
      </c>
      <c r="I110" s="11">
        <f t="shared" si="26"/>
        <v>44.720151644679106</v>
      </c>
    </row>
    <row r="111" spans="2:9" x14ac:dyDescent="0.55000000000000004">
      <c r="B111" s="11">
        <f t="shared" si="27"/>
        <v>4</v>
      </c>
      <c r="C111" s="11">
        <f t="shared" si="28"/>
        <v>2</v>
      </c>
      <c r="D111" s="12">
        <f t="shared" si="9"/>
        <v>3069813.3246802716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25"/>
        <v>Nov'17/18</v>
      </c>
      <c r="I111" s="11">
        <f t="shared" si="26"/>
        <v>44.287513746139375</v>
      </c>
    </row>
    <row r="112" spans="2:9" x14ac:dyDescent="0.55000000000000004">
      <c r="B112" s="11">
        <f t="shared" si="27"/>
        <v>4</v>
      </c>
      <c r="C112" s="11">
        <f t="shared" si="28"/>
        <v>3</v>
      </c>
      <c r="D112" s="12">
        <f t="shared" si="9"/>
        <v>3941411.1182750002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25"/>
        <v>Dec'17/18</v>
      </c>
      <c r="I112" s="11">
        <f t="shared" si="26"/>
        <v>44.167626320331046</v>
      </c>
    </row>
    <row r="113" spans="2:9" x14ac:dyDescent="0.55000000000000004">
      <c r="B113" s="11">
        <f t="shared" si="27"/>
        <v>4</v>
      </c>
      <c r="C113" s="11">
        <f t="shared" si="28"/>
        <v>4</v>
      </c>
      <c r="D113" s="12">
        <f t="shared" si="9"/>
        <v>4629095.3512666663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25"/>
        <v>Jan'17/18</v>
      </c>
      <c r="I113" s="11">
        <f t="shared" si="26"/>
        <v>44.408490207887716</v>
      </c>
    </row>
    <row r="114" spans="2:9" x14ac:dyDescent="0.55000000000000004">
      <c r="B114" s="11">
        <f t="shared" si="27"/>
        <v>4</v>
      </c>
      <c r="C114" s="11">
        <f t="shared" si="28"/>
        <v>5</v>
      </c>
      <c r="D114" s="12">
        <f t="shared" si="9"/>
        <v>3411026.2109250003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25"/>
        <v>Feb'17/18</v>
      </c>
      <c r="I114" s="11">
        <f t="shared" si="26"/>
        <v>43.618076837269385</v>
      </c>
    </row>
    <row r="115" spans="2:9" x14ac:dyDescent="0.55000000000000004">
      <c r="B115" s="11">
        <f t="shared" si="27"/>
        <v>4</v>
      </c>
      <c r="C115" s="11">
        <f t="shared" si="28"/>
        <v>6</v>
      </c>
      <c r="D115" s="12">
        <f t="shared" si="9"/>
        <v>4833163.8382416666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25"/>
        <v>Mar'17/18</v>
      </c>
      <c r="I115" s="11">
        <f t="shared" si="26"/>
        <v>43.753065652476053</v>
      </c>
    </row>
    <row r="116" spans="2:9" x14ac:dyDescent="0.55000000000000004">
      <c r="B116" s="11">
        <f t="shared" si="27"/>
        <v>4</v>
      </c>
      <c r="C116" s="11">
        <f t="shared" si="28"/>
        <v>7</v>
      </c>
      <c r="D116" s="12">
        <f t="shared" si="9"/>
        <v>3814647.2715083333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25"/>
        <v>Apr'17/18</v>
      </c>
      <c r="I116" s="11">
        <f t="shared" si="26"/>
        <v>43.747570826091057</v>
      </c>
    </row>
    <row r="117" spans="2:9" x14ac:dyDescent="0.55000000000000004">
      <c r="B117" s="11">
        <f t="shared" si="27"/>
        <v>4</v>
      </c>
      <c r="C117" s="11">
        <f t="shared" si="28"/>
        <v>8</v>
      </c>
      <c r="D117" s="12">
        <f t="shared" si="9"/>
        <v>3802792.0758750001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25"/>
        <v>May'17/18</v>
      </c>
      <c r="I117" s="11">
        <f t="shared" si="26"/>
        <v>43.797983881032721</v>
      </c>
    </row>
    <row r="118" spans="2:9" x14ac:dyDescent="0.55000000000000004">
      <c r="B118" s="11">
        <f t="shared" si="27"/>
        <v>4</v>
      </c>
      <c r="C118" s="11">
        <f t="shared" si="28"/>
        <v>9</v>
      </c>
      <c r="D118" s="12">
        <f t="shared" si="9"/>
        <v>3837417.1833500001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25"/>
        <v>Jun'17/18</v>
      </c>
      <c r="I118" s="11">
        <f t="shared" si="26"/>
        <v>43.941922865416053</v>
      </c>
    </row>
    <row r="119" spans="2:9" x14ac:dyDescent="0.55000000000000004">
      <c r="B119" s="11">
        <f t="shared" si="27"/>
        <v>4</v>
      </c>
      <c r="C119" s="11">
        <f t="shared" si="28"/>
        <v>10</v>
      </c>
      <c r="D119" s="12">
        <f t="shared" si="9"/>
        <v>3567986.035908333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25"/>
        <v>Jul'17/18</v>
      </c>
      <c r="I119" s="11">
        <f t="shared" si="26"/>
        <v>43.895748968257713</v>
      </c>
    </row>
    <row r="120" spans="2:9" x14ac:dyDescent="0.55000000000000004">
      <c r="B120" s="11">
        <f t="shared" si="27"/>
        <v>4</v>
      </c>
      <c r="C120" s="11">
        <f t="shared" si="28"/>
        <v>11</v>
      </c>
      <c r="D120" s="12">
        <f t="shared" si="9"/>
        <v>3762130.8127166666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25"/>
        <v>Aug'17/18</v>
      </c>
      <c r="I120" s="11">
        <f t="shared" si="26"/>
        <v>44.252848981756941</v>
      </c>
    </row>
    <row r="121" spans="2:9" x14ac:dyDescent="0.55000000000000004">
      <c r="B121" s="11">
        <f t="shared" si="27"/>
        <v>4</v>
      </c>
      <c r="C121" s="11">
        <f t="shared" si="28"/>
        <v>12</v>
      </c>
      <c r="D121" s="12">
        <f t="shared" si="9"/>
        <v>3389005.5686183334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25"/>
        <v>Sep'17/18</v>
      </c>
      <c r="I121" s="11">
        <f t="shared" si="26"/>
        <v>44.84138930892528</v>
      </c>
    </row>
    <row r="122" spans="2:9" x14ac:dyDescent="0.55000000000000004">
      <c r="B122" s="11">
        <f t="shared" si="27"/>
        <v>5</v>
      </c>
      <c r="C122" s="11">
        <f t="shared" si="28"/>
        <v>1</v>
      </c>
      <c r="D122" s="12">
        <f t="shared" si="9"/>
        <v>3750317.2548083337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25"/>
        <v>Oct'18/19</v>
      </c>
      <c r="I122" s="11">
        <f t="shared" si="26"/>
        <v>45.808806046173608</v>
      </c>
    </row>
    <row r="123" spans="2:9" x14ac:dyDescent="0.55000000000000004">
      <c r="B123" s="11">
        <f t="shared" si="27"/>
        <v>5</v>
      </c>
      <c r="C123" s="11">
        <f t="shared" si="28"/>
        <v>2</v>
      </c>
      <c r="D123" s="12">
        <f t="shared" si="9"/>
        <v>3941179.2088333336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25"/>
        <v>Nov'18/19</v>
      </c>
      <c r="I123" s="11">
        <f t="shared" si="26"/>
        <v>46.680171930326679</v>
      </c>
    </row>
    <row r="124" spans="2:9" x14ac:dyDescent="0.55000000000000004">
      <c r="B124" s="11">
        <f t="shared" si="27"/>
        <v>5</v>
      </c>
      <c r="C124" s="11">
        <f t="shared" si="28"/>
        <v>3</v>
      </c>
      <c r="D124" s="12">
        <f t="shared" si="9"/>
        <v>3877150.4846933335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25"/>
        <v>Dec'18/19</v>
      </c>
      <c r="I124" s="11">
        <f t="shared" si="26"/>
        <v>46.615911296745011</v>
      </c>
    </row>
    <row r="125" spans="2:9" x14ac:dyDescent="0.55000000000000004">
      <c r="B125" s="11">
        <f t="shared" si="27"/>
        <v>5</v>
      </c>
      <c r="C125" s="11">
        <f t="shared" si="28"/>
        <v>4</v>
      </c>
      <c r="D125" s="12">
        <f t="shared" si="9"/>
        <v>4876589.2875166666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25"/>
        <v>Jan'18/19</v>
      </c>
      <c r="I125" s="11">
        <f t="shared" si="26"/>
        <v>46.863405232995014</v>
      </c>
    </row>
    <row r="126" spans="2:9" x14ac:dyDescent="0.55000000000000004">
      <c r="B126" s="11">
        <f t="shared" si="27"/>
        <v>5</v>
      </c>
      <c r="C126" s="11">
        <f t="shared" si="28"/>
        <v>5</v>
      </c>
      <c r="D126" s="12">
        <f t="shared" si="9"/>
        <v>3344709.3204366672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25"/>
        <v>Feb'18/19</v>
      </c>
      <c r="I126" s="11">
        <f t="shared" si="26"/>
        <v>46.797088342506669</v>
      </c>
    </row>
    <row r="127" spans="2:9" x14ac:dyDescent="0.55000000000000004">
      <c r="B127" s="11">
        <f t="shared" si="27"/>
        <v>5</v>
      </c>
      <c r="C127" s="11">
        <f t="shared" si="28"/>
        <v>6</v>
      </c>
      <c r="D127" s="12">
        <f t="shared" si="9"/>
        <v>4361114.5381633332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25"/>
        <v>Mar'18/19</v>
      </c>
      <c r="I127" s="11">
        <f t="shared" si="26"/>
        <v>46.325039042428337</v>
      </c>
    </row>
    <row r="128" spans="2:9" x14ac:dyDescent="0.55000000000000004">
      <c r="B128" s="11">
        <f t="shared" si="27"/>
        <v>5</v>
      </c>
      <c r="C128" s="11">
        <f t="shared" si="28"/>
        <v>7</v>
      </c>
      <c r="D128" s="12">
        <f t="shared" si="9"/>
        <v>3687632.9230583338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25"/>
        <v>Apr'18/19</v>
      </c>
      <c r="I128" s="11">
        <f t="shared" si="26"/>
        <v>46.198024693978333</v>
      </c>
    </row>
    <row r="129" spans="2:9" x14ac:dyDescent="0.55000000000000004">
      <c r="B129" s="11">
        <f t="shared" si="27"/>
        <v>5</v>
      </c>
      <c r="C129" s="11">
        <f t="shared" si="28"/>
        <v>8</v>
      </c>
      <c r="D129" s="12">
        <f t="shared" si="9"/>
        <v>3849278.735321667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25"/>
        <v>May'18/19</v>
      </c>
      <c r="I129" s="11">
        <f t="shared" si="26"/>
        <v>46.244511353424997</v>
      </c>
    </row>
    <row r="130" spans="2:9" x14ac:dyDescent="0.55000000000000004">
      <c r="B130" s="11">
        <f t="shared" si="27"/>
        <v>5</v>
      </c>
      <c r="C130" s="11">
        <f t="shared" si="28"/>
        <v>9</v>
      </c>
      <c r="D130" s="12">
        <f t="shared" si="9"/>
        <v>3764124.3693650002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25"/>
        <v>Jun'18/19</v>
      </c>
      <c r="I130" s="11">
        <f t="shared" si="26"/>
        <v>46.171218539439998</v>
      </c>
    </row>
    <row r="131" spans="2:9" x14ac:dyDescent="0.55000000000000004">
      <c r="B131" s="11">
        <f t="shared" si="27"/>
        <v>5</v>
      </c>
      <c r="C131" s="11">
        <f t="shared" si="28"/>
        <v>10</v>
      </c>
      <c r="D131" s="12">
        <f t="shared" si="9"/>
        <v>4016844.7812483334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25"/>
        <v>Jul'18/19</v>
      </c>
      <c r="I131" s="11">
        <f t="shared" si="26"/>
        <v>46.620077284780002</v>
      </c>
    </row>
    <row r="132" spans="2:9" x14ac:dyDescent="0.55000000000000004">
      <c r="B132" s="11">
        <f t="shared" si="27"/>
        <v>5</v>
      </c>
      <c r="C132" s="11">
        <f t="shared" si="28"/>
        <v>11</v>
      </c>
      <c r="D132" s="12">
        <f t="shared" si="9"/>
        <v>3823716.6951099997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25"/>
        <v>Aug'18/19</v>
      </c>
      <c r="I132" s="11">
        <f t="shared" si="26"/>
        <v>46.68166316717334</v>
      </c>
    </row>
    <row r="133" spans="2:9" x14ac:dyDescent="0.55000000000000004">
      <c r="B133" s="11">
        <f t="shared" si="27"/>
        <v>5</v>
      </c>
      <c r="C133" s="11">
        <f t="shared" si="28"/>
        <v>12</v>
      </c>
      <c r="D133" s="12">
        <f t="shared" si="9"/>
        <v>3363646.2921300004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25"/>
        <v>Sep'18/19</v>
      </c>
      <c r="I133" s="11">
        <f t="shared" si="26"/>
        <v>46.65630389068501</v>
      </c>
    </row>
    <row r="134" spans="2:9" x14ac:dyDescent="0.55000000000000004">
      <c r="B134" s="11">
        <f t="shared" si="27"/>
        <v>6</v>
      </c>
      <c r="C134" s="11">
        <f t="shared" si="28"/>
        <v>1</v>
      </c>
      <c r="D134" s="12">
        <f t="shared" si="9"/>
        <v>3457361.0276733339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25"/>
        <v>Oct'19/20</v>
      </c>
      <c r="I134" s="11">
        <f t="shared" si="26"/>
        <v>46.363347663550002</v>
      </c>
    </row>
    <row r="135" spans="2:9" x14ac:dyDescent="0.55000000000000004">
      <c r="B135" s="11">
        <f t="shared" si="27"/>
        <v>6</v>
      </c>
      <c r="C135" s="11">
        <f t="shared" si="28"/>
        <v>2</v>
      </c>
      <c r="D135" s="12">
        <f t="shared" si="9"/>
        <v>3663210.0157683338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25"/>
        <v>Nov'19/20</v>
      </c>
      <c r="I135" s="11">
        <f t="shared" si="26"/>
        <v>46.085378470485004</v>
      </c>
    </row>
    <row r="136" spans="2:9" x14ac:dyDescent="0.55000000000000004">
      <c r="B136" s="11">
        <f t="shared" si="27"/>
        <v>6</v>
      </c>
      <c r="C136" s="11">
        <f t="shared" si="28"/>
        <v>3</v>
      </c>
      <c r="D136" s="12">
        <f t="shared" si="9"/>
        <v>4651296.3335833335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25"/>
        <v>Dec'19/20</v>
      </c>
      <c r="I136" s="11">
        <f t="shared" si="26"/>
        <v>46.859524319374998</v>
      </c>
    </row>
    <row r="137" spans="2:9" x14ac:dyDescent="0.55000000000000004">
      <c r="B137" s="11">
        <f t="shared" si="27"/>
        <v>6</v>
      </c>
      <c r="C137" s="11">
        <f t="shared" si="28"/>
        <v>4</v>
      </c>
      <c r="D137" s="12">
        <f t="shared" si="9"/>
        <v>3990825.2147766668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25"/>
        <v>Jan'19/20</v>
      </c>
      <c r="I137" s="11">
        <f t="shared" si="26"/>
        <v>45.973760246634995</v>
      </c>
    </row>
    <row r="138" spans="2:9" x14ac:dyDescent="0.55000000000000004">
      <c r="B138" s="11">
        <f t="shared" si="27"/>
        <v>6</v>
      </c>
      <c r="C138" s="11">
        <f t="shared" si="28"/>
        <v>5</v>
      </c>
      <c r="D138" s="12">
        <f t="shared" si="9"/>
        <v>4653943.3688233346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25"/>
        <v>Feb'19/20</v>
      </c>
      <c r="I138" s="11">
        <f t="shared" si="26"/>
        <v>47.282994295021666</v>
      </c>
    </row>
    <row r="139" spans="2:9" x14ac:dyDescent="0.55000000000000004">
      <c r="B139" s="11">
        <f t="shared" si="27"/>
        <v>6</v>
      </c>
      <c r="C139" s="11">
        <f t="shared" si="28"/>
        <v>6</v>
      </c>
      <c r="D139" s="12">
        <f t="shared" ref="D139:D202" si="29">INDEX($C$7:$N$19,MATCH(B139,$A$7:$A$19),MATCH(C139,$C$4:$N$4))</f>
        <v>4825638.2182333339</v>
      </c>
      <c r="E139" s="11" t="str">
        <f t="shared" ref="E139:E202" si="30">_xlfn.XLOOKUP(B139,$A$7:$A$19,$B$7:$B$19)</f>
        <v>19/20</v>
      </c>
      <c r="F139" s="11" t="str">
        <f t="shared" ref="F139:F202" si="31">_xlfn.XLOOKUP(C139,$C$4:$N$4,$C$6:$N$6)</f>
        <v>Mar</v>
      </c>
      <c r="G139" s="11" t="str">
        <f t="shared" ref="G139:G202" si="32">_xlfn.CONCAT(F139,"'",E139)</f>
        <v>Mar'19/20</v>
      </c>
      <c r="H139" s="11" t="str">
        <f t="shared" si="25"/>
        <v>Mar'19/20</v>
      </c>
      <c r="I139" s="11">
        <f t="shared" si="26"/>
        <v>47.747517975091668</v>
      </c>
    </row>
    <row r="140" spans="2:9" x14ac:dyDescent="0.55000000000000004">
      <c r="B140" s="11">
        <f t="shared" si="27"/>
        <v>6</v>
      </c>
      <c r="C140" s="11">
        <f t="shared" si="28"/>
        <v>7</v>
      </c>
      <c r="D140" s="12">
        <f t="shared" si="29"/>
        <v>4083403.9989999998</v>
      </c>
      <c r="E140" s="11" t="str">
        <f t="shared" si="30"/>
        <v>19/20</v>
      </c>
      <c r="F140" s="11" t="str">
        <f t="shared" si="31"/>
        <v>Apr</v>
      </c>
      <c r="G140" s="11" t="str">
        <f t="shared" si="32"/>
        <v>Apr'19/20</v>
      </c>
      <c r="H140" s="11" t="str">
        <f t="shared" si="25"/>
        <v>Apr'19/20</v>
      </c>
      <c r="I140" s="11">
        <f t="shared" si="26"/>
        <v>48.143289051033335</v>
      </c>
    </row>
    <row r="141" spans="2:9" x14ac:dyDescent="0.55000000000000004">
      <c r="B141" s="11">
        <f t="shared" si="27"/>
        <v>6</v>
      </c>
      <c r="C141" s="11">
        <f t="shared" si="28"/>
        <v>8</v>
      </c>
      <c r="D141" s="12">
        <f t="shared" si="29"/>
        <v>3541461.0031666672</v>
      </c>
      <c r="E141" s="11" t="str">
        <f t="shared" si="30"/>
        <v>19/20</v>
      </c>
      <c r="F141" s="11" t="str">
        <f t="shared" si="31"/>
        <v>May</v>
      </c>
      <c r="G141" s="11" t="str">
        <f t="shared" si="32"/>
        <v>May'19/20</v>
      </c>
      <c r="H141" s="11" t="str">
        <f t="shared" si="25"/>
        <v>May'19/20</v>
      </c>
      <c r="I141" s="11">
        <f t="shared" si="26"/>
        <v>47.835471318878341</v>
      </c>
    </row>
    <row r="142" spans="2:9" x14ac:dyDescent="0.55000000000000004">
      <c r="B142" s="11">
        <f t="shared" si="27"/>
        <v>6</v>
      </c>
      <c r="C142" s="11">
        <f t="shared" si="28"/>
        <v>9</v>
      </c>
      <c r="D142" s="12">
        <f t="shared" si="29"/>
        <v>3723286.9267983334</v>
      </c>
      <c r="E142" s="11" t="str">
        <f t="shared" si="30"/>
        <v>19/20</v>
      </c>
      <c r="F142" s="11" t="str">
        <f t="shared" si="31"/>
        <v>Jun</v>
      </c>
      <c r="G142" s="11" t="str">
        <f t="shared" si="32"/>
        <v>Jun'19/20</v>
      </c>
      <c r="H142" s="11" t="str">
        <f t="shared" si="25"/>
        <v>Jun'19/20</v>
      </c>
      <c r="I142" s="11">
        <f t="shared" si="26"/>
        <v>47.794633876311664</v>
      </c>
    </row>
    <row r="143" spans="2:9" x14ac:dyDescent="0.55000000000000004">
      <c r="B143" s="11">
        <f t="shared" si="27"/>
        <v>6</v>
      </c>
      <c r="C143" s="11">
        <f t="shared" si="28"/>
        <v>10</v>
      </c>
      <c r="D143" s="12">
        <f t="shared" si="29"/>
        <v>3676624.3740250003</v>
      </c>
      <c r="E143" s="11" t="str">
        <f t="shared" si="30"/>
        <v>19/20</v>
      </c>
      <c r="F143" s="11" t="str">
        <f t="shared" si="31"/>
        <v>Jul</v>
      </c>
      <c r="G143" s="11" t="str">
        <f t="shared" si="32"/>
        <v>Jul'19/20</v>
      </c>
      <c r="H143" s="11" t="str">
        <f t="shared" si="25"/>
        <v>Jul'19/20</v>
      </c>
      <c r="I143" s="11">
        <f t="shared" si="26"/>
        <v>47.454413469088337</v>
      </c>
    </row>
    <row r="144" spans="2:9" x14ac:dyDescent="0.55000000000000004">
      <c r="B144" s="11">
        <f t="shared" si="27"/>
        <v>6</v>
      </c>
      <c r="C144" s="11">
        <f t="shared" si="28"/>
        <v>11</v>
      </c>
      <c r="D144" s="12">
        <f t="shared" si="29"/>
        <v>3534603.7190516666</v>
      </c>
      <c r="E144" s="11" t="str">
        <f t="shared" si="30"/>
        <v>19/20</v>
      </c>
      <c r="F144" s="11" t="str">
        <f t="shared" si="31"/>
        <v>Aug</v>
      </c>
      <c r="G144" s="11" t="str">
        <f t="shared" si="32"/>
        <v>Aug'19/20</v>
      </c>
      <c r="H144" s="11" t="str">
        <f t="shared" si="25"/>
        <v>Aug'19/20</v>
      </c>
      <c r="I144" s="11">
        <f t="shared" si="26"/>
        <v>47.165300493030003</v>
      </c>
    </row>
    <row r="145" spans="2:9" x14ac:dyDescent="0.55000000000000004">
      <c r="B145" s="11">
        <f t="shared" si="27"/>
        <v>6</v>
      </c>
      <c r="C145" s="11">
        <f t="shared" si="28"/>
        <v>12</v>
      </c>
      <c r="D145" s="12">
        <f t="shared" si="29"/>
        <v>3783031.7311666673</v>
      </c>
      <c r="E145" s="11" t="str">
        <f t="shared" si="30"/>
        <v>19/20</v>
      </c>
      <c r="F145" s="11" t="str">
        <f t="shared" si="31"/>
        <v>Sep</v>
      </c>
      <c r="G145" s="11" t="str">
        <f t="shared" si="32"/>
        <v>Sep'19/20</v>
      </c>
      <c r="H145" s="11" t="str">
        <f t="shared" si="25"/>
        <v>Sep'19/20</v>
      </c>
      <c r="I145" s="11">
        <f t="shared" si="26"/>
        <v>47.58468593206667</v>
      </c>
    </row>
    <row r="146" spans="2:9" x14ac:dyDescent="0.55000000000000004">
      <c r="B146" s="11">
        <f t="shared" si="27"/>
        <v>7</v>
      </c>
      <c r="C146" s="11">
        <f t="shared" si="28"/>
        <v>1</v>
      </c>
      <c r="D146" s="12">
        <f t="shared" si="29"/>
        <v>3421719.757666667</v>
      </c>
      <c r="E146" s="11" t="str">
        <f t="shared" si="30"/>
        <v>20/21</v>
      </c>
      <c r="F146" s="11" t="str">
        <f t="shared" si="31"/>
        <v>Oct</v>
      </c>
      <c r="G146" s="11" t="str">
        <f t="shared" si="32"/>
        <v>Oct'20/21</v>
      </c>
      <c r="H146" s="11" t="str">
        <f t="shared" si="25"/>
        <v>Oct'20/21</v>
      </c>
      <c r="I146" s="11">
        <f t="shared" si="26"/>
        <v>47.549044662059998</v>
      </c>
    </row>
    <row r="147" spans="2:9" x14ac:dyDescent="0.55000000000000004">
      <c r="B147" s="11">
        <f t="shared" si="27"/>
        <v>7</v>
      </c>
      <c r="C147" s="11">
        <f t="shared" si="28"/>
        <v>2</v>
      </c>
      <c r="D147" s="12">
        <f t="shared" si="29"/>
        <v>3200988.5988333337</v>
      </c>
      <c r="E147" s="11" t="str">
        <f t="shared" si="30"/>
        <v>20/21</v>
      </c>
      <c r="F147" s="11" t="str">
        <f t="shared" si="31"/>
        <v>Nov</v>
      </c>
      <c r="G147" s="11" t="str">
        <f t="shared" si="32"/>
        <v>Nov'20/21</v>
      </c>
      <c r="H147" s="11" t="str">
        <f t="shared" si="25"/>
        <v>Nov'20/21</v>
      </c>
      <c r="I147" s="11">
        <f t="shared" si="26"/>
        <v>47.086823245125011</v>
      </c>
    </row>
    <row r="148" spans="2:9" x14ac:dyDescent="0.55000000000000004">
      <c r="B148" s="11">
        <f t="shared" si="27"/>
        <v>7</v>
      </c>
      <c r="C148" s="11">
        <f t="shared" si="28"/>
        <v>3</v>
      </c>
      <c r="D148" s="12">
        <f t="shared" si="29"/>
        <v>4382717.5472266665</v>
      </c>
      <c r="E148" s="11" t="str">
        <f t="shared" si="30"/>
        <v>20/21</v>
      </c>
      <c r="F148" s="11" t="str">
        <f t="shared" si="31"/>
        <v>Dec</v>
      </c>
      <c r="G148" s="11" t="str">
        <f t="shared" si="32"/>
        <v>Dec'20/21</v>
      </c>
      <c r="H148" s="11" t="str">
        <f t="shared" si="25"/>
        <v>Dec'20/21</v>
      </c>
      <c r="I148" s="11">
        <f t="shared" si="26"/>
        <v>46.818244458768341</v>
      </c>
    </row>
    <row r="149" spans="2:9" x14ac:dyDescent="0.55000000000000004">
      <c r="B149" s="11">
        <f t="shared" si="27"/>
        <v>7</v>
      </c>
      <c r="C149" s="11">
        <f t="shared" si="28"/>
        <v>4</v>
      </c>
      <c r="D149" s="12">
        <f t="shared" si="29"/>
        <v>4408665.3817633335</v>
      </c>
      <c r="E149" s="11" t="str">
        <f t="shared" si="30"/>
        <v>20/21</v>
      </c>
      <c r="F149" s="11" t="str">
        <f t="shared" si="31"/>
        <v>Jan</v>
      </c>
      <c r="G149" s="11" t="str">
        <f t="shared" si="32"/>
        <v>Jan'20/21</v>
      </c>
      <c r="H149" s="11" t="str">
        <f t="shared" si="25"/>
        <v>Jan'20/21</v>
      </c>
      <c r="I149" s="11">
        <f t="shared" si="26"/>
        <v>47.236084625755005</v>
      </c>
    </row>
    <row r="150" spans="2:9" x14ac:dyDescent="0.55000000000000004">
      <c r="B150" s="11">
        <f t="shared" si="27"/>
        <v>7</v>
      </c>
      <c r="C150" s="11">
        <f t="shared" si="28"/>
        <v>5</v>
      </c>
      <c r="D150" s="12">
        <f t="shared" si="29"/>
        <v>3824051.7782583334</v>
      </c>
      <c r="E150" s="11" t="str">
        <f t="shared" si="30"/>
        <v>20/21</v>
      </c>
      <c r="F150" s="11" t="str">
        <f t="shared" si="31"/>
        <v>Feb</v>
      </c>
      <c r="G150" s="11" t="str">
        <f t="shared" si="32"/>
        <v>Feb'20/21</v>
      </c>
      <c r="H150" s="11" t="str">
        <f t="shared" ref="H150:H213" si="33">G150</f>
        <v>Feb'20/21</v>
      </c>
      <c r="I150" s="11">
        <f t="shared" ref="I150:I213" si="34">SUM(D139:D150)/1000000</f>
        <v>46.40619303519</v>
      </c>
    </row>
    <row r="151" spans="2:9" x14ac:dyDescent="0.55000000000000004">
      <c r="B151" s="11">
        <f t="shared" ref="B151:B214" si="35">B139+1</f>
        <v>7</v>
      </c>
      <c r="C151" s="11">
        <f t="shared" ref="C151:C214" si="36">C139</f>
        <v>6</v>
      </c>
      <c r="D151" s="12">
        <f t="shared" si="29"/>
        <v>4831038.3816133337</v>
      </c>
      <c r="E151" s="11" t="str">
        <f t="shared" si="30"/>
        <v>20/21</v>
      </c>
      <c r="F151" s="11" t="str">
        <f t="shared" si="31"/>
        <v>Mar</v>
      </c>
      <c r="G151" s="11" t="str">
        <f t="shared" si="32"/>
        <v>Mar'20/21</v>
      </c>
      <c r="H151" s="11" t="str">
        <f t="shared" si="33"/>
        <v>Mar'20/21</v>
      </c>
      <c r="I151" s="11">
        <f t="shared" si="34"/>
        <v>46.411593198570003</v>
      </c>
    </row>
    <row r="152" spans="2:9" x14ac:dyDescent="0.55000000000000004">
      <c r="B152" s="11">
        <f t="shared" si="35"/>
        <v>7</v>
      </c>
      <c r="C152" s="11">
        <f t="shared" si="36"/>
        <v>7</v>
      </c>
      <c r="D152" s="12">
        <f t="shared" si="29"/>
        <v>3813300.0974283339</v>
      </c>
      <c r="E152" s="11" t="str">
        <f t="shared" si="30"/>
        <v>20/21</v>
      </c>
      <c r="F152" s="11" t="str">
        <f t="shared" si="31"/>
        <v>Apr</v>
      </c>
      <c r="G152" s="11" t="str">
        <f t="shared" si="32"/>
        <v>Apr'20/21</v>
      </c>
      <c r="H152" s="11" t="str">
        <f t="shared" si="33"/>
        <v>Apr'20/21</v>
      </c>
      <c r="I152" s="11">
        <f t="shared" si="34"/>
        <v>46.141489296998337</v>
      </c>
    </row>
    <row r="153" spans="2:9" x14ac:dyDescent="0.55000000000000004">
      <c r="B153" s="11">
        <f t="shared" si="35"/>
        <v>7</v>
      </c>
      <c r="C153" s="11">
        <f t="shared" si="36"/>
        <v>8</v>
      </c>
      <c r="D153" s="12">
        <f t="shared" si="29"/>
        <v>3626675.3982016668</v>
      </c>
      <c r="E153" s="11" t="str">
        <f t="shared" si="30"/>
        <v>20/21</v>
      </c>
      <c r="F153" s="11" t="str">
        <f t="shared" si="31"/>
        <v>May</v>
      </c>
      <c r="G153" s="11" t="str">
        <f t="shared" si="32"/>
        <v>May'20/21</v>
      </c>
      <c r="H153" s="11" t="str">
        <f t="shared" si="33"/>
        <v>May'20/21</v>
      </c>
      <c r="I153" s="11">
        <f t="shared" si="34"/>
        <v>46.22670369203334</v>
      </c>
    </row>
    <row r="154" spans="2:9" x14ac:dyDescent="0.55000000000000004">
      <c r="B154" s="11">
        <f t="shared" si="35"/>
        <v>7</v>
      </c>
      <c r="C154" s="11">
        <f t="shared" si="36"/>
        <v>9</v>
      </c>
      <c r="D154" s="12">
        <f t="shared" si="29"/>
        <v>4045000.3313683337</v>
      </c>
      <c r="E154" s="11" t="str">
        <f t="shared" si="30"/>
        <v>20/21</v>
      </c>
      <c r="F154" s="11" t="str">
        <f t="shared" si="31"/>
        <v>Jun</v>
      </c>
      <c r="G154" s="11" t="str">
        <f t="shared" si="32"/>
        <v>Jun'20/21</v>
      </c>
      <c r="H154" s="11" t="str">
        <f t="shared" si="33"/>
        <v>Jun'20/21</v>
      </c>
      <c r="I154" s="11">
        <f t="shared" si="34"/>
        <v>46.548417096603345</v>
      </c>
    </row>
    <row r="155" spans="2:9" x14ac:dyDescent="0.55000000000000004">
      <c r="B155" s="11">
        <f t="shared" si="35"/>
        <v>7</v>
      </c>
      <c r="C155" s="11">
        <f t="shared" si="36"/>
        <v>10</v>
      </c>
      <c r="D155" s="12">
        <f t="shared" si="29"/>
        <v>3941977.9925966668</v>
      </c>
      <c r="E155" s="11" t="str">
        <f t="shared" si="30"/>
        <v>20/21</v>
      </c>
      <c r="F155" s="11" t="str">
        <f t="shared" si="31"/>
        <v>Jul</v>
      </c>
      <c r="G155" s="11" t="str">
        <f t="shared" si="32"/>
        <v>Jul'20/21</v>
      </c>
      <c r="H155" s="11" t="str">
        <f t="shared" si="33"/>
        <v>Jul'20/21</v>
      </c>
      <c r="I155" s="11">
        <f t="shared" si="34"/>
        <v>46.813770715175004</v>
      </c>
    </row>
    <row r="156" spans="2:9" x14ac:dyDescent="0.55000000000000004">
      <c r="B156" s="11">
        <f t="shared" si="35"/>
        <v>7</v>
      </c>
      <c r="C156" s="11">
        <f t="shared" si="36"/>
        <v>11</v>
      </c>
      <c r="D156" s="12">
        <f t="shared" si="29"/>
        <v>3890193.6075750007</v>
      </c>
      <c r="E156" s="11" t="str">
        <f t="shared" si="30"/>
        <v>20/21</v>
      </c>
      <c r="F156" s="11" t="str">
        <f t="shared" si="31"/>
        <v>Aug</v>
      </c>
      <c r="G156" s="11" t="str">
        <f t="shared" si="32"/>
        <v>Aug'20/21</v>
      </c>
      <c r="H156" s="11" t="str">
        <f t="shared" si="33"/>
        <v>Aug'20/21</v>
      </c>
      <c r="I156" s="11">
        <f t="shared" si="34"/>
        <v>47.16936060369833</v>
      </c>
    </row>
    <row r="157" spans="2:9" x14ac:dyDescent="0.55000000000000004">
      <c r="B157" s="11">
        <f t="shared" si="35"/>
        <v>7</v>
      </c>
      <c r="C157" s="11">
        <f t="shared" si="36"/>
        <v>12</v>
      </c>
      <c r="D157" s="12">
        <f t="shared" si="29"/>
        <v>3811827.8574033333</v>
      </c>
      <c r="E157" s="11" t="str">
        <f t="shared" si="30"/>
        <v>20/21</v>
      </c>
      <c r="F157" s="11" t="str">
        <f t="shared" si="31"/>
        <v>Sep</v>
      </c>
      <c r="G157" s="11" t="str">
        <f t="shared" si="32"/>
        <v>Sep'20/21</v>
      </c>
      <c r="H157" s="11" t="str">
        <f t="shared" si="33"/>
        <v>Sep'20/21</v>
      </c>
      <c r="I157" s="11">
        <f t="shared" si="34"/>
        <v>47.198156729934993</v>
      </c>
    </row>
    <row r="158" spans="2:9" x14ac:dyDescent="0.55000000000000004">
      <c r="B158" s="11">
        <f t="shared" si="35"/>
        <v>8</v>
      </c>
      <c r="C158" s="11">
        <f t="shared" si="36"/>
        <v>1</v>
      </c>
      <c r="D158" s="12">
        <f t="shared" si="29"/>
        <v>3708176.4163799998</v>
      </c>
      <c r="E158" s="11" t="str">
        <f t="shared" si="30"/>
        <v>21/22</v>
      </c>
      <c r="F158" s="11" t="str">
        <f t="shared" si="31"/>
        <v>Oct</v>
      </c>
      <c r="G158" s="11" t="str">
        <f t="shared" si="32"/>
        <v>Oct'21/22</v>
      </c>
      <c r="H158" s="11" t="str">
        <f t="shared" si="33"/>
        <v>Oct'21/22</v>
      </c>
      <c r="I158" s="11">
        <f t="shared" si="34"/>
        <v>47.484613388648334</v>
      </c>
    </row>
    <row r="159" spans="2:9" x14ac:dyDescent="0.55000000000000004">
      <c r="B159" s="11">
        <f t="shared" si="35"/>
        <v>8</v>
      </c>
      <c r="C159" s="11">
        <f t="shared" si="36"/>
        <v>2</v>
      </c>
      <c r="D159" s="12">
        <f t="shared" si="29"/>
        <v>3894882.4421783332</v>
      </c>
      <c r="E159" s="11" t="str">
        <f t="shared" si="30"/>
        <v>21/22</v>
      </c>
      <c r="F159" s="11" t="str">
        <f t="shared" si="31"/>
        <v>Nov</v>
      </c>
      <c r="G159" s="11" t="str">
        <f t="shared" si="32"/>
        <v>Nov'21/22</v>
      </c>
      <c r="H159" s="11" t="str">
        <f t="shared" si="33"/>
        <v>Nov'21/22</v>
      </c>
      <c r="I159" s="11">
        <f t="shared" si="34"/>
        <v>48.178507231993329</v>
      </c>
    </row>
    <row r="160" spans="2:9" x14ac:dyDescent="0.55000000000000004">
      <c r="B160" s="11">
        <f t="shared" si="35"/>
        <v>8</v>
      </c>
      <c r="C160" s="11">
        <f t="shared" si="36"/>
        <v>3</v>
      </c>
      <c r="D160" s="12">
        <f t="shared" si="29"/>
        <v>4929357.7774533331</v>
      </c>
      <c r="E160" s="11" t="str">
        <f t="shared" si="30"/>
        <v>21/22</v>
      </c>
      <c r="F160" s="11" t="str">
        <f t="shared" si="31"/>
        <v>Dec</v>
      </c>
      <c r="G160" s="11" t="str">
        <f t="shared" si="32"/>
        <v>Dec'21/22</v>
      </c>
      <c r="H160" s="11" t="str">
        <f t="shared" si="33"/>
        <v>Dec'21/22</v>
      </c>
      <c r="I160" s="11">
        <f t="shared" si="34"/>
        <v>48.725147462220001</v>
      </c>
    </row>
    <row r="161" spans="2:9" x14ac:dyDescent="0.55000000000000004">
      <c r="B161" s="11">
        <f t="shared" si="35"/>
        <v>8</v>
      </c>
      <c r="C161" s="11">
        <f t="shared" si="36"/>
        <v>4</v>
      </c>
      <c r="D161" s="12">
        <f t="shared" si="29"/>
        <v>5669074.5573816663</v>
      </c>
      <c r="E161" s="11" t="str">
        <f t="shared" si="30"/>
        <v>21/22</v>
      </c>
      <c r="F161" s="11" t="str">
        <f t="shared" si="31"/>
        <v>Jan</v>
      </c>
      <c r="G161" s="11" t="str">
        <f t="shared" si="32"/>
        <v>Jan'21/22</v>
      </c>
      <c r="H161" s="11" t="str">
        <f t="shared" si="33"/>
        <v>Jan'21/22</v>
      </c>
      <c r="I161" s="11">
        <f t="shared" si="34"/>
        <v>49.985556637838336</v>
      </c>
    </row>
    <row r="162" spans="2:9" x14ac:dyDescent="0.55000000000000004">
      <c r="B162" s="11">
        <f t="shared" si="35"/>
        <v>8</v>
      </c>
      <c r="C162" s="11">
        <f t="shared" si="36"/>
        <v>5</v>
      </c>
      <c r="D162" s="12">
        <f t="shared" si="29"/>
        <v>3928639.9462833335</v>
      </c>
      <c r="E162" s="11" t="str">
        <f t="shared" si="30"/>
        <v>21/22</v>
      </c>
      <c r="F162" s="11" t="str">
        <f t="shared" si="31"/>
        <v>Feb</v>
      </c>
      <c r="G162" s="11" t="str">
        <f t="shared" si="32"/>
        <v>Feb'21/22</v>
      </c>
      <c r="H162" s="11" t="str">
        <f t="shared" si="33"/>
        <v>Feb'21/22</v>
      </c>
      <c r="I162" s="11">
        <f t="shared" si="34"/>
        <v>50.090144805863339</v>
      </c>
    </row>
    <row r="163" spans="2:9" x14ac:dyDescent="0.55000000000000004">
      <c r="B163" s="11">
        <f t="shared" si="35"/>
        <v>8</v>
      </c>
      <c r="C163" s="11">
        <f t="shared" si="36"/>
        <v>6</v>
      </c>
      <c r="D163" s="12">
        <f t="shared" si="29"/>
        <v>5141461.7382400008</v>
      </c>
      <c r="E163" s="11" t="str">
        <f t="shared" si="30"/>
        <v>21/22</v>
      </c>
      <c r="F163" s="11" t="str">
        <f t="shared" si="31"/>
        <v>Mar</v>
      </c>
      <c r="G163" s="11" t="str">
        <f t="shared" si="32"/>
        <v>Mar'21/22</v>
      </c>
      <c r="H163" s="11" t="str">
        <f t="shared" si="33"/>
        <v>Mar'21/22</v>
      </c>
      <c r="I163" s="11">
        <f t="shared" si="34"/>
        <v>50.400568162490003</v>
      </c>
    </row>
    <row r="164" spans="2:9" x14ac:dyDescent="0.55000000000000004">
      <c r="B164" s="11">
        <f t="shared" si="35"/>
        <v>8</v>
      </c>
      <c r="C164" s="11">
        <f t="shared" si="36"/>
        <v>7</v>
      </c>
      <c r="D164" s="12">
        <f t="shared" si="29"/>
        <v>4049526.2771383338</v>
      </c>
      <c r="E164" s="11" t="str">
        <f t="shared" si="30"/>
        <v>21/22</v>
      </c>
      <c r="F164" s="11" t="str">
        <f t="shared" si="31"/>
        <v>Apr</v>
      </c>
      <c r="G164" s="11" t="str">
        <f t="shared" si="32"/>
        <v>Apr'21/22</v>
      </c>
      <c r="H164" s="11" t="str">
        <f t="shared" si="33"/>
        <v>Apr'21/22</v>
      </c>
      <c r="I164" s="11">
        <f t="shared" si="34"/>
        <v>50.636794342200012</v>
      </c>
    </row>
    <row r="165" spans="2:9" x14ac:dyDescent="0.55000000000000004">
      <c r="B165" s="11">
        <f t="shared" si="35"/>
        <v>8</v>
      </c>
      <c r="C165" s="11">
        <f t="shared" si="36"/>
        <v>8</v>
      </c>
      <c r="D165" s="12">
        <f t="shared" si="29"/>
        <v>3953747.9205200002</v>
      </c>
      <c r="E165" s="11" t="str">
        <f t="shared" si="30"/>
        <v>21/22</v>
      </c>
      <c r="F165" s="11" t="str">
        <f t="shared" si="31"/>
        <v>May</v>
      </c>
      <c r="G165" s="11" t="str">
        <f t="shared" si="32"/>
        <v>May'21/22</v>
      </c>
      <c r="H165" s="11" t="str">
        <f t="shared" si="33"/>
        <v>May'21/22</v>
      </c>
      <c r="I165" s="11">
        <f t="shared" si="34"/>
        <v>50.963866864518337</v>
      </c>
    </row>
    <row r="166" spans="2:9" x14ac:dyDescent="0.55000000000000004">
      <c r="B166" s="11">
        <f t="shared" si="35"/>
        <v>8</v>
      </c>
      <c r="C166" s="11">
        <f t="shared" si="36"/>
        <v>9</v>
      </c>
      <c r="D166" s="12">
        <f t="shared" si="29"/>
        <v>3916414.5964549999</v>
      </c>
      <c r="E166" s="11" t="str">
        <f t="shared" si="30"/>
        <v>21/22</v>
      </c>
      <c r="F166" s="11" t="str">
        <f t="shared" si="31"/>
        <v>Jun</v>
      </c>
      <c r="G166" s="11" t="str">
        <f t="shared" si="32"/>
        <v>Jun'21/22</v>
      </c>
      <c r="H166" s="11" t="str">
        <f t="shared" si="33"/>
        <v>Jun'21/22</v>
      </c>
      <c r="I166" s="11">
        <f t="shared" si="34"/>
        <v>50.835281129605008</v>
      </c>
    </row>
    <row r="167" spans="2:9" x14ac:dyDescent="0.55000000000000004">
      <c r="B167" s="11">
        <f t="shared" si="35"/>
        <v>8</v>
      </c>
      <c r="C167" s="11">
        <f t="shared" si="36"/>
        <v>10</v>
      </c>
      <c r="D167" s="12">
        <f t="shared" si="29"/>
        <v>3663053.7914166669</v>
      </c>
      <c r="E167" s="11" t="str">
        <f t="shared" si="30"/>
        <v>21/22</v>
      </c>
      <c r="F167" s="11" t="str">
        <f t="shared" si="31"/>
        <v>Jul</v>
      </c>
      <c r="G167" s="11" t="str">
        <f t="shared" si="32"/>
        <v>Jul'21/22</v>
      </c>
      <c r="H167" s="11" t="str">
        <f t="shared" si="33"/>
        <v>Jul'21/22</v>
      </c>
      <c r="I167" s="11">
        <f t="shared" si="34"/>
        <v>50.556356928425004</v>
      </c>
    </row>
    <row r="168" spans="2:9" x14ac:dyDescent="0.55000000000000004">
      <c r="B168" s="11">
        <f t="shared" si="35"/>
        <v>8</v>
      </c>
      <c r="C168" s="11">
        <f t="shared" si="36"/>
        <v>11</v>
      </c>
      <c r="D168" s="12">
        <f t="shared" si="29"/>
        <v>3894194.3862266671</v>
      </c>
      <c r="E168" s="11" t="str">
        <f t="shared" si="30"/>
        <v>21/22</v>
      </c>
      <c r="F168" s="11" t="str">
        <f t="shared" si="31"/>
        <v>Aug</v>
      </c>
      <c r="G168" s="11" t="str">
        <f t="shared" si="32"/>
        <v>Aug'21/22</v>
      </c>
      <c r="H168" s="11" t="str">
        <f t="shared" si="33"/>
        <v>Aug'21/22</v>
      </c>
      <c r="I168" s="11">
        <f t="shared" si="34"/>
        <v>50.560357707076669</v>
      </c>
    </row>
    <row r="169" spans="2:9" x14ac:dyDescent="0.55000000000000004">
      <c r="B169" s="11">
        <f t="shared" si="35"/>
        <v>8</v>
      </c>
      <c r="C169" s="11">
        <f t="shared" si="36"/>
        <v>12</v>
      </c>
      <c r="D169" s="12">
        <f t="shared" si="29"/>
        <v>3495999.3512133337</v>
      </c>
      <c r="E169" s="11" t="str">
        <f t="shared" si="30"/>
        <v>21/22</v>
      </c>
      <c r="F169" s="11" t="str">
        <f t="shared" si="31"/>
        <v>Sep</v>
      </c>
      <c r="G169" s="11" t="str">
        <f t="shared" si="32"/>
        <v>Sep'21/22</v>
      </c>
      <c r="H169" s="11" t="str">
        <f t="shared" si="33"/>
        <v>Sep'21/22</v>
      </c>
      <c r="I169" s="11">
        <f t="shared" si="34"/>
        <v>50.244529200886667</v>
      </c>
    </row>
    <row r="170" spans="2:9" x14ac:dyDescent="0.55000000000000004">
      <c r="B170" s="11">
        <f t="shared" si="35"/>
        <v>9</v>
      </c>
      <c r="C170" s="11">
        <f t="shared" si="36"/>
        <v>1</v>
      </c>
      <c r="D170" s="12">
        <f t="shared" si="29"/>
        <v>3056268.9546166668</v>
      </c>
      <c r="E170" s="11" t="str">
        <f t="shared" si="30"/>
        <v>22/23</v>
      </c>
      <c r="F170" s="11" t="str">
        <f t="shared" si="31"/>
        <v>Oct</v>
      </c>
      <c r="G170" s="11" t="str">
        <f t="shared" si="32"/>
        <v>Oct'22/23</v>
      </c>
      <c r="H170" s="11" t="str">
        <f t="shared" si="33"/>
        <v>Oct'22/23</v>
      </c>
      <c r="I170" s="11">
        <f t="shared" si="34"/>
        <v>49.592621739123338</v>
      </c>
    </row>
    <row r="171" spans="2:9" x14ac:dyDescent="0.55000000000000004">
      <c r="B171" s="11">
        <f t="shared" si="35"/>
        <v>9</v>
      </c>
      <c r="C171" s="11">
        <f t="shared" si="36"/>
        <v>2</v>
      </c>
      <c r="D171" s="12">
        <f t="shared" si="29"/>
        <v>3931690.7162016672</v>
      </c>
      <c r="E171" s="11" t="str">
        <f t="shared" si="30"/>
        <v>22/23</v>
      </c>
      <c r="F171" s="11" t="str">
        <f t="shared" si="31"/>
        <v>Nov</v>
      </c>
      <c r="G171" s="11" t="str">
        <f t="shared" si="32"/>
        <v>Nov'22/23</v>
      </c>
      <c r="H171" s="11" t="str">
        <f t="shared" si="33"/>
        <v>Nov'22/23</v>
      </c>
      <c r="I171" s="11">
        <f t="shared" si="34"/>
        <v>49.629430013146674</v>
      </c>
    </row>
    <row r="172" spans="2:9" x14ac:dyDescent="0.55000000000000004">
      <c r="B172" s="11">
        <f t="shared" si="35"/>
        <v>9</v>
      </c>
      <c r="C172" s="11">
        <f t="shared" si="36"/>
        <v>3</v>
      </c>
      <c r="D172" s="12">
        <f t="shared" si="29"/>
        <v>4675877.2207450001</v>
      </c>
      <c r="E172" s="11" t="str">
        <f t="shared" si="30"/>
        <v>22/23</v>
      </c>
      <c r="F172" s="11" t="str">
        <f t="shared" si="31"/>
        <v>Dec</v>
      </c>
      <c r="G172" s="11" t="str">
        <f t="shared" si="32"/>
        <v>Dec'22/23</v>
      </c>
      <c r="H172" s="11" t="str">
        <f t="shared" si="33"/>
        <v>Dec'22/23</v>
      </c>
      <c r="I172" s="11">
        <f t="shared" si="34"/>
        <v>49.375949456438342</v>
      </c>
    </row>
    <row r="173" spans="2:9" x14ac:dyDescent="0.55000000000000004">
      <c r="B173" s="11">
        <f t="shared" si="35"/>
        <v>9</v>
      </c>
      <c r="C173" s="11">
        <f t="shared" si="36"/>
        <v>4</v>
      </c>
      <c r="D173" s="12">
        <f t="shared" si="29"/>
        <v>4169846.2500639306</v>
      </c>
      <c r="E173" s="11" t="str">
        <f t="shared" si="30"/>
        <v>22/23</v>
      </c>
      <c r="F173" s="11" t="str">
        <f t="shared" si="31"/>
        <v>Jan</v>
      </c>
      <c r="G173" s="11" t="str">
        <f t="shared" si="32"/>
        <v>Jan'22/23</v>
      </c>
      <c r="H173" s="11" t="str">
        <f t="shared" si="33"/>
        <v>Jan'22/23</v>
      </c>
      <c r="I173" s="11">
        <f t="shared" si="34"/>
        <v>47.876721149120606</v>
      </c>
    </row>
    <row r="174" spans="2:9" x14ac:dyDescent="0.55000000000000004">
      <c r="B174" s="11">
        <f t="shared" si="35"/>
        <v>9</v>
      </c>
      <c r="C174" s="11">
        <f t="shared" si="36"/>
        <v>5</v>
      </c>
      <c r="D174" s="12">
        <f t="shared" si="29"/>
        <v>4244848.9383861534</v>
      </c>
      <c r="E174" s="11" t="str">
        <f t="shared" si="30"/>
        <v>22/23</v>
      </c>
      <c r="F174" s="11" t="str">
        <f t="shared" si="31"/>
        <v>Feb</v>
      </c>
      <c r="G174" s="11" t="str">
        <f t="shared" si="32"/>
        <v>Feb'22/23</v>
      </c>
      <c r="H174" s="11" t="str">
        <f t="shared" si="33"/>
        <v>Feb'22/23</v>
      </c>
      <c r="I174" s="11">
        <f t="shared" si="34"/>
        <v>48.192930141223414</v>
      </c>
    </row>
    <row r="175" spans="2:9" x14ac:dyDescent="0.55000000000000004">
      <c r="B175" s="11">
        <f t="shared" si="35"/>
        <v>9</v>
      </c>
      <c r="C175" s="11">
        <f t="shared" si="36"/>
        <v>6</v>
      </c>
      <c r="D175" s="12">
        <f t="shared" si="29"/>
        <v>5003551.5155627783</v>
      </c>
      <c r="E175" s="11" t="str">
        <f t="shared" si="30"/>
        <v>22/23</v>
      </c>
      <c r="F175" s="11" t="str">
        <f t="shared" si="31"/>
        <v>Mar</v>
      </c>
      <c r="G175" s="11" t="str">
        <f t="shared" si="32"/>
        <v>Mar'22/23</v>
      </c>
      <c r="H175" s="11" t="str">
        <f t="shared" si="33"/>
        <v>Mar'22/23</v>
      </c>
      <c r="I175" s="11">
        <f t="shared" si="34"/>
        <v>48.055019918546193</v>
      </c>
    </row>
    <row r="176" spans="2:9" x14ac:dyDescent="0.55000000000000004">
      <c r="B176" s="11">
        <f t="shared" si="35"/>
        <v>9</v>
      </c>
      <c r="C176" s="11">
        <f t="shared" si="36"/>
        <v>7</v>
      </c>
      <c r="D176" s="12">
        <f t="shared" si="29"/>
        <v>4063124.6646461114</v>
      </c>
      <c r="E176" s="11" t="str">
        <f t="shared" si="30"/>
        <v>22/23</v>
      </c>
      <c r="F176" s="11" t="str">
        <f t="shared" si="31"/>
        <v>Apr</v>
      </c>
      <c r="G176" s="11" t="str">
        <f t="shared" si="32"/>
        <v>Apr'22/23</v>
      </c>
      <c r="H176" s="11" t="str">
        <f t="shared" si="33"/>
        <v>Apr'22/23</v>
      </c>
      <c r="I176" s="11">
        <f t="shared" si="34"/>
        <v>48.068618306053985</v>
      </c>
    </row>
    <row r="177" spans="2:9" x14ac:dyDescent="0.55000000000000004">
      <c r="B177" s="11">
        <f t="shared" si="35"/>
        <v>9</v>
      </c>
      <c r="C177" s="11">
        <f t="shared" si="36"/>
        <v>8</v>
      </c>
      <c r="D177" s="12">
        <f t="shared" si="29"/>
        <v>4073532.2953845276</v>
      </c>
      <c r="E177" s="11" t="str">
        <f t="shared" si="30"/>
        <v>22/23</v>
      </c>
      <c r="F177" s="11" t="str">
        <f t="shared" si="31"/>
        <v>May</v>
      </c>
      <c r="G177" s="11" t="str">
        <f t="shared" si="32"/>
        <v>May'22/23</v>
      </c>
      <c r="H177" s="11" t="str">
        <f t="shared" si="33"/>
        <v>May'22/23</v>
      </c>
      <c r="I177" s="11">
        <f t="shared" si="34"/>
        <v>48.1884026809185</v>
      </c>
    </row>
    <row r="178" spans="2:9" x14ac:dyDescent="0.55000000000000004">
      <c r="B178" s="11">
        <f t="shared" si="35"/>
        <v>9</v>
      </c>
      <c r="C178" s="11">
        <f t="shared" si="36"/>
        <v>9</v>
      </c>
      <c r="D178" s="12">
        <f t="shared" si="29"/>
        <v>4153189.142687778</v>
      </c>
      <c r="E178" s="11" t="str">
        <f t="shared" si="30"/>
        <v>22/23</v>
      </c>
      <c r="F178" s="11" t="str">
        <f t="shared" si="31"/>
        <v>Jun</v>
      </c>
      <c r="G178" s="11" t="str">
        <f t="shared" si="32"/>
        <v>Jun'22/23</v>
      </c>
      <c r="H178" s="11" t="str">
        <f t="shared" si="33"/>
        <v>Jun'22/23</v>
      </c>
      <c r="I178" s="11">
        <f t="shared" si="34"/>
        <v>48.425177227151273</v>
      </c>
    </row>
    <row r="179" spans="2:9" x14ac:dyDescent="0.55000000000000004">
      <c r="B179" s="11">
        <f t="shared" si="35"/>
        <v>9</v>
      </c>
      <c r="C179" s="11">
        <f t="shared" si="36"/>
        <v>10</v>
      </c>
      <c r="D179" s="12">
        <f t="shared" si="29"/>
        <v>4031409.0390817472</v>
      </c>
      <c r="E179" s="11" t="str">
        <f t="shared" si="30"/>
        <v>22/23</v>
      </c>
      <c r="F179" s="11" t="str">
        <f t="shared" si="31"/>
        <v>Jul</v>
      </c>
      <c r="G179" s="11" t="str">
        <f t="shared" si="32"/>
        <v>Jul'22/23</v>
      </c>
      <c r="H179" s="11" t="str">
        <f t="shared" si="33"/>
        <v>Jul'22/23</v>
      </c>
      <c r="I179" s="11">
        <f t="shared" si="34"/>
        <v>48.793532474816352</v>
      </c>
    </row>
    <row r="180" spans="2:9" x14ac:dyDescent="0.55000000000000004">
      <c r="B180" s="11">
        <f t="shared" si="35"/>
        <v>9</v>
      </c>
      <c r="C180" s="11">
        <f t="shared" si="36"/>
        <v>11</v>
      </c>
      <c r="D180" s="12">
        <f t="shared" si="29"/>
        <v>3880807.0940577779</v>
      </c>
      <c r="E180" s="11" t="str">
        <f t="shared" si="30"/>
        <v>22/23</v>
      </c>
      <c r="F180" s="11" t="str">
        <f t="shared" si="31"/>
        <v>Aug</v>
      </c>
      <c r="G180" s="11" t="str">
        <f t="shared" si="32"/>
        <v>Aug'22/23</v>
      </c>
      <c r="H180" s="11" t="str">
        <f t="shared" si="33"/>
        <v>Aug'22/23</v>
      </c>
      <c r="I180" s="11">
        <f t="shared" si="34"/>
        <v>48.780145182647459</v>
      </c>
    </row>
    <row r="181" spans="2:9" x14ac:dyDescent="0.55000000000000004">
      <c r="B181" s="11">
        <f t="shared" si="35"/>
        <v>9</v>
      </c>
      <c r="C181" s="11">
        <f t="shared" si="36"/>
        <v>12</v>
      </c>
      <c r="D181" s="12">
        <f t="shared" si="29"/>
        <v>2896229.0083461115</v>
      </c>
      <c r="E181" s="11" t="str">
        <f t="shared" si="30"/>
        <v>22/23</v>
      </c>
      <c r="F181" s="11" t="str">
        <f t="shared" si="31"/>
        <v>Sep</v>
      </c>
      <c r="G181" s="11" t="str">
        <f t="shared" si="32"/>
        <v>Sep'22/23</v>
      </c>
      <c r="H181" s="11" t="str">
        <f t="shared" si="33"/>
        <v>Sep'22/23</v>
      </c>
      <c r="I181" s="11">
        <f t="shared" si="34"/>
        <v>48.180374839780242</v>
      </c>
    </row>
    <row r="182" spans="2:9" x14ac:dyDescent="0.55000000000000004">
      <c r="B182" s="11">
        <f t="shared" si="35"/>
        <v>10</v>
      </c>
      <c r="C182" s="11">
        <f t="shared" si="36"/>
        <v>1</v>
      </c>
      <c r="D182" s="12">
        <f t="shared" si="29"/>
        <v>2698290.4687283332</v>
      </c>
      <c r="E182" s="11" t="str">
        <f t="shared" si="30"/>
        <v>23/24</v>
      </c>
      <c r="F182" s="11" t="str">
        <f t="shared" si="31"/>
        <v>Oct</v>
      </c>
      <c r="G182" s="11" t="str">
        <f t="shared" si="32"/>
        <v>Oct'23/24</v>
      </c>
      <c r="H182" s="11" t="str">
        <f t="shared" si="33"/>
        <v>Oct'23/24</v>
      </c>
      <c r="I182" s="11">
        <f t="shared" si="34"/>
        <v>47.822396353891911</v>
      </c>
    </row>
    <row r="183" spans="2:9" x14ac:dyDescent="0.55000000000000004">
      <c r="B183" s="11">
        <f t="shared" si="35"/>
        <v>10</v>
      </c>
      <c r="C183" s="11">
        <f t="shared" si="36"/>
        <v>2</v>
      </c>
      <c r="D183" s="12">
        <f t="shared" si="29"/>
        <v>4067753.1562350239</v>
      </c>
      <c r="E183" s="11" t="str">
        <f t="shared" si="30"/>
        <v>23/24</v>
      </c>
      <c r="F183" s="11" t="str">
        <f t="shared" si="31"/>
        <v>Nov</v>
      </c>
      <c r="G183" s="11" t="str">
        <f t="shared" si="32"/>
        <v>Nov'23/24</v>
      </c>
      <c r="H183" s="11" t="str">
        <f t="shared" si="33"/>
        <v>Nov'23/24</v>
      </c>
      <c r="I183" s="11">
        <f t="shared" si="34"/>
        <v>47.958458793925267</v>
      </c>
    </row>
    <row r="184" spans="2:9" x14ac:dyDescent="0.55000000000000004">
      <c r="B184" s="11">
        <f t="shared" si="35"/>
        <v>10</v>
      </c>
      <c r="C184" s="11">
        <f t="shared" si="36"/>
        <v>3</v>
      </c>
      <c r="D184" s="12">
        <f t="shared" si="29"/>
        <v>4961612.188103334</v>
      </c>
      <c r="E184" s="11" t="str">
        <f t="shared" si="30"/>
        <v>23/24</v>
      </c>
      <c r="F184" s="11" t="str">
        <f t="shared" si="31"/>
        <v>Dec</v>
      </c>
      <c r="G184" s="11" t="str">
        <f t="shared" si="32"/>
        <v>Dec'23/24</v>
      </c>
      <c r="H184" s="11" t="str">
        <f t="shared" si="33"/>
        <v>Dec'23/24</v>
      </c>
      <c r="I184" s="11">
        <f t="shared" si="34"/>
        <v>48.244193761283604</v>
      </c>
    </row>
    <row r="185" spans="2:9" x14ac:dyDescent="0.55000000000000004">
      <c r="B185" s="11">
        <f t="shared" si="35"/>
        <v>10</v>
      </c>
      <c r="C185" s="11">
        <f t="shared" si="36"/>
        <v>4</v>
      </c>
      <c r="D185" s="12">
        <f t="shared" si="29"/>
        <v>5436721.0304466663</v>
      </c>
      <c r="E185" s="11" t="str">
        <f t="shared" si="30"/>
        <v>23/24</v>
      </c>
      <c r="F185" s="11" t="str">
        <f t="shared" si="31"/>
        <v>Jan</v>
      </c>
      <c r="G185" s="11" t="str">
        <f t="shared" si="32"/>
        <v>Jan'23/24</v>
      </c>
      <c r="H185" s="11" t="str">
        <f t="shared" si="33"/>
        <v>Jan'23/24</v>
      </c>
      <c r="I185" s="11">
        <f t="shared" si="34"/>
        <v>49.511068541666347</v>
      </c>
    </row>
    <row r="186" spans="2:9" x14ac:dyDescent="0.55000000000000004">
      <c r="B186" s="11">
        <f t="shared" si="35"/>
        <v>10</v>
      </c>
      <c r="C186" s="11">
        <f t="shared" si="36"/>
        <v>5</v>
      </c>
      <c r="D186" s="12">
        <f t="shared" si="29"/>
        <v>4511533.6665060846</v>
      </c>
      <c r="E186" s="11" t="str">
        <f t="shared" si="30"/>
        <v>23/24</v>
      </c>
      <c r="F186" s="11" t="str">
        <f t="shared" si="31"/>
        <v>Feb</v>
      </c>
      <c r="G186" s="11" t="str">
        <f t="shared" si="32"/>
        <v>Feb'23/24</v>
      </c>
      <c r="H186" s="11" t="str">
        <f t="shared" si="33"/>
        <v>Feb'23/24</v>
      </c>
      <c r="I186" s="11">
        <f t="shared" si="34"/>
        <v>49.777753269786267</v>
      </c>
    </row>
    <row r="187" spans="2:9" x14ac:dyDescent="0.55000000000000004">
      <c r="B187" s="11">
        <f t="shared" si="35"/>
        <v>10</v>
      </c>
      <c r="C187" s="11">
        <f t="shared" si="36"/>
        <v>6</v>
      </c>
      <c r="D187" s="12">
        <f t="shared" si="29"/>
        <v>5338142.2960216664</v>
      </c>
      <c r="E187" s="11" t="str">
        <f t="shared" si="30"/>
        <v>23/24</v>
      </c>
      <c r="F187" s="11" t="str">
        <f t="shared" si="31"/>
        <v>Mar</v>
      </c>
      <c r="G187" s="11" t="str">
        <f t="shared" si="32"/>
        <v>Mar'23/24</v>
      </c>
      <c r="H187" s="11" t="str">
        <f t="shared" si="33"/>
        <v>Mar'23/24</v>
      </c>
      <c r="I187" s="11">
        <f t="shared" si="34"/>
        <v>50.112344050245149</v>
      </c>
    </row>
    <row r="188" spans="2:9" x14ac:dyDescent="0.55000000000000004">
      <c r="B188" s="11">
        <f t="shared" si="35"/>
        <v>10</v>
      </c>
      <c r="C188" s="11">
        <f t="shared" si="36"/>
        <v>7</v>
      </c>
      <c r="D188" s="12">
        <f t="shared" si="29"/>
        <v>4304766.7840766665</v>
      </c>
      <c r="E188" s="11" t="str">
        <f t="shared" si="30"/>
        <v>23/24</v>
      </c>
      <c r="F188" s="11" t="str">
        <f t="shared" si="31"/>
        <v>Apr</v>
      </c>
      <c r="G188" s="11" t="str">
        <f t="shared" si="32"/>
        <v>Apr'23/24</v>
      </c>
      <c r="H188" s="11" t="str">
        <f t="shared" si="33"/>
        <v>Apr'23/24</v>
      </c>
      <c r="I188" s="11">
        <f t="shared" si="34"/>
        <v>50.353986169675714</v>
      </c>
    </row>
    <row r="189" spans="2:9" x14ac:dyDescent="0.55000000000000004">
      <c r="B189" s="11">
        <f t="shared" si="35"/>
        <v>10</v>
      </c>
      <c r="C189" s="11">
        <f t="shared" si="36"/>
        <v>8</v>
      </c>
      <c r="D189" s="12">
        <f t="shared" si="29"/>
        <v>3673592.8918416672</v>
      </c>
      <c r="E189" s="11" t="str">
        <f t="shared" si="30"/>
        <v>23/24</v>
      </c>
      <c r="F189" s="11" t="str">
        <f t="shared" si="31"/>
        <v>May</v>
      </c>
      <c r="G189" s="11" t="str">
        <f t="shared" si="32"/>
        <v>May'23/24</v>
      </c>
      <c r="H189" s="11" t="str">
        <f t="shared" si="33"/>
        <v>May'23/24</v>
      </c>
      <c r="I189" s="11">
        <f t="shared" si="34"/>
        <v>49.954046766132855</v>
      </c>
    </row>
    <row r="190" spans="2:9" x14ac:dyDescent="0.55000000000000004">
      <c r="B190" s="11">
        <f t="shared" si="35"/>
        <v>10</v>
      </c>
      <c r="C190" s="11">
        <f t="shared" si="36"/>
        <v>9</v>
      </c>
      <c r="D190" s="12">
        <f t="shared" si="29"/>
        <v>3555374.915961667</v>
      </c>
      <c r="E190" s="11" t="str">
        <f t="shared" si="30"/>
        <v>23/24</v>
      </c>
      <c r="F190" s="11" t="str">
        <f t="shared" si="31"/>
        <v>Jun</v>
      </c>
      <c r="G190" s="11" t="str">
        <f t="shared" si="32"/>
        <v>Jun'23/24</v>
      </c>
      <c r="H190" s="11" t="str">
        <f t="shared" si="33"/>
        <v>Jun'23/24</v>
      </c>
      <c r="I190" s="11">
        <f t="shared" si="34"/>
        <v>49.356232539406747</v>
      </c>
    </row>
    <row r="191" spans="2:9" x14ac:dyDescent="0.55000000000000004">
      <c r="B191" s="11">
        <f t="shared" si="35"/>
        <v>10</v>
      </c>
      <c r="C191" s="11">
        <f t="shared" si="36"/>
        <v>10</v>
      </c>
      <c r="D191" s="12">
        <f t="shared" si="29"/>
        <v>4099836.8430250003</v>
      </c>
      <c r="E191" s="11" t="str">
        <f t="shared" si="30"/>
        <v>23/24</v>
      </c>
      <c r="F191" s="11" t="str">
        <f t="shared" si="31"/>
        <v>Jul</v>
      </c>
      <c r="G191" s="11" t="str">
        <f t="shared" si="32"/>
        <v>Jul'23/24</v>
      </c>
      <c r="H191" s="11" t="str">
        <f t="shared" si="33"/>
        <v>Jul'23/24</v>
      </c>
      <c r="I191" s="11">
        <f t="shared" si="34"/>
        <v>49.424660343349998</v>
      </c>
    </row>
    <row r="192" spans="2:9" x14ac:dyDescent="0.55000000000000004">
      <c r="B192" s="11">
        <f t="shared" si="35"/>
        <v>10</v>
      </c>
      <c r="C192" s="11">
        <f t="shared" si="36"/>
        <v>11</v>
      </c>
      <c r="D192" s="12">
        <f t="shared" si="29"/>
        <v>4090245.1045383336</v>
      </c>
      <c r="E192" s="11" t="str">
        <f t="shared" si="30"/>
        <v>23/24</v>
      </c>
      <c r="F192" s="11" t="str">
        <f t="shared" si="31"/>
        <v>Aug</v>
      </c>
      <c r="G192" s="11" t="str">
        <f t="shared" si="32"/>
        <v>Aug'23/24</v>
      </c>
      <c r="H192" s="11" t="str">
        <f t="shared" si="33"/>
        <v>Aug'23/24</v>
      </c>
      <c r="I192" s="11">
        <f t="shared" si="34"/>
        <v>49.634098353830552</v>
      </c>
    </row>
    <row r="193" spans="2:9" x14ac:dyDescent="0.55000000000000004">
      <c r="B193" s="11">
        <f t="shared" si="35"/>
        <v>10</v>
      </c>
      <c r="C193" s="11">
        <f t="shared" si="36"/>
        <v>12</v>
      </c>
      <c r="D193" s="12">
        <f t="shared" si="29"/>
        <v>3304463.3223516671</v>
      </c>
      <c r="E193" s="11" t="str">
        <f t="shared" si="30"/>
        <v>23/24</v>
      </c>
      <c r="F193" s="11" t="str">
        <f t="shared" si="31"/>
        <v>Sep</v>
      </c>
      <c r="G193" s="11" t="str">
        <f t="shared" si="32"/>
        <v>Sep'23/24</v>
      </c>
      <c r="H193" s="11" t="str">
        <f t="shared" si="33"/>
        <v>Sep'23/24</v>
      </c>
      <c r="I193" s="11">
        <f t="shared" si="34"/>
        <v>50.042332667836106</v>
      </c>
    </row>
    <row r="194" spans="2:9" x14ac:dyDescent="0.55000000000000004">
      <c r="B194" s="11">
        <f t="shared" si="35"/>
        <v>11</v>
      </c>
      <c r="C194" s="11">
        <f t="shared" si="36"/>
        <v>1</v>
      </c>
      <c r="D194" s="12">
        <f t="shared" si="29"/>
        <v>3273026.8469266668</v>
      </c>
      <c r="E194" s="11" t="str">
        <f t="shared" si="30"/>
        <v>24/25</v>
      </c>
      <c r="F194" s="11" t="str">
        <f t="shared" si="31"/>
        <v>Oct</v>
      </c>
      <c r="G194" s="11" t="str">
        <f t="shared" si="32"/>
        <v>Oct'24/25</v>
      </c>
      <c r="H194" s="11" t="str">
        <f t="shared" si="33"/>
        <v>Oct'24/25</v>
      </c>
      <c r="I194" s="11">
        <f t="shared" si="34"/>
        <v>50.617069046034437</v>
      </c>
    </row>
    <row r="195" spans="2:9" x14ac:dyDescent="0.55000000000000004">
      <c r="B195" s="11">
        <f t="shared" si="35"/>
        <v>11</v>
      </c>
      <c r="C195" s="11">
        <f t="shared" si="36"/>
        <v>2</v>
      </c>
      <c r="D195" s="12">
        <f t="shared" si="29"/>
        <v>2958672.3951533334</v>
      </c>
      <c r="E195" s="11" t="str">
        <f t="shared" si="30"/>
        <v>24/25</v>
      </c>
      <c r="F195" s="11" t="str">
        <f t="shared" si="31"/>
        <v>Nov</v>
      </c>
      <c r="G195" s="11" t="str">
        <f t="shared" si="32"/>
        <v>Nov'24/25</v>
      </c>
      <c r="H195" s="11" t="str">
        <f t="shared" si="33"/>
        <v>Nov'24/25</v>
      </c>
      <c r="I195" s="11">
        <f t="shared" si="34"/>
        <v>49.507988284952759</v>
      </c>
    </row>
    <row r="196" spans="2:9" x14ac:dyDescent="0.55000000000000004">
      <c r="B196" s="11">
        <f t="shared" si="35"/>
        <v>11</v>
      </c>
      <c r="C196" s="11">
        <f t="shared" si="36"/>
        <v>3</v>
      </c>
      <c r="D196" s="12">
        <f t="shared" si="29"/>
        <v>4089182.90992</v>
      </c>
      <c r="E196" s="11" t="str">
        <f t="shared" si="30"/>
        <v>24/25</v>
      </c>
      <c r="F196" s="11" t="str">
        <f t="shared" si="31"/>
        <v>Dec</v>
      </c>
      <c r="G196" s="11" t="str">
        <f t="shared" si="32"/>
        <v>Dec'24/25</v>
      </c>
      <c r="H196" s="11" t="str">
        <f t="shared" si="33"/>
        <v>Dec'24/25</v>
      </c>
      <c r="I196" s="11">
        <f t="shared" si="34"/>
        <v>48.635559006769419</v>
      </c>
    </row>
    <row r="197" spans="2:9" x14ac:dyDescent="0.55000000000000004">
      <c r="B197" s="11">
        <f t="shared" si="35"/>
        <v>11</v>
      </c>
      <c r="C197" s="11">
        <f t="shared" si="36"/>
        <v>4</v>
      </c>
      <c r="D197" s="12">
        <f t="shared" si="29"/>
        <v>3973829.8068833337</v>
      </c>
      <c r="E197" s="11" t="str">
        <f t="shared" si="30"/>
        <v>24/25</v>
      </c>
      <c r="F197" s="11" t="str">
        <f t="shared" si="31"/>
        <v>Jan</v>
      </c>
      <c r="G197" s="11" t="str">
        <f t="shared" si="32"/>
        <v>Jan'24/25</v>
      </c>
      <c r="H197" s="11" t="str">
        <f t="shared" si="33"/>
        <v>Jan'24/25</v>
      </c>
      <c r="I197" s="11">
        <f t="shared" si="34"/>
        <v>47.172667783206087</v>
      </c>
    </row>
    <row r="198" spans="2:9" x14ac:dyDescent="0.55000000000000004">
      <c r="B198" s="11">
        <f t="shared" si="35"/>
        <v>11</v>
      </c>
      <c r="C198" s="11">
        <f t="shared" si="36"/>
        <v>5</v>
      </c>
      <c r="D198" s="12">
        <f t="shared" si="29"/>
        <v>4637063.5376549996</v>
      </c>
      <c r="E198" s="11" t="str">
        <f t="shared" si="30"/>
        <v>24/25</v>
      </c>
      <c r="F198" s="11" t="str">
        <f t="shared" si="31"/>
        <v>Feb</v>
      </c>
      <c r="G198" s="11" t="str">
        <f t="shared" si="32"/>
        <v>Feb'24/25</v>
      </c>
      <c r="H198" s="11" t="str">
        <f t="shared" si="33"/>
        <v>Feb'24/25</v>
      </c>
      <c r="I198" s="11">
        <f t="shared" si="34"/>
        <v>47.298197654355008</v>
      </c>
    </row>
    <row r="199" spans="2:9" x14ac:dyDescent="0.55000000000000004">
      <c r="B199" s="11">
        <f t="shared" si="35"/>
        <v>11</v>
      </c>
      <c r="C199" s="11">
        <f t="shared" si="36"/>
        <v>6</v>
      </c>
      <c r="D199" s="12">
        <f t="shared" si="29"/>
        <v>5012012.4498699997</v>
      </c>
      <c r="E199" s="11" t="str">
        <f t="shared" si="30"/>
        <v>24/25</v>
      </c>
      <c r="F199" s="11" t="str">
        <f t="shared" si="31"/>
        <v>Mar</v>
      </c>
      <c r="G199" s="11" t="str">
        <f t="shared" si="32"/>
        <v>Mar'24/25</v>
      </c>
      <c r="H199" s="11" t="str">
        <f t="shared" si="33"/>
        <v>Mar'24/25</v>
      </c>
      <c r="I199" s="11">
        <f t="shared" si="34"/>
        <v>46.972067808203334</v>
      </c>
    </row>
    <row r="200" spans="2:9" x14ac:dyDescent="0.55000000000000004">
      <c r="B200" s="11">
        <f t="shared" si="35"/>
        <v>11</v>
      </c>
      <c r="C200" s="11">
        <f t="shared" si="36"/>
        <v>7</v>
      </c>
      <c r="D200" s="12">
        <f t="shared" si="29"/>
        <v>4529535.009438334</v>
      </c>
      <c r="E200" s="11" t="str">
        <f t="shared" si="30"/>
        <v>24/25</v>
      </c>
      <c r="F200" s="11" t="str">
        <f t="shared" si="31"/>
        <v>Apr</v>
      </c>
      <c r="G200" s="11" t="str">
        <f t="shared" si="32"/>
        <v>Apr'24/25</v>
      </c>
      <c r="H200" s="11" t="str">
        <f t="shared" si="33"/>
        <v>Apr'24/25</v>
      </c>
      <c r="I200" s="11">
        <f t="shared" si="34"/>
        <v>47.196836033565006</v>
      </c>
    </row>
    <row r="201" spans="2:9" x14ac:dyDescent="0.55000000000000004">
      <c r="B201" s="11">
        <f t="shared" si="35"/>
        <v>11</v>
      </c>
      <c r="C201" s="11">
        <f t="shared" si="36"/>
        <v>8</v>
      </c>
      <c r="D201" s="12">
        <f t="shared" si="29"/>
        <v>4559051.7436766662</v>
      </c>
      <c r="E201" s="11" t="str">
        <f t="shared" si="30"/>
        <v>24/25</v>
      </c>
      <c r="F201" s="11" t="str">
        <f t="shared" si="31"/>
        <v>May</v>
      </c>
      <c r="G201" s="11" t="str">
        <f t="shared" si="32"/>
        <v>May'24/25</v>
      </c>
      <c r="H201" s="11" t="str">
        <f t="shared" si="33"/>
        <v>May'24/25</v>
      </c>
      <c r="I201" s="11">
        <f t="shared" si="34"/>
        <v>48.082294885399996</v>
      </c>
    </row>
    <row r="202" spans="2:9" x14ac:dyDescent="0.55000000000000004">
      <c r="B202" s="11">
        <f t="shared" si="35"/>
        <v>11</v>
      </c>
      <c r="C202" s="11">
        <f t="shared" si="36"/>
        <v>9</v>
      </c>
      <c r="D202" s="12">
        <f t="shared" si="29"/>
        <v>4633017.099508334</v>
      </c>
      <c r="E202" s="11" t="str">
        <f t="shared" si="30"/>
        <v>24/25</v>
      </c>
      <c r="F202" s="11" t="str">
        <f t="shared" si="31"/>
        <v>Jun</v>
      </c>
      <c r="G202" s="11" t="str">
        <f t="shared" si="32"/>
        <v>Jun'24/25</v>
      </c>
      <c r="H202" s="11" t="str">
        <f t="shared" si="33"/>
        <v>Jun'24/25</v>
      </c>
      <c r="I202" s="11">
        <f t="shared" si="34"/>
        <v>49.159937068946661</v>
      </c>
    </row>
    <row r="203" spans="2:9" x14ac:dyDescent="0.55000000000000004">
      <c r="B203" s="11">
        <f t="shared" si="35"/>
        <v>11</v>
      </c>
      <c r="C203" s="11">
        <f t="shared" si="36"/>
        <v>10</v>
      </c>
      <c r="D203" s="12">
        <f t="shared" ref="D203:D229" si="37">INDEX($C$7:$N$19,MATCH(B203,$A$7:$A$19),MATCH(C203,$C$4:$N$4))</f>
        <v>4365278.7180266669</v>
      </c>
      <c r="E203" s="11" t="str">
        <f t="shared" ref="E203:E229" si="38">_xlfn.XLOOKUP(B203,$A$7:$A$19,$B$7:$B$19)</f>
        <v>24/25</v>
      </c>
      <c r="F203" s="11" t="str">
        <f t="shared" ref="F203:F229" si="39">_xlfn.XLOOKUP(C203,$C$4:$N$4,$C$6:$N$6)</f>
        <v>Jul</v>
      </c>
      <c r="G203" s="11" t="str">
        <f t="shared" ref="G203:G229" si="40">_xlfn.CONCAT(F203,"'",E203)</f>
        <v>Jul'24/25</v>
      </c>
      <c r="H203" s="11" t="str">
        <f t="shared" si="33"/>
        <v>Jul'24/25</v>
      </c>
      <c r="I203" s="11">
        <f t="shared" si="34"/>
        <v>49.425378943948331</v>
      </c>
    </row>
    <row r="204" spans="2:9" x14ac:dyDescent="0.55000000000000004">
      <c r="B204" s="11">
        <f t="shared" si="35"/>
        <v>11</v>
      </c>
      <c r="C204" s="11">
        <f t="shared" si="36"/>
        <v>11</v>
      </c>
      <c r="D204" s="12">
        <f t="shared" si="37"/>
        <v>4264623.2769983336</v>
      </c>
      <c r="E204" s="11" t="str">
        <f t="shared" si="38"/>
        <v>24/25</v>
      </c>
      <c r="F204" s="11" t="str">
        <f t="shared" si="39"/>
        <v>Aug</v>
      </c>
      <c r="G204" s="11" t="str">
        <f t="shared" si="40"/>
        <v>Aug'24/25</v>
      </c>
      <c r="H204" s="11" t="str">
        <f t="shared" si="33"/>
        <v>Aug'24/25</v>
      </c>
      <c r="I204" s="11">
        <f t="shared" si="34"/>
        <v>49.599757116408341</v>
      </c>
    </row>
    <row r="205" spans="2:9" x14ac:dyDescent="0.55000000000000004">
      <c r="B205" s="11">
        <f t="shared" si="35"/>
        <v>11</v>
      </c>
      <c r="C205" s="11">
        <f t="shared" si="36"/>
        <v>12</v>
      </c>
      <c r="D205" s="12">
        <f t="shared" si="37"/>
        <v>4094425.9329233333</v>
      </c>
      <c r="E205" s="11" t="str">
        <f t="shared" si="38"/>
        <v>24/25</v>
      </c>
      <c r="F205" s="11" t="str">
        <f t="shared" si="39"/>
        <v>Sep</v>
      </c>
      <c r="G205" s="11" t="str">
        <f t="shared" si="40"/>
        <v>Sep'24/25</v>
      </c>
      <c r="H205" s="11" t="str">
        <f t="shared" si="33"/>
        <v>Sep'24/25</v>
      </c>
      <c r="I205" s="11">
        <f t="shared" si="34"/>
        <v>50.389719726979997</v>
      </c>
    </row>
    <row r="206" spans="2:9" x14ac:dyDescent="0.55000000000000004">
      <c r="B206" s="11">
        <f t="shared" si="35"/>
        <v>12</v>
      </c>
      <c r="C206" s="11">
        <f t="shared" si="36"/>
        <v>1</v>
      </c>
      <c r="D206" s="12">
        <f t="shared" si="37"/>
        <v>3526408.6207849998</v>
      </c>
      <c r="E206" s="11" t="str">
        <f t="shared" si="38"/>
        <v>25/26</v>
      </c>
      <c r="F206" s="11" t="str">
        <f t="shared" si="39"/>
        <v>Oct</v>
      </c>
      <c r="G206" s="11" t="str">
        <f t="shared" si="40"/>
        <v>Oct'25/26</v>
      </c>
      <c r="H206" s="11" t="str">
        <f t="shared" si="33"/>
        <v>Oct'25/26</v>
      </c>
      <c r="I206" s="11">
        <f t="shared" si="34"/>
        <v>50.643101500838334</v>
      </c>
    </row>
    <row r="207" spans="2:9" x14ac:dyDescent="0.55000000000000004">
      <c r="B207" s="11">
        <f t="shared" si="35"/>
        <v>12</v>
      </c>
      <c r="C207" s="11">
        <f t="shared" si="36"/>
        <v>2</v>
      </c>
      <c r="D207" s="12">
        <f t="shared" si="37"/>
        <v>3485831.5618150001</v>
      </c>
      <c r="E207" s="11" t="str">
        <f t="shared" si="38"/>
        <v>25/26</v>
      </c>
      <c r="F207" s="11" t="str">
        <f t="shared" si="39"/>
        <v>Nov</v>
      </c>
      <c r="G207" s="11" t="str">
        <f t="shared" si="40"/>
        <v>Nov'25/26</v>
      </c>
      <c r="H207" s="11" t="str">
        <f t="shared" si="33"/>
        <v>Nov'25/26</v>
      </c>
      <c r="I207" s="11">
        <f t="shared" si="34"/>
        <v>51.170260667500003</v>
      </c>
    </row>
    <row r="208" spans="2:9" x14ac:dyDescent="0.55000000000000004">
      <c r="B208" s="11">
        <f t="shared" si="35"/>
        <v>12</v>
      </c>
      <c r="C208" s="11">
        <f t="shared" si="36"/>
        <v>3</v>
      </c>
      <c r="D208" s="12">
        <f t="shared" si="37"/>
        <v>4769334.0711316671</v>
      </c>
      <c r="E208" s="11" t="str">
        <f t="shared" si="38"/>
        <v>25/26</v>
      </c>
      <c r="F208" s="11" t="str">
        <f t="shared" si="39"/>
        <v>Dec</v>
      </c>
      <c r="G208" s="11" t="str">
        <f t="shared" si="40"/>
        <v>Dec'25/26</v>
      </c>
      <c r="H208" s="11" t="str">
        <f t="shared" si="33"/>
        <v>Dec'25/26</v>
      </c>
      <c r="I208" s="11">
        <f t="shared" si="34"/>
        <v>51.850411828711664</v>
      </c>
    </row>
    <row r="209" spans="2:9" x14ac:dyDescent="0.55000000000000004">
      <c r="B209" s="11">
        <f t="shared" si="35"/>
        <v>12</v>
      </c>
      <c r="C209" s="11">
        <f t="shared" si="36"/>
        <v>4</v>
      </c>
      <c r="D209" s="12">
        <f t="shared" si="37"/>
        <v>5209729</v>
      </c>
      <c r="E209" s="11" t="str">
        <f t="shared" si="38"/>
        <v>25/26</v>
      </c>
      <c r="F209" s="11" t="str">
        <f t="shared" si="39"/>
        <v>Jan</v>
      </c>
      <c r="G209" s="11" t="str">
        <f t="shared" si="40"/>
        <v>Jan'25/26</v>
      </c>
      <c r="H209" s="11" t="str">
        <f t="shared" si="33"/>
        <v>Jan'25/26</v>
      </c>
      <c r="I209" s="11">
        <f t="shared" si="34"/>
        <v>53.086311021828337</v>
      </c>
    </row>
    <row r="210" spans="2:9" x14ac:dyDescent="0.55000000000000004">
      <c r="B210" s="11">
        <f t="shared" si="35"/>
        <v>12</v>
      </c>
      <c r="C210" s="11">
        <f t="shared" si="36"/>
        <v>5</v>
      </c>
      <c r="D210" s="12">
        <f t="shared" si="37"/>
        <v>4176271.3333333335</v>
      </c>
      <c r="E210" s="11" t="str">
        <f t="shared" si="38"/>
        <v>25/26</v>
      </c>
      <c r="F210" s="11" t="str">
        <f t="shared" si="39"/>
        <v>Feb</v>
      </c>
      <c r="G210" s="11" t="str">
        <f t="shared" si="40"/>
        <v>Feb'25/26</v>
      </c>
      <c r="H210" s="11" t="str">
        <f t="shared" si="33"/>
        <v>Feb'25/26</v>
      </c>
      <c r="I210" s="11">
        <f t="shared" si="34"/>
        <v>52.625518817506673</v>
      </c>
    </row>
    <row r="211" spans="2:9" x14ac:dyDescent="0.55000000000000004">
      <c r="B211" s="11">
        <f t="shared" si="35"/>
        <v>12</v>
      </c>
      <c r="C211" s="11">
        <f t="shared" si="36"/>
        <v>6</v>
      </c>
      <c r="D211" s="12">
        <f t="shared" si="37"/>
        <v>4966608</v>
      </c>
      <c r="E211" s="11" t="str">
        <f t="shared" si="38"/>
        <v>25/26</v>
      </c>
      <c r="F211" s="11" t="str">
        <f t="shared" si="39"/>
        <v>Mar</v>
      </c>
      <c r="G211" s="11" t="str">
        <f t="shared" si="40"/>
        <v>Mar'25/26</v>
      </c>
      <c r="H211" s="11" t="str">
        <f t="shared" si="33"/>
        <v>Mar'25/26</v>
      </c>
      <c r="I211" s="11">
        <f t="shared" si="34"/>
        <v>52.580114367636675</v>
      </c>
    </row>
    <row r="212" spans="2:9" x14ac:dyDescent="0.55000000000000004">
      <c r="B212" s="11">
        <f t="shared" si="35"/>
        <v>12</v>
      </c>
      <c r="C212" s="11">
        <f t="shared" si="36"/>
        <v>7</v>
      </c>
      <c r="D212" s="12">
        <f t="shared" si="37"/>
        <v>5203956.666666667</v>
      </c>
      <c r="E212" s="11" t="str">
        <f t="shared" si="38"/>
        <v>25/26</v>
      </c>
      <c r="F212" s="11" t="str">
        <f t="shared" si="39"/>
        <v>Apr</v>
      </c>
      <c r="G212" s="11" t="str">
        <f t="shared" si="40"/>
        <v>Apr'25/26</v>
      </c>
      <c r="H212" s="11" t="str">
        <f t="shared" si="33"/>
        <v>Apr'25/26</v>
      </c>
      <c r="I212" s="11">
        <f t="shared" si="34"/>
        <v>53.254536024865004</v>
      </c>
    </row>
    <row r="213" spans="2:9" x14ac:dyDescent="0.55000000000000004">
      <c r="B213" s="11">
        <f t="shared" si="35"/>
        <v>12</v>
      </c>
      <c r="C213" s="11">
        <f t="shared" si="36"/>
        <v>8</v>
      </c>
      <c r="D213" s="12" t="e">
        <f t="shared" si="37"/>
        <v>#N/A</v>
      </c>
      <c r="E213" s="11" t="str">
        <f t="shared" si="38"/>
        <v>25/26</v>
      </c>
      <c r="F213" s="11" t="str">
        <f t="shared" si="39"/>
        <v>May</v>
      </c>
      <c r="G213" s="11" t="str">
        <f t="shared" si="40"/>
        <v>May'25/26</v>
      </c>
      <c r="H213" s="11" t="str">
        <f t="shared" si="33"/>
        <v>May'25/26</v>
      </c>
      <c r="I213" s="11" t="e">
        <f t="shared" si="34"/>
        <v>#N/A</v>
      </c>
    </row>
    <row r="214" spans="2:9" x14ac:dyDescent="0.55000000000000004">
      <c r="B214" s="11">
        <f t="shared" si="35"/>
        <v>12</v>
      </c>
      <c r="C214" s="11">
        <f t="shared" si="36"/>
        <v>9</v>
      </c>
      <c r="D214" s="12" t="e">
        <f t="shared" si="37"/>
        <v>#N/A</v>
      </c>
      <c r="E214" s="11" t="str">
        <f t="shared" si="38"/>
        <v>25/26</v>
      </c>
      <c r="F214" s="11" t="str">
        <f t="shared" si="39"/>
        <v>Jun</v>
      </c>
      <c r="G214" s="11" t="str">
        <f t="shared" si="40"/>
        <v>Jun'25/26</v>
      </c>
      <c r="H214" s="11" t="str">
        <f t="shared" ref="H214:H229" si="41">G214</f>
        <v>Jun'25/26</v>
      </c>
      <c r="I214" s="11" t="e">
        <f t="shared" ref="I214:I229" si="42">SUM(D203:D214)/1000000</f>
        <v>#N/A</v>
      </c>
    </row>
    <row r="215" spans="2:9" x14ac:dyDescent="0.55000000000000004">
      <c r="B215" s="11">
        <f t="shared" ref="B215:B229" si="43">B203+1</f>
        <v>12</v>
      </c>
      <c r="C215" s="11">
        <f t="shared" ref="C215:C229" si="44">C203</f>
        <v>10</v>
      </c>
      <c r="D215" s="12" t="e">
        <f t="shared" si="37"/>
        <v>#N/A</v>
      </c>
      <c r="E215" s="11" t="str">
        <f t="shared" si="38"/>
        <v>25/26</v>
      </c>
      <c r="F215" s="11" t="str">
        <f t="shared" si="39"/>
        <v>Jul</v>
      </c>
      <c r="G215" s="11" t="str">
        <f t="shared" si="40"/>
        <v>Jul'25/26</v>
      </c>
      <c r="H215" s="11" t="str">
        <f t="shared" si="41"/>
        <v>Jul'25/26</v>
      </c>
      <c r="I215" s="11" t="e">
        <f t="shared" si="42"/>
        <v>#N/A</v>
      </c>
    </row>
    <row r="216" spans="2:9" x14ac:dyDescent="0.55000000000000004">
      <c r="B216" s="11">
        <f t="shared" si="43"/>
        <v>12</v>
      </c>
      <c r="C216" s="11">
        <f t="shared" si="44"/>
        <v>11</v>
      </c>
      <c r="D216" s="12" t="e">
        <f t="shared" si="37"/>
        <v>#N/A</v>
      </c>
      <c r="E216" s="11" t="str">
        <f t="shared" si="38"/>
        <v>25/26</v>
      </c>
      <c r="F216" s="11" t="str">
        <f t="shared" si="39"/>
        <v>Aug</v>
      </c>
      <c r="G216" s="11" t="str">
        <f t="shared" si="40"/>
        <v>Aug'25/26</v>
      </c>
      <c r="H216" s="11" t="str">
        <f t="shared" si="41"/>
        <v>Aug'25/26</v>
      </c>
      <c r="I216" s="11" t="e">
        <f t="shared" si="42"/>
        <v>#N/A</v>
      </c>
    </row>
    <row r="217" spans="2:9" x14ac:dyDescent="0.55000000000000004">
      <c r="B217" s="11">
        <f t="shared" si="43"/>
        <v>12</v>
      </c>
      <c r="C217" s="11">
        <f t="shared" si="44"/>
        <v>12</v>
      </c>
      <c r="D217" s="12" t="e">
        <f t="shared" si="37"/>
        <v>#N/A</v>
      </c>
      <c r="E217" s="11" t="str">
        <f t="shared" si="38"/>
        <v>25/26</v>
      </c>
      <c r="F217" s="11" t="str">
        <f t="shared" si="39"/>
        <v>Sep</v>
      </c>
      <c r="G217" s="11" t="str">
        <f t="shared" si="40"/>
        <v>Sep'25/26</v>
      </c>
      <c r="H217" s="11" t="str">
        <f t="shared" si="41"/>
        <v>Sep'25/26</v>
      </c>
      <c r="I217" s="11" t="e">
        <f t="shared" si="42"/>
        <v>#N/A</v>
      </c>
    </row>
    <row r="218" spans="2:9" x14ac:dyDescent="0.55000000000000004">
      <c r="B218" s="11">
        <f t="shared" si="43"/>
        <v>13</v>
      </c>
      <c r="C218" s="11">
        <f t="shared" si="44"/>
        <v>1</v>
      </c>
      <c r="D218" s="12" t="e">
        <f t="shared" si="37"/>
        <v>#N/A</v>
      </c>
      <c r="E218" s="11" t="str">
        <f t="shared" si="38"/>
        <v>26/27</v>
      </c>
      <c r="F218" s="11" t="str">
        <f t="shared" si="39"/>
        <v>Oct</v>
      </c>
      <c r="G218" s="11" t="str">
        <f t="shared" si="40"/>
        <v>Oct'26/27</v>
      </c>
      <c r="H218" s="11" t="str">
        <f t="shared" si="41"/>
        <v>Oct'26/27</v>
      </c>
      <c r="I218" s="11" t="e">
        <f t="shared" si="42"/>
        <v>#N/A</v>
      </c>
    </row>
    <row r="219" spans="2:9" x14ac:dyDescent="0.55000000000000004">
      <c r="B219" s="11">
        <f t="shared" si="43"/>
        <v>13</v>
      </c>
      <c r="C219" s="11">
        <f t="shared" si="44"/>
        <v>2</v>
      </c>
      <c r="D219" s="12" t="e">
        <f t="shared" si="37"/>
        <v>#N/A</v>
      </c>
      <c r="E219" s="11" t="str">
        <f t="shared" si="38"/>
        <v>26/27</v>
      </c>
      <c r="F219" s="11" t="str">
        <f t="shared" si="39"/>
        <v>Nov</v>
      </c>
      <c r="G219" s="11" t="str">
        <f t="shared" si="40"/>
        <v>Nov'26/27</v>
      </c>
      <c r="H219" s="11" t="str">
        <f t="shared" si="41"/>
        <v>Nov'26/27</v>
      </c>
      <c r="I219" s="11" t="e">
        <f t="shared" si="42"/>
        <v>#N/A</v>
      </c>
    </row>
    <row r="220" spans="2:9" x14ac:dyDescent="0.55000000000000004">
      <c r="B220" s="11">
        <f t="shared" si="43"/>
        <v>13</v>
      </c>
      <c r="C220" s="11">
        <f t="shared" si="44"/>
        <v>3</v>
      </c>
      <c r="D220" s="12" t="e">
        <f t="shared" si="37"/>
        <v>#N/A</v>
      </c>
      <c r="E220" s="11" t="str">
        <f t="shared" si="38"/>
        <v>26/27</v>
      </c>
      <c r="F220" s="11" t="str">
        <f t="shared" si="39"/>
        <v>Dec</v>
      </c>
      <c r="G220" s="11" t="str">
        <f t="shared" si="40"/>
        <v>Dec'26/27</v>
      </c>
      <c r="H220" s="11" t="str">
        <f t="shared" si="41"/>
        <v>Dec'26/27</v>
      </c>
      <c r="I220" s="11" t="e">
        <f t="shared" si="42"/>
        <v>#N/A</v>
      </c>
    </row>
    <row r="221" spans="2:9" x14ac:dyDescent="0.55000000000000004">
      <c r="B221" s="11">
        <f t="shared" si="43"/>
        <v>13</v>
      </c>
      <c r="C221" s="11">
        <f t="shared" si="44"/>
        <v>4</v>
      </c>
      <c r="D221" s="12" t="e">
        <f t="shared" si="37"/>
        <v>#N/A</v>
      </c>
      <c r="E221" s="11" t="str">
        <f t="shared" si="38"/>
        <v>26/27</v>
      </c>
      <c r="F221" s="11" t="str">
        <f t="shared" si="39"/>
        <v>Jan</v>
      </c>
      <c r="G221" s="11" t="str">
        <f t="shared" si="40"/>
        <v>Jan'26/27</v>
      </c>
      <c r="H221" s="11" t="str">
        <f t="shared" si="41"/>
        <v>Jan'26/27</v>
      </c>
      <c r="I221" s="11" t="e">
        <f t="shared" si="42"/>
        <v>#N/A</v>
      </c>
    </row>
    <row r="222" spans="2:9" x14ac:dyDescent="0.55000000000000004">
      <c r="B222" s="11">
        <f t="shared" si="43"/>
        <v>13</v>
      </c>
      <c r="C222" s="11">
        <f t="shared" si="44"/>
        <v>5</v>
      </c>
      <c r="D222" s="12" t="e">
        <f t="shared" si="37"/>
        <v>#N/A</v>
      </c>
      <c r="E222" s="11" t="str">
        <f t="shared" si="38"/>
        <v>26/27</v>
      </c>
      <c r="F222" s="11" t="str">
        <f t="shared" si="39"/>
        <v>Feb</v>
      </c>
      <c r="G222" s="11" t="str">
        <f t="shared" si="40"/>
        <v>Feb'26/27</v>
      </c>
      <c r="H222" s="11" t="str">
        <f t="shared" si="41"/>
        <v>Feb'26/27</v>
      </c>
      <c r="I222" s="11" t="e">
        <f t="shared" si="42"/>
        <v>#N/A</v>
      </c>
    </row>
    <row r="223" spans="2:9" x14ac:dyDescent="0.55000000000000004">
      <c r="B223" s="11">
        <f t="shared" si="43"/>
        <v>13</v>
      </c>
      <c r="C223" s="11">
        <f t="shared" si="44"/>
        <v>6</v>
      </c>
      <c r="D223" s="12" t="e">
        <f t="shared" si="37"/>
        <v>#N/A</v>
      </c>
      <c r="E223" s="11" t="str">
        <f t="shared" si="38"/>
        <v>26/27</v>
      </c>
      <c r="F223" s="11" t="str">
        <f t="shared" si="39"/>
        <v>Mar</v>
      </c>
      <c r="G223" s="11" t="str">
        <f t="shared" si="40"/>
        <v>Mar'26/27</v>
      </c>
      <c r="H223" s="11" t="str">
        <f t="shared" si="41"/>
        <v>Mar'26/27</v>
      </c>
      <c r="I223" s="11" t="e">
        <f t="shared" si="42"/>
        <v>#N/A</v>
      </c>
    </row>
    <row r="224" spans="2:9" x14ac:dyDescent="0.55000000000000004">
      <c r="B224" s="11">
        <f t="shared" si="43"/>
        <v>13</v>
      </c>
      <c r="C224" s="11">
        <f t="shared" si="44"/>
        <v>7</v>
      </c>
      <c r="D224" s="12" t="e">
        <f t="shared" si="37"/>
        <v>#N/A</v>
      </c>
      <c r="E224" s="11" t="str">
        <f t="shared" si="38"/>
        <v>26/27</v>
      </c>
      <c r="F224" s="11" t="str">
        <f t="shared" si="39"/>
        <v>Apr</v>
      </c>
      <c r="G224" s="11" t="str">
        <f t="shared" si="40"/>
        <v>Apr'26/27</v>
      </c>
      <c r="H224" s="11" t="str">
        <f t="shared" si="41"/>
        <v>Apr'26/27</v>
      </c>
      <c r="I224" s="11" t="e">
        <f t="shared" si="42"/>
        <v>#N/A</v>
      </c>
    </row>
    <row r="225" spans="2:9" x14ac:dyDescent="0.55000000000000004">
      <c r="B225" s="11">
        <f t="shared" si="43"/>
        <v>13</v>
      </c>
      <c r="C225" s="11">
        <f t="shared" si="44"/>
        <v>8</v>
      </c>
      <c r="D225" s="12" t="e">
        <f t="shared" si="37"/>
        <v>#N/A</v>
      </c>
      <c r="E225" s="11" t="str">
        <f t="shared" si="38"/>
        <v>26/27</v>
      </c>
      <c r="F225" s="11" t="str">
        <f t="shared" si="39"/>
        <v>May</v>
      </c>
      <c r="G225" s="11" t="str">
        <f t="shared" si="40"/>
        <v>May'26/27</v>
      </c>
      <c r="H225" s="11" t="str">
        <f t="shared" si="41"/>
        <v>May'26/27</v>
      </c>
      <c r="I225" s="11" t="e">
        <f t="shared" si="42"/>
        <v>#N/A</v>
      </c>
    </row>
    <row r="226" spans="2:9" x14ac:dyDescent="0.55000000000000004">
      <c r="B226" s="11">
        <f t="shared" si="43"/>
        <v>13</v>
      </c>
      <c r="C226" s="11">
        <f t="shared" si="44"/>
        <v>9</v>
      </c>
      <c r="D226" s="12" t="e">
        <f t="shared" si="37"/>
        <v>#N/A</v>
      </c>
      <c r="E226" s="11" t="str">
        <f t="shared" si="38"/>
        <v>26/27</v>
      </c>
      <c r="F226" s="11" t="str">
        <f t="shared" si="39"/>
        <v>Jun</v>
      </c>
      <c r="G226" s="11" t="str">
        <f t="shared" si="40"/>
        <v>Jun'26/27</v>
      </c>
      <c r="H226" s="11" t="str">
        <f t="shared" si="41"/>
        <v>Jun'26/27</v>
      </c>
      <c r="I226" s="11" t="e">
        <f t="shared" si="42"/>
        <v>#N/A</v>
      </c>
    </row>
    <row r="227" spans="2:9" x14ac:dyDescent="0.55000000000000004">
      <c r="B227" s="11">
        <f t="shared" si="43"/>
        <v>13</v>
      </c>
      <c r="C227" s="11">
        <f t="shared" si="44"/>
        <v>10</v>
      </c>
      <c r="D227" s="12" t="e">
        <f t="shared" si="37"/>
        <v>#N/A</v>
      </c>
      <c r="E227" s="11" t="str">
        <f t="shared" si="38"/>
        <v>26/27</v>
      </c>
      <c r="F227" s="11" t="str">
        <f t="shared" si="39"/>
        <v>Jul</v>
      </c>
      <c r="G227" s="11" t="str">
        <f t="shared" si="40"/>
        <v>Jul'26/27</v>
      </c>
      <c r="H227" s="11" t="str">
        <f t="shared" si="41"/>
        <v>Jul'26/27</v>
      </c>
      <c r="I227" s="11" t="e">
        <f t="shared" si="42"/>
        <v>#N/A</v>
      </c>
    </row>
    <row r="228" spans="2:9" x14ac:dyDescent="0.55000000000000004">
      <c r="B228" s="11">
        <f t="shared" si="43"/>
        <v>13</v>
      </c>
      <c r="C228" s="11">
        <f t="shared" si="44"/>
        <v>11</v>
      </c>
      <c r="D228" s="12" t="e">
        <f t="shared" si="37"/>
        <v>#N/A</v>
      </c>
      <c r="E228" s="11" t="str">
        <f t="shared" si="38"/>
        <v>26/27</v>
      </c>
      <c r="F228" s="11" t="str">
        <f t="shared" si="39"/>
        <v>Aug</v>
      </c>
      <c r="G228" s="11" t="str">
        <f t="shared" si="40"/>
        <v>Aug'26/27</v>
      </c>
      <c r="H228" s="11" t="str">
        <f t="shared" si="41"/>
        <v>Aug'26/27</v>
      </c>
      <c r="I228" s="11" t="e">
        <f t="shared" si="42"/>
        <v>#N/A</v>
      </c>
    </row>
    <row r="229" spans="2:9" x14ac:dyDescent="0.55000000000000004">
      <c r="B229" s="11">
        <f t="shared" si="43"/>
        <v>13</v>
      </c>
      <c r="C229" s="11">
        <f t="shared" si="44"/>
        <v>12</v>
      </c>
      <c r="D229" s="12" t="e">
        <f t="shared" si="37"/>
        <v>#N/A</v>
      </c>
      <c r="E229" s="11" t="str">
        <f t="shared" si="38"/>
        <v>26/27</v>
      </c>
      <c r="F229" s="11" t="str">
        <f t="shared" si="39"/>
        <v>Sep</v>
      </c>
      <c r="G229" s="11" t="str">
        <f t="shared" si="40"/>
        <v>Sep'26/27</v>
      </c>
      <c r="H229" s="11" t="str">
        <f t="shared" si="41"/>
        <v>Sep'26/27</v>
      </c>
      <c r="I229" s="11" t="e">
        <f t="shared" si="42"/>
        <v>#N/A</v>
      </c>
    </row>
  </sheetData>
  <mergeCells count="5">
    <mergeCell ref="C5:N5"/>
    <mergeCell ref="S6:U6"/>
    <mergeCell ref="N74:Y74"/>
    <mergeCell ref="A1:N2"/>
    <mergeCell ref="P1:V2"/>
  </mergeCells>
  <conditionalFormatting sqref="C7:N19">
    <cfRule type="cellIs" dxfId="7" priority="1" operator="greaterThanOrEqual">
      <formula>0</formula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{24E46E04-CCB2-4D4B-9F0B-E2380E40AB6C}</x14:id>
        </ext>
      </extLst>
    </cfRule>
  </conditionalFormatting>
  <conditionalFormatting sqref="Q17:Q1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{7AC5DCA3-75E2-4D75-868E-C88D27201013}</x14:id>
        </ext>
      </extLst>
    </cfRule>
  </conditionalFormatting>
  <conditionalFormatting sqref="T7:T19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{203C3645-FF55-4D4E-A635-6502A05AFE95}</x14:id>
        </ext>
      </extLst>
    </cfRule>
  </conditionalFormatting>
  <conditionalFormatting sqref="U1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{8BAC3A56-652F-4B33-A03E-1374DF198EC7}</x14:id>
        </ext>
      </extLst>
    </cfRule>
  </conditionalFormatting>
  <pageMargins left="0.7" right="0.7" top="0.75" bottom="0.75" header="0.3" footer="0.3"/>
  <ignoredErrors>
    <ignoredError sqref="E17:N19 C18:D19" evalError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E46E04-CCB2-4D4B-9F0B-E2380E40AB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Q8:Q16</xm:sqref>
        </x14:conditionalFormatting>
        <x14:conditionalFormatting xmlns:xm="http://schemas.microsoft.com/office/excel/2006/main">
          <x14:cfRule type="dataBar" id="{7AC5DCA3-75E2-4D75-868E-C88D272010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Q17:Q19</xm:sqref>
        </x14:conditionalFormatting>
        <x14:conditionalFormatting xmlns:xm="http://schemas.microsoft.com/office/excel/2006/main">
          <x14:cfRule type="dataBar" id="{203C3645-FF55-4D4E-A635-6502A05AFE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8BAC3A56-652F-4B33-A03E-1374DF198E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F8C5-FCE3-466D-AF98-44C72475B604}">
  <sheetPr codeName="Sheet8"/>
  <dimension ref="A1:AI229"/>
  <sheetViews>
    <sheetView showGridLines="0" zoomScale="70" zoomScaleNormal="70" workbookViewId="0">
      <selection activeCell="B6" sqref="B6:N19"/>
    </sheetView>
  </sheetViews>
  <sheetFormatPr defaultColWidth="8.83984375" defaultRowHeight="14.4" x14ac:dyDescent="0.55000000000000004"/>
  <cols>
    <col min="1" max="9" width="8.83984375" style="11"/>
    <col min="10" max="10" width="12.15625" style="11" customWidth="1"/>
    <col min="11" max="13" width="8.83984375" style="11"/>
    <col min="14" max="14" width="14.578125" style="11" customWidth="1"/>
    <col min="15" max="15" width="8.83984375" style="11"/>
    <col min="16" max="16" width="14.578125" style="11" customWidth="1"/>
    <col min="17" max="19" width="8.83984375" style="11"/>
    <col min="20" max="20" width="12.578125" style="11" customWidth="1"/>
    <col min="21" max="21" width="11.578125" style="11" customWidth="1"/>
    <col min="22" max="16384" width="8.83984375" style="11"/>
  </cols>
  <sheetData>
    <row r="1" spans="1:35" s="17" customFormat="1" ht="25.8" x14ac:dyDescent="0.55000000000000004">
      <c r="A1" s="73" t="s">
        <v>81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Oct-Sep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Vietnam : Coffee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Oct-Sep</v>
      </c>
      <c r="T6" s="75"/>
      <c r="U6" s="75"/>
    </row>
    <row r="7" spans="1:35" x14ac:dyDescent="0.55000000000000004">
      <c r="A7" s="14">
        <v>1</v>
      </c>
      <c r="B7" s="6" t="s">
        <v>15</v>
      </c>
      <c r="C7" s="23">
        <v>1595800</v>
      </c>
      <c r="D7" s="23">
        <v>1396616.6666666667</v>
      </c>
      <c r="E7" s="23">
        <v>1922283.3333333335</v>
      </c>
      <c r="F7" s="23">
        <v>2435866.666666667</v>
      </c>
      <c r="G7" s="23">
        <v>1623181.1697574896</v>
      </c>
      <c r="H7" s="23">
        <v>2275700</v>
      </c>
      <c r="I7" s="23">
        <v>1777966.6666666667</v>
      </c>
      <c r="J7" s="23">
        <v>1805516.6666666667</v>
      </c>
      <c r="K7" s="23">
        <v>1827816.6666666667</v>
      </c>
      <c r="L7" s="23">
        <v>1857350</v>
      </c>
      <c r="M7" s="23">
        <v>1583600</v>
      </c>
      <c r="N7" s="23">
        <v>1452359.7359735975</v>
      </c>
      <c r="O7" s="6" t="s">
        <v>15</v>
      </c>
      <c r="P7" s="20">
        <f t="shared" ref="P7:P19" si="0">IF(COUNT(C7:N7)=12,SUM(C7:N7),"")</f>
        <v>21554057.572397754</v>
      </c>
      <c r="Q7" s="2"/>
      <c r="R7" s="2"/>
      <c r="S7" s="6" t="s">
        <v>15</v>
      </c>
      <c r="T7" s="20">
        <f ca="1">IFERROR(IF(SUM(OFFSET(C7,0,0,1,$C$56))=0,"",SUM(OFFSET(C7,0,0,1,$C$56))),"")</f>
        <v>21554057.572397754</v>
      </c>
      <c r="U7" s="2"/>
    </row>
    <row r="8" spans="1:35" x14ac:dyDescent="0.55000000000000004">
      <c r="A8" s="14">
        <v>2</v>
      </c>
      <c r="B8" s="6" t="s">
        <v>16</v>
      </c>
      <c r="C8" s="23">
        <v>1466883.3333333335</v>
      </c>
      <c r="D8" s="23">
        <v>1717683.3333333335</v>
      </c>
      <c r="E8" s="23">
        <v>2529550</v>
      </c>
      <c r="F8" s="23">
        <v>2944016.666666667</v>
      </c>
      <c r="G8" s="23">
        <v>1961516.6666666667</v>
      </c>
      <c r="H8" s="23">
        <v>2999100</v>
      </c>
      <c r="I8" s="23">
        <v>3133116.666666667</v>
      </c>
      <c r="J8" s="23">
        <v>2683366.666666667</v>
      </c>
      <c r="K8" s="23">
        <v>2634166.666666667</v>
      </c>
      <c r="L8" s="23">
        <v>2321850</v>
      </c>
      <c r="M8" s="23">
        <v>2526250</v>
      </c>
      <c r="N8" s="23">
        <v>2147316.666666667</v>
      </c>
      <c r="O8" s="6" t="s">
        <v>16</v>
      </c>
      <c r="P8" s="20">
        <f t="shared" si="0"/>
        <v>29064816.666666672</v>
      </c>
      <c r="Q8" s="7">
        <f t="shared" ref="Q8:Q18" si="1">IFERROR(P8/P7-1,"")</f>
        <v>0.34846149357452028</v>
      </c>
      <c r="R8" s="2"/>
      <c r="S8" s="6" t="s">
        <v>16</v>
      </c>
      <c r="T8" s="20">
        <f t="shared" ref="T8:T19" ca="1" si="2">IFERROR(IF(SUM(OFFSET(C8,0,0,1,$C$56))=0,"",SUM(OFFSET(C8,0,0,1,$C$56))),"")</f>
        <v>29064816.666666672</v>
      </c>
      <c r="U8" s="7">
        <f t="shared" ref="U8:U18" ca="1" si="3">IFERROR(T8/T7-1,"")</f>
        <v>0.34846149357452028</v>
      </c>
      <c r="V8" s="40"/>
    </row>
    <row r="9" spans="1:35" x14ac:dyDescent="0.55000000000000004">
      <c r="A9" s="14">
        <v>3</v>
      </c>
      <c r="B9" s="6" t="s">
        <v>17</v>
      </c>
      <c r="C9" s="23">
        <v>1950616.6666666667</v>
      </c>
      <c r="D9" s="23">
        <v>1909633.3333333335</v>
      </c>
      <c r="E9" s="23">
        <v>2461166.666666667</v>
      </c>
      <c r="F9" s="23">
        <v>3081950</v>
      </c>
      <c r="G9" s="23">
        <v>2798000</v>
      </c>
      <c r="H9" s="23">
        <v>3100166.666666667</v>
      </c>
      <c r="I9" s="23">
        <v>2393333.3333333335</v>
      </c>
      <c r="J9" s="23">
        <v>2128150</v>
      </c>
      <c r="K9" s="23">
        <v>2027766.6666666667</v>
      </c>
      <c r="L9" s="23">
        <v>1680183.3333333335</v>
      </c>
      <c r="M9" s="23">
        <v>1583034.6475507766</v>
      </c>
      <c r="N9" s="23">
        <v>1325000</v>
      </c>
      <c r="O9" s="6" t="s">
        <v>17</v>
      </c>
      <c r="P9" s="20">
        <f t="shared" si="0"/>
        <v>26439001.314217445</v>
      </c>
      <c r="Q9" s="7">
        <f t="shared" si="1"/>
        <v>-9.0343434213389529E-2</v>
      </c>
      <c r="R9" s="2"/>
      <c r="S9" s="6" t="s">
        <v>17</v>
      </c>
      <c r="T9" s="20">
        <f t="shared" ca="1" si="2"/>
        <v>26439001.314217445</v>
      </c>
      <c r="U9" s="7">
        <f t="shared" ca="1" si="3"/>
        <v>-9.0343434213389529E-2</v>
      </c>
      <c r="V9" s="40"/>
    </row>
    <row r="10" spans="1:35" x14ac:dyDescent="0.55000000000000004">
      <c r="A10" s="14">
        <v>4</v>
      </c>
      <c r="B10" s="6" t="s">
        <v>18</v>
      </c>
      <c r="C10" s="23">
        <v>1321033.3333333335</v>
      </c>
      <c r="D10" s="23">
        <v>1745867.9446219383</v>
      </c>
      <c r="E10" s="23">
        <v>2732283.3333333335</v>
      </c>
      <c r="F10" s="23">
        <v>3606450</v>
      </c>
      <c r="G10" s="23">
        <v>2274600</v>
      </c>
      <c r="H10" s="23">
        <v>3508750</v>
      </c>
      <c r="I10" s="23">
        <v>2726150</v>
      </c>
      <c r="J10" s="23">
        <v>2588700</v>
      </c>
      <c r="K10" s="23">
        <v>2597683.3333333335</v>
      </c>
      <c r="L10" s="23">
        <v>2243533.3333333335</v>
      </c>
      <c r="M10" s="23">
        <v>2551583.3333333335</v>
      </c>
      <c r="N10" s="23">
        <v>2010700</v>
      </c>
      <c r="O10" s="6" t="s">
        <v>18</v>
      </c>
      <c r="P10" s="20">
        <f t="shared" si="0"/>
        <v>29907334.611288603</v>
      </c>
      <c r="Q10" s="7">
        <f t="shared" si="1"/>
        <v>0.13118246244823473</v>
      </c>
      <c r="R10" s="2"/>
      <c r="S10" s="6" t="s">
        <v>18</v>
      </c>
      <c r="T10" s="20">
        <f t="shared" ca="1" si="2"/>
        <v>29907334.611288603</v>
      </c>
      <c r="U10" s="7">
        <f t="shared" ca="1" si="3"/>
        <v>0.13118246244823473</v>
      </c>
      <c r="V10" s="40"/>
    </row>
    <row r="11" spans="1:35" x14ac:dyDescent="0.55000000000000004">
      <c r="A11" s="14">
        <v>5</v>
      </c>
      <c r="B11" s="6" t="s">
        <v>19</v>
      </c>
      <c r="C11" s="23">
        <v>2295166.666666667</v>
      </c>
      <c r="D11" s="23">
        <v>2321833.3333333335</v>
      </c>
      <c r="E11" s="23">
        <v>2557650</v>
      </c>
      <c r="F11" s="23">
        <v>3360700</v>
      </c>
      <c r="G11" s="23">
        <v>1906966.6666666667</v>
      </c>
      <c r="H11" s="23">
        <v>2863783.3333333335</v>
      </c>
      <c r="I11" s="23">
        <v>2394016.666666667</v>
      </c>
      <c r="J11" s="23">
        <v>2418216.666666667</v>
      </c>
      <c r="K11" s="23">
        <v>2404583.3333333335</v>
      </c>
      <c r="L11" s="23">
        <v>2354700</v>
      </c>
      <c r="M11" s="23">
        <v>1902000</v>
      </c>
      <c r="N11" s="23">
        <v>1538416.6666666667</v>
      </c>
      <c r="O11" s="6" t="s">
        <v>19</v>
      </c>
      <c r="P11" s="20">
        <f t="shared" si="0"/>
        <v>28318033.333333336</v>
      </c>
      <c r="Q11" s="7">
        <f t="shared" si="1"/>
        <v>-5.3140853192426674E-2</v>
      </c>
      <c r="R11" s="2"/>
      <c r="S11" s="6" t="s">
        <v>19</v>
      </c>
      <c r="T11" s="20">
        <f t="shared" ca="1" si="2"/>
        <v>28318033.333333336</v>
      </c>
      <c r="U11" s="7">
        <f t="shared" ca="1" si="3"/>
        <v>-5.3140853192426674E-2</v>
      </c>
      <c r="V11" s="40"/>
    </row>
    <row r="12" spans="1:35" x14ac:dyDescent="0.55000000000000004">
      <c r="A12" s="14">
        <v>6</v>
      </c>
      <c r="B12" s="6" t="s">
        <v>20</v>
      </c>
      <c r="C12" s="23">
        <v>1485116.6666666667</v>
      </c>
      <c r="D12" s="23">
        <v>1867916.6666666667</v>
      </c>
      <c r="E12" s="23">
        <v>3129716.666666667</v>
      </c>
      <c r="F12" s="23">
        <v>2424483.3333333335</v>
      </c>
      <c r="G12" s="23">
        <v>3108966.666666667</v>
      </c>
      <c r="H12" s="23">
        <v>3061633.3333333335</v>
      </c>
      <c r="I12" s="23">
        <v>2784300</v>
      </c>
      <c r="J12" s="23">
        <v>2168933.3333333335</v>
      </c>
      <c r="K12" s="23">
        <v>2127900</v>
      </c>
      <c r="L12" s="23">
        <v>1833750</v>
      </c>
      <c r="M12" s="23">
        <v>1669200</v>
      </c>
      <c r="N12" s="23">
        <v>1662166.6666666667</v>
      </c>
      <c r="O12" s="6" t="s">
        <v>20</v>
      </c>
      <c r="P12" s="20">
        <f t="shared" si="0"/>
        <v>27324083.333333336</v>
      </c>
      <c r="Q12" s="7">
        <f t="shared" si="1"/>
        <v>-3.5099541987967608E-2</v>
      </c>
      <c r="R12" s="2"/>
      <c r="S12" s="6" t="s">
        <v>20</v>
      </c>
      <c r="T12" s="20">
        <f t="shared" ca="1" si="2"/>
        <v>27324083.333333336</v>
      </c>
      <c r="U12" s="7">
        <f t="shared" ca="1" si="3"/>
        <v>-3.5099541987967608E-2</v>
      </c>
      <c r="V12" s="40"/>
    </row>
    <row r="13" spans="1:35" x14ac:dyDescent="0.55000000000000004">
      <c r="A13" s="14">
        <v>7</v>
      </c>
      <c r="B13" s="6" t="s">
        <v>21</v>
      </c>
      <c r="C13" s="23">
        <v>1533600</v>
      </c>
      <c r="D13" s="23">
        <v>1395633.3333333335</v>
      </c>
      <c r="E13" s="23">
        <v>2317433.3333333335</v>
      </c>
      <c r="F13" s="23">
        <v>2676516.666666667</v>
      </c>
      <c r="G13" s="23">
        <v>2050750</v>
      </c>
      <c r="H13" s="23">
        <v>2826833.3333333335</v>
      </c>
      <c r="I13" s="23">
        <v>2200616.666666667</v>
      </c>
      <c r="J13" s="23">
        <v>2170783.3333333335</v>
      </c>
      <c r="K13" s="23">
        <v>2133316.666666667</v>
      </c>
      <c r="L13" s="23">
        <v>2035450</v>
      </c>
      <c r="M13" s="23">
        <v>1861616.6666666667</v>
      </c>
      <c r="N13" s="23">
        <v>1672333.3333333335</v>
      </c>
      <c r="O13" s="6" t="s">
        <v>21</v>
      </c>
      <c r="P13" s="20">
        <f t="shared" si="0"/>
        <v>24874883.333333336</v>
      </c>
      <c r="Q13" s="7">
        <f t="shared" si="1"/>
        <v>-8.9635211916227697E-2</v>
      </c>
      <c r="R13" s="2"/>
      <c r="S13" s="6" t="s">
        <v>21</v>
      </c>
      <c r="T13" s="20">
        <f t="shared" ca="1" si="2"/>
        <v>24874883.333333336</v>
      </c>
      <c r="U13" s="7">
        <f t="shared" ca="1" si="3"/>
        <v>-8.9635211916227697E-2</v>
      </c>
      <c r="V13" s="40"/>
      <c r="Z13" s="52"/>
    </row>
    <row r="14" spans="1:35" x14ac:dyDescent="0.55000000000000004">
      <c r="A14" s="14">
        <v>8</v>
      </c>
      <c r="B14" s="6" t="s">
        <v>22</v>
      </c>
      <c r="C14" s="23">
        <v>1654150</v>
      </c>
      <c r="D14" s="23">
        <v>1791216.6666666667</v>
      </c>
      <c r="E14" s="23">
        <v>2822483.3333333335</v>
      </c>
      <c r="F14" s="23">
        <v>3857783.3333333335</v>
      </c>
      <c r="G14" s="23">
        <v>2330200</v>
      </c>
      <c r="H14" s="23">
        <v>3510000</v>
      </c>
      <c r="I14" s="23">
        <v>2620583.3333333335</v>
      </c>
      <c r="J14" s="23">
        <v>2373666.666666667</v>
      </c>
      <c r="K14" s="23">
        <v>2289133.3333333335</v>
      </c>
      <c r="L14" s="23">
        <v>1897533.3333333335</v>
      </c>
      <c r="M14" s="23">
        <v>1875516.6666666667</v>
      </c>
      <c r="N14" s="23">
        <v>1542500</v>
      </c>
      <c r="O14" s="6" t="s">
        <v>22</v>
      </c>
      <c r="P14" s="20">
        <f t="shared" si="0"/>
        <v>28564766.666666668</v>
      </c>
      <c r="Q14" s="7">
        <f t="shared" si="1"/>
        <v>0.14833771414673302</v>
      </c>
      <c r="R14" s="2"/>
      <c r="S14" s="6" t="s">
        <v>22</v>
      </c>
      <c r="T14" s="20">
        <f t="shared" ca="1" si="2"/>
        <v>28564766.666666668</v>
      </c>
      <c r="U14" s="7">
        <f t="shared" ca="1" si="3"/>
        <v>0.14833771414673302</v>
      </c>
      <c r="V14" s="40"/>
    </row>
    <row r="15" spans="1:35" x14ac:dyDescent="0.55000000000000004">
      <c r="A15" s="14">
        <v>9</v>
      </c>
      <c r="B15" s="6" t="s">
        <v>23</v>
      </c>
      <c r="C15" s="23">
        <v>1330550</v>
      </c>
      <c r="D15" s="23">
        <v>2140050</v>
      </c>
      <c r="E15" s="23">
        <v>3284616.7</v>
      </c>
      <c r="F15" s="23">
        <v>2798175.3341989308</v>
      </c>
      <c r="G15" s="23">
        <v>2889494.8064211528</v>
      </c>
      <c r="H15" s="23">
        <v>3563541.6944444445</v>
      </c>
      <c r="I15" s="23">
        <v>2790325.027777778</v>
      </c>
      <c r="J15" s="23">
        <v>2533780.3320561945</v>
      </c>
      <c r="K15" s="23">
        <v>2406991.6944444445</v>
      </c>
      <c r="L15" s="23">
        <v>1995386.2104717472</v>
      </c>
      <c r="M15" s="23">
        <v>1563541.6944444445</v>
      </c>
      <c r="N15" s="23">
        <v>912991.6944444445</v>
      </c>
      <c r="O15" s="6" t="s">
        <v>23</v>
      </c>
      <c r="P15" s="20">
        <f t="shared" si="0"/>
        <v>28209445.188703578</v>
      </c>
      <c r="Q15" s="7">
        <f t="shared" si="1"/>
        <v>-1.2439152124345099E-2</v>
      </c>
      <c r="R15" s="2"/>
      <c r="S15" s="6" t="s">
        <v>23</v>
      </c>
      <c r="T15" s="20">
        <f t="shared" ca="1" si="2"/>
        <v>28209445.188703578</v>
      </c>
      <c r="U15" s="7">
        <f t="shared" ca="1" si="3"/>
        <v>-1.2439152124345099E-2</v>
      </c>
      <c r="V15" s="40"/>
    </row>
    <row r="16" spans="1:35" x14ac:dyDescent="0.55000000000000004">
      <c r="A16" s="14">
        <v>10</v>
      </c>
      <c r="B16" s="6" t="s">
        <v>24</v>
      </c>
      <c r="C16" s="23">
        <v>728750</v>
      </c>
      <c r="D16" s="23">
        <v>1988283.3333333335</v>
      </c>
      <c r="E16" s="23">
        <v>3460216.666666667</v>
      </c>
      <c r="F16" s="23">
        <v>3971100</v>
      </c>
      <c r="G16" s="23">
        <v>2676400</v>
      </c>
      <c r="H16" s="23">
        <v>3149533.3333333335</v>
      </c>
      <c r="I16" s="23">
        <v>2534550</v>
      </c>
      <c r="J16" s="23">
        <v>1322633.3333333335</v>
      </c>
      <c r="K16" s="23">
        <v>1170033.3333333335</v>
      </c>
      <c r="L16" s="23">
        <v>1283033.3333333335</v>
      </c>
      <c r="M16" s="23">
        <v>1270233.3333333335</v>
      </c>
      <c r="N16" s="23">
        <v>789966.66666666674</v>
      </c>
      <c r="O16" s="6" t="s">
        <v>24</v>
      </c>
      <c r="P16" s="20">
        <f t="shared" si="0"/>
        <v>24344733.333333332</v>
      </c>
      <c r="Q16" s="7">
        <f t="shared" si="1"/>
        <v>-0.13700063328143242</v>
      </c>
      <c r="R16" s="2"/>
      <c r="S16" s="6" t="s">
        <v>24</v>
      </c>
      <c r="T16" s="20">
        <f t="shared" ca="1" si="2"/>
        <v>24344733.333333332</v>
      </c>
      <c r="U16" s="7">
        <f t="shared" ca="1" si="3"/>
        <v>-0.13700063328143242</v>
      </c>
      <c r="V16" s="40"/>
    </row>
    <row r="17" spans="1:28" x14ac:dyDescent="0.55000000000000004">
      <c r="A17" s="14">
        <v>11</v>
      </c>
      <c r="B17" s="6" t="s">
        <v>25</v>
      </c>
      <c r="C17" s="23">
        <v>733333</v>
      </c>
      <c r="D17" s="23">
        <v>1050316.6666666667</v>
      </c>
      <c r="E17" s="23">
        <v>2100000</v>
      </c>
      <c r="F17" s="23">
        <f>134005/0.06</f>
        <v>2233416.666666667</v>
      </c>
      <c r="G17" s="23">
        <f>169832/0.06</f>
        <v>2830533.3333333335</v>
      </c>
      <c r="H17" s="23">
        <f>181115/0.06</f>
        <v>3018583.3333333335</v>
      </c>
      <c r="I17" s="23">
        <f>166606/0.06</f>
        <v>2776766.666666667</v>
      </c>
      <c r="J17" s="23">
        <f>148762/0.06</f>
        <v>2479366.666666667</v>
      </c>
      <c r="K17" s="23">
        <f>117983/0.06</f>
        <v>1966383.3333333335</v>
      </c>
      <c r="L17" s="23">
        <f>101979/0.06</f>
        <v>1699650</v>
      </c>
      <c r="M17" s="23">
        <v>1401033</v>
      </c>
      <c r="N17" s="23">
        <f>81099/0.06</f>
        <v>1351650</v>
      </c>
      <c r="O17" s="6" t="s">
        <v>25</v>
      </c>
      <c r="P17" s="20">
        <f t="shared" si="0"/>
        <v>23641032.666666668</v>
      </c>
      <c r="Q17" s="7">
        <f t="shared" si="1"/>
        <v>-2.890566337414513E-2</v>
      </c>
      <c r="R17" s="2"/>
      <c r="S17" s="6" t="s">
        <v>25</v>
      </c>
      <c r="T17" s="20">
        <f t="shared" ca="1" si="2"/>
        <v>23641032.666666668</v>
      </c>
      <c r="U17" s="7">
        <f t="shared" ca="1" si="3"/>
        <v>-2.890566337414513E-2</v>
      </c>
    </row>
    <row r="18" spans="1:28" x14ac:dyDescent="0.55000000000000004">
      <c r="A18" s="14">
        <v>12</v>
      </c>
      <c r="B18" s="6" t="s">
        <v>26</v>
      </c>
      <c r="C18" s="23">
        <f>68316/0.06</f>
        <v>1138600</v>
      </c>
      <c r="D18" s="23">
        <f>88812/0.06</f>
        <v>1480200</v>
      </c>
      <c r="E18" s="23">
        <f>182967/0.06</f>
        <v>3049450</v>
      </c>
      <c r="F18" s="23">
        <v>3739133.3333333335</v>
      </c>
      <c r="G18" s="23">
        <f>142337/0.06</f>
        <v>2372283.3333333335</v>
      </c>
      <c r="H18" s="23">
        <f>94560*2/0.06</f>
        <v>3152000</v>
      </c>
      <c r="I18" s="23">
        <f>189894/0.06</f>
        <v>3164900</v>
      </c>
      <c r="J18" s="23">
        <f>66642*2/0.06</f>
        <v>2221400</v>
      </c>
      <c r="K18" s="23">
        <f>57983*2/0.06</f>
        <v>1932766.6666666667</v>
      </c>
      <c r="L18" s="23">
        <f>147890/0.06</f>
        <v>2464833.3333333335</v>
      </c>
      <c r="M18" s="23">
        <f>127903/0.06</f>
        <v>2131716.666666667</v>
      </c>
      <c r="N18" s="23">
        <v>1757366.6666666667</v>
      </c>
      <c r="O18" s="6" t="s">
        <v>26</v>
      </c>
      <c r="P18" s="20">
        <f t="shared" si="0"/>
        <v>28604650.000000004</v>
      </c>
      <c r="Q18" s="7">
        <f t="shared" si="1"/>
        <v>0.20995772068501584</v>
      </c>
      <c r="R18" s="2"/>
      <c r="S18" s="6" t="s">
        <v>26</v>
      </c>
      <c r="T18" s="20">
        <f t="shared" ca="1" si="2"/>
        <v>28604650.000000004</v>
      </c>
      <c r="U18" s="7">
        <f t="shared" ca="1" si="3"/>
        <v>0.20995772068501584</v>
      </c>
      <c r="AA18" s="23"/>
    </row>
    <row r="19" spans="1:28" x14ac:dyDescent="0.55000000000000004">
      <c r="A19" s="14">
        <v>13</v>
      </c>
      <c r="B19" s="6" t="s">
        <v>27</v>
      </c>
      <c r="C19" s="23">
        <f>51524*2/0.06</f>
        <v>1717466.6666666667</v>
      </c>
      <c r="D19" s="23" t="e">
        <f>NA()</f>
        <v>#N/A</v>
      </c>
      <c r="E19" s="23" t="e">
        <f>NA()</f>
        <v>#N/A</v>
      </c>
      <c r="F19" s="23" t="e">
        <f>NA()</f>
        <v>#N/A</v>
      </c>
      <c r="G19" s="23" t="e">
        <f>NA()</f>
        <v>#N/A</v>
      </c>
      <c r="H19" s="23" t="e">
        <f>NA()</f>
        <v>#N/A</v>
      </c>
      <c r="I19" s="23" t="e">
        <f>NA()</f>
        <v>#N/A</v>
      </c>
      <c r="J19" s="23" t="e">
        <f>NA()</f>
        <v>#N/A</v>
      </c>
      <c r="K19" s="23" t="e">
        <f>NA()</f>
        <v>#N/A</v>
      </c>
      <c r="L19" s="23" t="e">
        <f>NA()</f>
        <v>#N/A</v>
      </c>
      <c r="M19" s="23" t="e">
        <f>NA()</f>
        <v>#N/A</v>
      </c>
      <c r="N19" s="23" t="e">
        <f>NA()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t="shared" ca="1" si="2"/>
        <v/>
      </c>
      <c r="U19" s="7"/>
      <c r="AA19" s="11">
        <v>52721</v>
      </c>
      <c r="AB19" s="11">
        <f>AA19/0.06</f>
        <v>878683.33333333337</v>
      </c>
    </row>
    <row r="20" spans="1:28" x14ac:dyDescent="0.55000000000000004">
      <c r="B20" s="8" t="s">
        <v>28</v>
      </c>
      <c r="C20" s="22">
        <f>IFERROR(C19/C18-1,"")</f>
        <v>0.50840213127232281</v>
      </c>
      <c r="D20" s="22">
        <f t="shared" ref="D20:N20" si="4">IFERROR(D18/D17-1,"")</f>
        <v>0.40928926196861259</v>
      </c>
      <c r="E20" s="22">
        <f t="shared" si="4"/>
        <v>0.45211904761904753</v>
      </c>
      <c r="F20" s="22">
        <f t="shared" si="4"/>
        <v>0.67417633670385424</v>
      </c>
      <c r="G20" s="22">
        <f t="shared" si="4"/>
        <v>-0.16189528475199022</v>
      </c>
      <c r="H20" s="22">
        <f t="shared" si="4"/>
        <v>4.419843745686447E-2</v>
      </c>
      <c r="I20" s="22">
        <f t="shared" si="4"/>
        <v>0.13977887951214218</v>
      </c>
      <c r="J20" s="22">
        <f t="shared" si="4"/>
        <v>-0.1040453879350911</v>
      </c>
      <c r="K20" s="22">
        <f t="shared" si="4"/>
        <v>-1.7095683276404317E-2</v>
      </c>
      <c r="L20" s="22">
        <f t="shared" si="4"/>
        <v>0.45020053148197192</v>
      </c>
      <c r="M20" s="22">
        <f t="shared" si="4"/>
        <v>0.52153208858511335</v>
      </c>
      <c r="N20" s="22">
        <f t="shared" si="4"/>
        <v>0.30016399708997654</v>
      </c>
      <c r="O20" s="8"/>
      <c r="P20" s="2"/>
      <c r="Q20" s="2"/>
      <c r="R20" s="2"/>
      <c r="S20" s="8"/>
      <c r="T20" s="5"/>
      <c r="U20" s="2"/>
      <c r="AA20" s="11">
        <f>AA19*2</f>
        <v>105442</v>
      </c>
      <c r="AB20" s="11">
        <f>AA20/0.06</f>
        <v>1757366.6666666667</v>
      </c>
    </row>
    <row r="21" spans="1:28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8" x14ac:dyDescent="0.55000000000000004">
      <c r="B22" s="66" t="s">
        <v>106</v>
      </c>
      <c r="C22" s="67">
        <f t="shared" ref="C22:I22" si="5">C18</f>
        <v>1138600</v>
      </c>
      <c r="D22" s="67">
        <f t="shared" si="5"/>
        <v>1480200</v>
      </c>
      <c r="E22" s="67">
        <f t="shared" si="5"/>
        <v>3049450</v>
      </c>
      <c r="F22" s="67">
        <f t="shared" si="5"/>
        <v>3739133.3333333335</v>
      </c>
      <c r="G22" s="67">
        <f t="shared" si="5"/>
        <v>2372283.3333333335</v>
      </c>
      <c r="H22" s="67">
        <f t="shared" si="5"/>
        <v>3152000</v>
      </c>
      <c r="I22" s="67">
        <f t="shared" si="5"/>
        <v>3164900</v>
      </c>
      <c r="J22" s="67">
        <f t="shared" ref="J22:K22" si="6">J18</f>
        <v>2221400</v>
      </c>
      <c r="K22" s="67">
        <f t="shared" si="6"/>
        <v>1932766.6666666667</v>
      </c>
      <c r="L22" s="67">
        <f ca="1">$N$57*L62/SUM($L$62:$N$62)</f>
        <v>0</v>
      </c>
      <c r="M22" s="67">
        <f t="shared" ref="M22:N22" ca="1" si="7">$N$57*M62/SUM($L$62:$N$62)</f>
        <v>0</v>
      </c>
      <c r="N22" s="67">
        <f t="shared" ca="1" si="7"/>
        <v>0</v>
      </c>
      <c r="O22" s="2"/>
      <c r="P22" s="2"/>
      <c r="Q22" s="2"/>
      <c r="R22" s="2"/>
      <c r="S22" s="2"/>
      <c r="T22" s="2"/>
      <c r="U22" s="2"/>
    </row>
    <row r="27" spans="1:28" x14ac:dyDescent="0.55000000000000004">
      <c r="K27" s="13" t="str">
        <f ca="1">_xlfn.CONCAT(A1," | ",S6)</f>
        <v>Vietnam : Coffee Exports | YTD : Oct-Sep</v>
      </c>
      <c r="Q27" s="13" t="str">
        <f>_xlfn.CONCAT(A1," | ","Cumulative")</f>
        <v>Vietnam : Coffee Exports | Cumulative</v>
      </c>
      <c r="Y27" s="40"/>
    </row>
    <row r="35" spans="29:29" x14ac:dyDescent="0.55000000000000004">
      <c r="AC35" s="11">
        <v>224348</v>
      </c>
    </row>
    <row r="36" spans="29:29" x14ac:dyDescent="0.55000000000000004">
      <c r="AC36" s="11">
        <f>AC35/0.06</f>
        <v>3739133.3333333335</v>
      </c>
    </row>
    <row r="39" spans="29:29" x14ac:dyDescent="0.55000000000000004">
      <c r="AC39" s="11">
        <v>2966800</v>
      </c>
    </row>
    <row r="42" spans="29:29" x14ac:dyDescent="0.55000000000000004">
      <c r="AC42" s="40">
        <f>AC36/AC39-1</f>
        <v>0.2603253786346682</v>
      </c>
    </row>
    <row r="56" spans="2:16" x14ac:dyDescent="0.55000000000000004">
      <c r="B56" s="9" t="s">
        <v>29</v>
      </c>
      <c r="C56" s="9">
        <f>COUNT(C18:N18)</f>
        <v>12</v>
      </c>
      <c r="D56" s="25" t="str">
        <f ca="1">OFFSET(B6,0,$C$56,1,1)</f>
        <v>Sep</v>
      </c>
      <c r="E56" s="11" t="str">
        <f>B18</f>
        <v>25/26</v>
      </c>
      <c r="F56" s="11" t="str">
        <f ca="1">_xlfn.CONCAT(D56,"'",E56)</f>
        <v>Sep'25/26</v>
      </c>
      <c r="L56" s="40"/>
      <c r="P56" s="40"/>
    </row>
    <row r="57" spans="2:16" x14ac:dyDescent="0.55000000000000004">
      <c r="M57" s="11" t="s">
        <v>105</v>
      </c>
      <c r="N57" s="12">
        <f ca="1">P18-T18</f>
        <v>0</v>
      </c>
    </row>
    <row r="61" spans="2:16" x14ac:dyDescent="0.55000000000000004">
      <c r="C61" s="3" t="s">
        <v>1</v>
      </c>
      <c r="D61" s="3" t="s">
        <v>2</v>
      </c>
      <c r="E61" s="3" t="s">
        <v>3</v>
      </c>
      <c r="F61" s="3" t="s">
        <v>4</v>
      </c>
      <c r="G61" s="3" t="s">
        <v>5</v>
      </c>
      <c r="H61" s="3" t="s">
        <v>6</v>
      </c>
      <c r="I61" s="3" t="s">
        <v>7</v>
      </c>
      <c r="J61" s="3" t="s">
        <v>8</v>
      </c>
      <c r="K61" s="3" t="s">
        <v>9</v>
      </c>
      <c r="L61" s="3" t="s">
        <v>10</v>
      </c>
      <c r="M61" s="3" t="s">
        <v>11</v>
      </c>
      <c r="N61" s="3" t="s">
        <v>12</v>
      </c>
    </row>
    <row r="62" spans="2:16" x14ac:dyDescent="0.55000000000000004">
      <c r="B62" s="11" t="s">
        <v>78</v>
      </c>
      <c r="C62" s="37">
        <v>5.7451968272457986E-2</v>
      </c>
      <c r="D62" s="37">
        <v>6.8119928729220583E-2</v>
      </c>
      <c r="E62" s="37">
        <v>0.10160661960722858</v>
      </c>
      <c r="F62" s="37">
        <v>0.11638322569190281</v>
      </c>
      <c r="G62" s="37">
        <v>8.8218700738428441E-2</v>
      </c>
      <c r="H62" s="37">
        <v>0.11487413280564265</v>
      </c>
      <c r="I62" s="37">
        <v>9.416364335518182E-2</v>
      </c>
      <c r="J62" s="37">
        <v>8.2242906427478557E-2</v>
      </c>
      <c r="K62" s="37">
        <v>8.010629189158483E-2</v>
      </c>
      <c r="L62" s="37">
        <v>7.2657969115097157E-2</v>
      </c>
      <c r="M62" s="37">
        <v>6.8193552760073897E-2</v>
      </c>
      <c r="N62" s="37">
        <v>5.5981060605702737E-2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B19</f>
        <v>26/27</v>
      </c>
      <c r="B66" s="12">
        <f>C19</f>
        <v>1717466.6666666667</v>
      </c>
      <c r="C66" s="12" t="e">
        <f t="shared" ref="C66:M66" si="8">D19</f>
        <v>#N/A</v>
      </c>
      <c r="D66" s="12" t="e">
        <f t="shared" si="8"/>
        <v>#N/A</v>
      </c>
      <c r="E66" s="12" t="e">
        <f t="shared" si="8"/>
        <v>#N/A</v>
      </c>
      <c r="F66" s="12" t="e">
        <f t="shared" si="8"/>
        <v>#N/A</v>
      </c>
      <c r="G66" s="12" t="e">
        <f t="shared" si="8"/>
        <v>#N/A</v>
      </c>
      <c r="H66" s="12" t="e">
        <f t="shared" si="8"/>
        <v>#N/A</v>
      </c>
      <c r="I66" s="12" t="e">
        <f t="shared" si="8"/>
        <v>#N/A</v>
      </c>
      <c r="J66" s="12" t="e">
        <f t="shared" si="8"/>
        <v>#N/A</v>
      </c>
      <c r="K66" s="12" t="e">
        <f t="shared" si="8"/>
        <v>#N/A</v>
      </c>
      <c r="L66" s="12" t="e">
        <f t="shared" si="8"/>
        <v>#N/A</v>
      </c>
      <c r="M66" s="12" t="e">
        <f t="shared" si="8"/>
        <v>#N/A</v>
      </c>
    </row>
    <row r="67" spans="1:25" x14ac:dyDescent="0.55000000000000004">
      <c r="A67" s="11" t="s">
        <v>30</v>
      </c>
      <c r="B67" s="12">
        <f>MIN(C7:C18)</f>
        <v>728750</v>
      </c>
      <c r="C67" s="12">
        <f t="shared" ref="C67:M67" si="9">MIN(D7:D18)</f>
        <v>1050316.6666666667</v>
      </c>
      <c r="D67" s="12">
        <f t="shared" si="9"/>
        <v>1922283.3333333335</v>
      </c>
      <c r="E67" s="12">
        <f t="shared" si="9"/>
        <v>2233416.666666667</v>
      </c>
      <c r="F67" s="12">
        <f t="shared" si="9"/>
        <v>1623181.1697574896</v>
      </c>
      <c r="G67" s="12">
        <f t="shared" si="9"/>
        <v>2275700</v>
      </c>
      <c r="H67" s="12">
        <f t="shared" si="9"/>
        <v>1777966.6666666667</v>
      </c>
      <c r="I67" s="12">
        <f t="shared" si="9"/>
        <v>1322633.3333333335</v>
      </c>
      <c r="J67" s="12">
        <f t="shared" si="9"/>
        <v>1170033.3333333335</v>
      </c>
      <c r="K67" s="12">
        <f t="shared" si="9"/>
        <v>1283033.3333333335</v>
      </c>
      <c r="L67" s="12">
        <f t="shared" si="9"/>
        <v>1270233.3333333335</v>
      </c>
      <c r="M67" s="12">
        <f t="shared" si="9"/>
        <v>789966.66666666674</v>
      </c>
      <c r="N67" s="12"/>
    </row>
    <row r="68" spans="1:25" x14ac:dyDescent="0.55000000000000004">
      <c r="A68" s="11" t="s">
        <v>31</v>
      </c>
      <c r="B68" s="12">
        <f>MAX(C7:C18)</f>
        <v>2295166.666666667</v>
      </c>
      <c r="C68" s="12">
        <f t="shared" ref="C68:M68" si="10">MAX(D7:D18)</f>
        <v>2321833.3333333335</v>
      </c>
      <c r="D68" s="12">
        <f t="shared" si="10"/>
        <v>3460216.666666667</v>
      </c>
      <c r="E68" s="12">
        <f t="shared" si="10"/>
        <v>3971100</v>
      </c>
      <c r="F68" s="12">
        <f t="shared" si="10"/>
        <v>3108966.666666667</v>
      </c>
      <c r="G68" s="12">
        <f t="shared" si="10"/>
        <v>3563541.6944444445</v>
      </c>
      <c r="H68" s="12">
        <f t="shared" si="10"/>
        <v>3164900</v>
      </c>
      <c r="I68" s="12">
        <f t="shared" si="10"/>
        <v>2683366.666666667</v>
      </c>
      <c r="J68" s="12">
        <f t="shared" si="10"/>
        <v>2634166.666666667</v>
      </c>
      <c r="K68" s="12">
        <f t="shared" si="10"/>
        <v>2464833.3333333335</v>
      </c>
      <c r="L68" s="12">
        <f t="shared" si="10"/>
        <v>2551583.3333333335</v>
      </c>
      <c r="M68" s="12">
        <f t="shared" si="10"/>
        <v>2147316.666666667</v>
      </c>
      <c r="N68" s="12"/>
    </row>
    <row r="69" spans="1:25" x14ac:dyDescent="0.55000000000000004">
      <c r="A69" s="11" t="s">
        <v>32</v>
      </c>
      <c r="B69" s="12">
        <f>AVERAGE(C14:C18)</f>
        <v>1117076.6000000001</v>
      </c>
      <c r="C69" s="12">
        <f t="shared" ref="C69:M69" si="11">AVERAGE(D14:D18)</f>
        <v>1690013.3333333335</v>
      </c>
      <c r="D69" s="12">
        <f t="shared" si="11"/>
        <v>2943353.34</v>
      </c>
      <c r="E69" s="12">
        <f t="shared" si="11"/>
        <v>3319921.7335064532</v>
      </c>
      <c r="F69" s="12">
        <f t="shared" si="11"/>
        <v>2619782.2946175644</v>
      </c>
      <c r="G69" s="12">
        <f t="shared" si="11"/>
        <v>3278731.6722222222</v>
      </c>
      <c r="H69" s="12">
        <f t="shared" si="11"/>
        <v>2777425.0055555562</v>
      </c>
      <c r="I69" s="12">
        <f t="shared" si="11"/>
        <v>2186169.3997445726</v>
      </c>
      <c r="J69" s="12">
        <f t="shared" si="11"/>
        <v>1953061.6722222224</v>
      </c>
      <c r="K69" s="12">
        <f t="shared" si="11"/>
        <v>1868087.2420943496</v>
      </c>
      <c r="L69" s="12">
        <f t="shared" si="11"/>
        <v>1648408.2722222223</v>
      </c>
      <c r="M69" s="12">
        <f t="shared" si="11"/>
        <v>1270895.0055555557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1595800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12">INDEX($C$7:$N$19,MATCH(B75,$A$7:$A$19),MATCH(C75,$C$4:$N$4))</f>
        <v>1396616.6666666667</v>
      </c>
      <c r="E75" s="11" t="str">
        <f t="shared" ref="E75:E138" si="13">_xlfn.XLOOKUP(B75,$A$7:$A$19,$B$7:$B$19)</f>
        <v>14/15</v>
      </c>
      <c r="F75" s="11" t="str">
        <f t="shared" ref="F75:F138" si="14">_xlfn.XLOOKUP(C75,$C$4:$N$4,$C$6:$N$6)</f>
        <v>Nov</v>
      </c>
      <c r="G75" s="11" t="str">
        <f t="shared" ref="G75:G138" si="15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12"/>
        <v>1922283.3333333335</v>
      </c>
      <c r="E76" s="11" t="str">
        <f t="shared" si="13"/>
        <v>14/15</v>
      </c>
      <c r="F76" s="11" t="str">
        <f t="shared" si="14"/>
        <v>Dec</v>
      </c>
      <c r="G76" s="11" t="str">
        <f t="shared" si="15"/>
        <v>Dec'14/15</v>
      </c>
      <c r="M76" s="6" t="s">
        <v>15</v>
      </c>
      <c r="N76" s="5">
        <f>C7</f>
        <v>1595800</v>
      </c>
      <c r="O76" s="5">
        <f t="shared" ref="O76:O88" si="16">N76+D7</f>
        <v>2992416.666666667</v>
      </c>
      <c r="P76" s="5">
        <f t="shared" ref="P76:P88" si="17">O76+E7</f>
        <v>4914700</v>
      </c>
      <c r="Q76" s="5">
        <f t="shared" ref="Q76:Q88" si="18">P76+F7</f>
        <v>7350566.666666667</v>
      </c>
      <c r="R76" s="5">
        <f t="shared" ref="R76:R88" si="19">Q76+G7</f>
        <v>8973747.836424157</v>
      </c>
      <c r="S76" s="5">
        <f t="shared" ref="S76:S88" si="20">R76+H7</f>
        <v>11249447.836424157</v>
      </c>
      <c r="T76" s="5">
        <f t="shared" ref="T76:T88" si="21">S76+I7</f>
        <v>13027414.503090823</v>
      </c>
      <c r="U76" s="5">
        <f t="shared" ref="U76:U88" si="22">T76+J7</f>
        <v>14832931.169757489</v>
      </c>
      <c r="V76" s="5">
        <f t="shared" ref="V76:V88" si="23">U76+K7</f>
        <v>16660747.836424155</v>
      </c>
      <c r="W76" s="5">
        <f t="shared" ref="W76:W88" si="24">V76+L7</f>
        <v>18518097.836424157</v>
      </c>
      <c r="X76" s="5">
        <f t="shared" ref="X76:X88" si="25">W76+M7</f>
        <v>20101697.836424157</v>
      </c>
      <c r="Y76" s="5">
        <f t="shared" ref="Y76:Y88" si="26">X76+N7</f>
        <v>21554057.572397754</v>
      </c>
    </row>
    <row r="77" spans="1:25" x14ac:dyDescent="0.55000000000000004">
      <c r="B77" s="11">
        <v>1</v>
      </c>
      <c r="C77" s="11">
        <v>4</v>
      </c>
      <c r="D77" s="12">
        <f t="shared" si="12"/>
        <v>2435866.666666667</v>
      </c>
      <c r="E77" s="11" t="str">
        <f t="shared" si="13"/>
        <v>14/15</v>
      </c>
      <c r="F77" s="11" t="str">
        <f t="shared" si="14"/>
        <v>Jan</v>
      </c>
      <c r="G77" s="11" t="str">
        <f t="shared" si="15"/>
        <v>Jan'14/15</v>
      </c>
      <c r="M77" s="6" t="s">
        <v>16</v>
      </c>
      <c r="N77" s="5">
        <f t="shared" ref="N77:N88" si="27">C8</f>
        <v>1466883.3333333335</v>
      </c>
      <c r="O77" s="5">
        <f t="shared" si="16"/>
        <v>3184566.666666667</v>
      </c>
      <c r="P77" s="5">
        <f t="shared" si="17"/>
        <v>5714116.666666667</v>
      </c>
      <c r="Q77" s="5">
        <f t="shared" si="18"/>
        <v>8658133.333333334</v>
      </c>
      <c r="R77" s="5">
        <f t="shared" si="19"/>
        <v>10619650</v>
      </c>
      <c r="S77" s="5">
        <f t="shared" si="20"/>
        <v>13618750</v>
      </c>
      <c r="T77" s="5">
        <f t="shared" si="21"/>
        <v>16751866.666666668</v>
      </c>
      <c r="U77" s="5">
        <f t="shared" si="22"/>
        <v>19435233.333333336</v>
      </c>
      <c r="V77" s="5">
        <f t="shared" si="23"/>
        <v>22069400.000000004</v>
      </c>
      <c r="W77" s="5">
        <f t="shared" si="24"/>
        <v>24391250.000000004</v>
      </c>
      <c r="X77" s="5">
        <f t="shared" si="25"/>
        <v>26917500.000000004</v>
      </c>
      <c r="Y77" s="5">
        <f t="shared" si="26"/>
        <v>29064816.666666672</v>
      </c>
    </row>
    <row r="78" spans="1:25" x14ac:dyDescent="0.55000000000000004">
      <c r="B78" s="11">
        <v>1</v>
      </c>
      <c r="C78" s="11">
        <v>5</v>
      </c>
      <c r="D78" s="12">
        <f t="shared" si="12"/>
        <v>1623181.1697574896</v>
      </c>
      <c r="E78" s="11" t="str">
        <f t="shared" si="13"/>
        <v>14/15</v>
      </c>
      <c r="F78" s="11" t="str">
        <f t="shared" si="14"/>
        <v>Feb</v>
      </c>
      <c r="G78" s="11" t="str">
        <f t="shared" si="15"/>
        <v>Feb'14/15</v>
      </c>
      <c r="M78" s="6" t="s">
        <v>17</v>
      </c>
      <c r="N78" s="5">
        <f t="shared" si="27"/>
        <v>1950616.6666666667</v>
      </c>
      <c r="O78" s="5">
        <f t="shared" si="16"/>
        <v>3860250</v>
      </c>
      <c r="P78" s="5">
        <f t="shared" si="17"/>
        <v>6321416.666666667</v>
      </c>
      <c r="Q78" s="5">
        <f t="shared" si="18"/>
        <v>9403366.6666666679</v>
      </c>
      <c r="R78" s="5">
        <f t="shared" si="19"/>
        <v>12201366.666666668</v>
      </c>
      <c r="S78" s="5">
        <f t="shared" si="20"/>
        <v>15301533.333333336</v>
      </c>
      <c r="T78" s="5">
        <f t="shared" si="21"/>
        <v>17694866.666666668</v>
      </c>
      <c r="U78" s="5">
        <f t="shared" si="22"/>
        <v>19823016.666666668</v>
      </c>
      <c r="V78" s="5">
        <f t="shared" si="23"/>
        <v>21850783.333333336</v>
      </c>
      <c r="W78" s="5">
        <f t="shared" si="24"/>
        <v>23530966.666666668</v>
      </c>
      <c r="X78" s="5">
        <f t="shared" si="25"/>
        <v>25114001.314217445</v>
      </c>
      <c r="Y78" s="5">
        <f t="shared" si="26"/>
        <v>26439001.314217445</v>
      </c>
    </row>
    <row r="79" spans="1:25" x14ac:dyDescent="0.55000000000000004">
      <c r="B79" s="11">
        <v>1</v>
      </c>
      <c r="C79" s="11">
        <v>6</v>
      </c>
      <c r="D79" s="12">
        <f t="shared" si="12"/>
        <v>2275700</v>
      </c>
      <c r="E79" s="11" t="str">
        <f t="shared" si="13"/>
        <v>14/15</v>
      </c>
      <c r="F79" s="11" t="str">
        <f t="shared" si="14"/>
        <v>Mar</v>
      </c>
      <c r="G79" s="11" t="str">
        <f t="shared" si="15"/>
        <v>Mar'14/15</v>
      </c>
      <c r="M79" s="6" t="s">
        <v>18</v>
      </c>
      <c r="N79" s="5">
        <f t="shared" si="27"/>
        <v>1321033.3333333335</v>
      </c>
      <c r="O79" s="5">
        <f t="shared" si="16"/>
        <v>3066901.2779552718</v>
      </c>
      <c r="P79" s="5">
        <f t="shared" si="17"/>
        <v>5799184.6112886053</v>
      </c>
      <c r="Q79" s="5">
        <f t="shared" si="18"/>
        <v>9405634.6112886053</v>
      </c>
      <c r="R79" s="5">
        <f t="shared" si="19"/>
        <v>11680234.611288605</v>
      </c>
      <c r="S79" s="5">
        <f t="shared" si="20"/>
        <v>15188984.611288605</v>
      </c>
      <c r="T79" s="5">
        <f t="shared" si="21"/>
        <v>17915134.611288607</v>
      </c>
      <c r="U79" s="5">
        <f t="shared" si="22"/>
        <v>20503834.611288607</v>
      </c>
      <c r="V79" s="5">
        <f t="shared" si="23"/>
        <v>23101517.944621939</v>
      </c>
      <c r="W79" s="5">
        <f t="shared" si="24"/>
        <v>25345051.277955271</v>
      </c>
      <c r="X79" s="5">
        <f t="shared" si="25"/>
        <v>27896634.611288603</v>
      </c>
      <c r="Y79" s="5">
        <f t="shared" si="26"/>
        <v>29907334.611288603</v>
      </c>
    </row>
    <row r="80" spans="1:25" x14ac:dyDescent="0.55000000000000004">
      <c r="B80" s="11">
        <v>1</v>
      </c>
      <c r="C80" s="11">
        <v>7</v>
      </c>
      <c r="D80" s="12">
        <f t="shared" si="12"/>
        <v>1777966.6666666667</v>
      </c>
      <c r="E80" s="11" t="str">
        <f t="shared" si="13"/>
        <v>14/15</v>
      </c>
      <c r="F80" s="11" t="str">
        <f t="shared" si="14"/>
        <v>Apr</v>
      </c>
      <c r="G80" s="11" t="str">
        <f t="shared" si="15"/>
        <v>Apr'14/15</v>
      </c>
      <c r="M80" s="6" t="s">
        <v>19</v>
      </c>
      <c r="N80" s="5">
        <f t="shared" si="27"/>
        <v>2295166.666666667</v>
      </c>
      <c r="O80" s="5">
        <f t="shared" si="16"/>
        <v>4617000</v>
      </c>
      <c r="P80" s="5">
        <f t="shared" si="17"/>
        <v>7174650</v>
      </c>
      <c r="Q80" s="5">
        <f t="shared" si="18"/>
        <v>10535350</v>
      </c>
      <c r="R80" s="5">
        <f t="shared" si="19"/>
        <v>12442316.666666666</v>
      </c>
      <c r="S80" s="5">
        <f t="shared" si="20"/>
        <v>15306100</v>
      </c>
      <c r="T80" s="5">
        <f t="shared" si="21"/>
        <v>17700116.666666668</v>
      </c>
      <c r="U80" s="5">
        <f t="shared" si="22"/>
        <v>20118333.333333336</v>
      </c>
      <c r="V80" s="5">
        <f t="shared" si="23"/>
        <v>22522916.666666668</v>
      </c>
      <c r="W80" s="5">
        <f t="shared" si="24"/>
        <v>24877616.666666668</v>
      </c>
      <c r="X80" s="5">
        <f t="shared" si="25"/>
        <v>26779616.666666668</v>
      </c>
      <c r="Y80" s="5">
        <f t="shared" si="26"/>
        <v>28318033.333333336</v>
      </c>
    </row>
    <row r="81" spans="2:25" x14ac:dyDescent="0.55000000000000004">
      <c r="B81" s="11">
        <v>1</v>
      </c>
      <c r="C81" s="11">
        <v>8</v>
      </c>
      <c r="D81" s="12">
        <f t="shared" si="12"/>
        <v>1805516.6666666667</v>
      </c>
      <c r="E81" s="11" t="str">
        <f t="shared" si="13"/>
        <v>14/15</v>
      </c>
      <c r="F81" s="11" t="str">
        <f t="shared" si="14"/>
        <v>May</v>
      </c>
      <c r="G81" s="11" t="str">
        <f t="shared" si="15"/>
        <v>May'14/15</v>
      </c>
      <c r="M81" s="6" t="s">
        <v>20</v>
      </c>
      <c r="N81" s="5">
        <f t="shared" si="27"/>
        <v>1485116.6666666667</v>
      </c>
      <c r="O81" s="5">
        <f t="shared" si="16"/>
        <v>3353033.3333333335</v>
      </c>
      <c r="P81" s="5">
        <f t="shared" si="17"/>
        <v>6482750</v>
      </c>
      <c r="Q81" s="5">
        <f t="shared" si="18"/>
        <v>8907233.333333334</v>
      </c>
      <c r="R81" s="5">
        <f t="shared" si="19"/>
        <v>12016200</v>
      </c>
      <c r="S81" s="5">
        <f t="shared" si="20"/>
        <v>15077833.333333334</v>
      </c>
      <c r="T81" s="5">
        <f t="shared" si="21"/>
        <v>17862133.333333336</v>
      </c>
      <c r="U81" s="5">
        <f t="shared" si="22"/>
        <v>20031066.666666668</v>
      </c>
      <c r="V81" s="5">
        <f t="shared" si="23"/>
        <v>22158966.666666668</v>
      </c>
      <c r="W81" s="5">
        <f t="shared" si="24"/>
        <v>23992716.666666668</v>
      </c>
      <c r="X81" s="5">
        <f t="shared" si="25"/>
        <v>25661916.666666668</v>
      </c>
      <c r="Y81" s="5">
        <f t="shared" si="26"/>
        <v>27324083.333333336</v>
      </c>
    </row>
    <row r="82" spans="2:25" x14ac:dyDescent="0.55000000000000004">
      <c r="B82" s="11">
        <v>1</v>
      </c>
      <c r="C82" s="11">
        <v>9</v>
      </c>
      <c r="D82" s="12">
        <f t="shared" si="12"/>
        <v>1827816.6666666667</v>
      </c>
      <c r="E82" s="11" t="str">
        <f t="shared" si="13"/>
        <v>14/15</v>
      </c>
      <c r="F82" s="11" t="str">
        <f t="shared" si="14"/>
        <v>Jun</v>
      </c>
      <c r="G82" s="11" t="str">
        <f t="shared" si="15"/>
        <v>Jun'14/15</v>
      </c>
      <c r="M82" s="6" t="s">
        <v>21</v>
      </c>
      <c r="N82" s="5">
        <f t="shared" si="27"/>
        <v>1533600</v>
      </c>
      <c r="O82" s="5">
        <f t="shared" si="16"/>
        <v>2929233.3333333335</v>
      </c>
      <c r="P82" s="5">
        <f t="shared" si="17"/>
        <v>5246666.666666667</v>
      </c>
      <c r="Q82" s="5">
        <f t="shared" si="18"/>
        <v>7923183.333333334</v>
      </c>
      <c r="R82" s="5">
        <f t="shared" si="19"/>
        <v>9973933.333333334</v>
      </c>
      <c r="S82" s="5">
        <f t="shared" si="20"/>
        <v>12800766.666666668</v>
      </c>
      <c r="T82" s="5">
        <f t="shared" si="21"/>
        <v>15001383.333333336</v>
      </c>
      <c r="U82" s="5">
        <f t="shared" si="22"/>
        <v>17172166.666666668</v>
      </c>
      <c r="V82" s="5">
        <f t="shared" si="23"/>
        <v>19305483.333333336</v>
      </c>
      <c r="W82" s="5">
        <f t="shared" si="24"/>
        <v>21340933.333333336</v>
      </c>
      <c r="X82" s="5">
        <f t="shared" si="25"/>
        <v>23202550.000000004</v>
      </c>
      <c r="Y82" s="5">
        <f t="shared" si="26"/>
        <v>24874883.333333336</v>
      </c>
    </row>
    <row r="83" spans="2:25" x14ac:dyDescent="0.55000000000000004">
      <c r="B83" s="11">
        <v>1</v>
      </c>
      <c r="C83" s="11">
        <v>10</v>
      </c>
      <c r="D83" s="12">
        <f t="shared" si="12"/>
        <v>1857350</v>
      </c>
      <c r="E83" s="11" t="str">
        <f t="shared" si="13"/>
        <v>14/15</v>
      </c>
      <c r="F83" s="11" t="str">
        <f t="shared" si="14"/>
        <v>Jul</v>
      </c>
      <c r="G83" s="11" t="str">
        <f t="shared" si="15"/>
        <v>Jul'14/15</v>
      </c>
      <c r="M83" s="6" t="s">
        <v>22</v>
      </c>
      <c r="N83" s="5">
        <f t="shared" si="27"/>
        <v>1654150</v>
      </c>
      <c r="O83" s="5">
        <f t="shared" si="16"/>
        <v>3445366.666666667</v>
      </c>
      <c r="P83" s="5">
        <f t="shared" si="17"/>
        <v>6267850</v>
      </c>
      <c r="Q83" s="5">
        <f t="shared" si="18"/>
        <v>10125633.333333334</v>
      </c>
      <c r="R83" s="5">
        <f t="shared" si="19"/>
        <v>12455833.333333334</v>
      </c>
      <c r="S83" s="5">
        <f t="shared" si="20"/>
        <v>15965833.333333334</v>
      </c>
      <c r="T83" s="5">
        <f t="shared" si="21"/>
        <v>18586416.666666668</v>
      </c>
      <c r="U83" s="5">
        <f t="shared" si="22"/>
        <v>20960083.333333336</v>
      </c>
      <c r="V83" s="5">
        <f t="shared" si="23"/>
        <v>23249216.666666668</v>
      </c>
      <c r="W83" s="5">
        <f t="shared" si="24"/>
        <v>25146750</v>
      </c>
      <c r="X83" s="5">
        <f t="shared" si="25"/>
        <v>27022266.666666668</v>
      </c>
      <c r="Y83" s="5">
        <f t="shared" si="26"/>
        <v>28564766.666666668</v>
      </c>
    </row>
    <row r="84" spans="2:25" x14ac:dyDescent="0.55000000000000004">
      <c r="B84" s="11">
        <v>1</v>
      </c>
      <c r="C84" s="11">
        <v>11</v>
      </c>
      <c r="D84" s="12">
        <f t="shared" si="12"/>
        <v>1583600</v>
      </c>
      <c r="E84" s="11" t="str">
        <f t="shared" si="13"/>
        <v>14/15</v>
      </c>
      <c r="F84" s="11" t="str">
        <f t="shared" si="14"/>
        <v>Aug</v>
      </c>
      <c r="G84" s="11" t="str">
        <f t="shared" si="15"/>
        <v>Aug'14/15</v>
      </c>
      <c r="H84" s="11" t="s">
        <v>34</v>
      </c>
      <c r="I84" s="11" t="s">
        <v>44</v>
      </c>
      <c r="M84" s="6" t="s">
        <v>23</v>
      </c>
      <c r="N84" s="5">
        <f t="shared" si="27"/>
        <v>1330550</v>
      </c>
      <c r="O84" s="5">
        <f t="shared" si="16"/>
        <v>3470600</v>
      </c>
      <c r="P84" s="5">
        <f t="shared" si="17"/>
        <v>6755216.7000000002</v>
      </c>
      <c r="Q84" s="5">
        <f t="shared" si="18"/>
        <v>9553392.0341989305</v>
      </c>
      <c r="R84" s="5">
        <f t="shared" si="19"/>
        <v>12442886.840620084</v>
      </c>
      <c r="S84" s="5">
        <f t="shared" si="20"/>
        <v>16006428.535064528</v>
      </c>
      <c r="T84" s="5">
        <f t="shared" si="21"/>
        <v>18796753.562842306</v>
      </c>
      <c r="U84" s="5">
        <f t="shared" si="22"/>
        <v>21330533.8948985</v>
      </c>
      <c r="V84" s="5">
        <f t="shared" si="23"/>
        <v>23737525.589342944</v>
      </c>
      <c r="W84" s="5">
        <f t="shared" si="24"/>
        <v>25732911.79981469</v>
      </c>
      <c r="X84" s="5">
        <f t="shared" si="25"/>
        <v>27296453.494259134</v>
      </c>
      <c r="Y84" s="5">
        <f t="shared" si="26"/>
        <v>28209445.188703578</v>
      </c>
    </row>
    <row r="85" spans="2:25" x14ac:dyDescent="0.55000000000000004">
      <c r="B85" s="11">
        <v>1</v>
      </c>
      <c r="C85" s="11">
        <v>12</v>
      </c>
      <c r="D85" s="12">
        <f t="shared" si="12"/>
        <v>1452359.7359735975</v>
      </c>
      <c r="E85" s="11" t="str">
        <f t="shared" si="13"/>
        <v>14/15</v>
      </c>
      <c r="F85" s="11" t="str">
        <f t="shared" si="14"/>
        <v>Sep</v>
      </c>
      <c r="G85" s="11" t="str">
        <f t="shared" si="15"/>
        <v>Sep'14/15</v>
      </c>
      <c r="H85" s="11" t="str">
        <f>G85</f>
        <v>Sep'14/15</v>
      </c>
      <c r="I85" s="11">
        <f>SUM(D74:D85)/1000000</f>
        <v>21.554057572397753</v>
      </c>
      <c r="M85" s="6" t="s">
        <v>24</v>
      </c>
      <c r="N85" s="5">
        <f t="shared" si="27"/>
        <v>728750</v>
      </c>
      <c r="O85" s="5">
        <f t="shared" si="16"/>
        <v>2717033.3333333335</v>
      </c>
      <c r="P85" s="5">
        <f t="shared" si="17"/>
        <v>6177250</v>
      </c>
      <c r="Q85" s="5">
        <f t="shared" si="18"/>
        <v>10148350</v>
      </c>
      <c r="R85" s="5">
        <f t="shared" si="19"/>
        <v>12824750</v>
      </c>
      <c r="S85" s="5">
        <f t="shared" si="20"/>
        <v>15974283.333333334</v>
      </c>
      <c r="T85" s="5">
        <f t="shared" si="21"/>
        <v>18508833.333333336</v>
      </c>
      <c r="U85" s="5">
        <f t="shared" si="22"/>
        <v>19831466.666666668</v>
      </c>
      <c r="V85" s="5">
        <f t="shared" si="23"/>
        <v>21001500</v>
      </c>
      <c r="W85" s="5">
        <f t="shared" si="24"/>
        <v>22284533.333333332</v>
      </c>
      <c r="X85" s="5">
        <f t="shared" si="25"/>
        <v>23554766.666666664</v>
      </c>
      <c r="Y85" s="5">
        <f t="shared" si="26"/>
        <v>24344733.333333332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12"/>
        <v>1466883.3333333335</v>
      </c>
      <c r="E86" s="11" t="str">
        <f t="shared" si="13"/>
        <v>15/16</v>
      </c>
      <c r="F86" s="11" t="str">
        <f t="shared" si="14"/>
        <v>Oct</v>
      </c>
      <c r="G86" s="11" t="str">
        <f t="shared" si="15"/>
        <v>Oct'15/16</v>
      </c>
      <c r="H86" s="11" t="str">
        <f t="shared" ref="H86:H149" si="28">G86</f>
        <v>Oct'15/16</v>
      </c>
      <c r="I86" s="11">
        <f t="shared" ref="I86:I149" si="29">SUM(D75:D86)/1000000</f>
        <v>21.425140905731087</v>
      </c>
      <c r="M86" s="6" t="s">
        <v>25</v>
      </c>
      <c r="N86" s="5">
        <f t="shared" si="27"/>
        <v>733333</v>
      </c>
      <c r="O86" s="5">
        <f t="shared" si="16"/>
        <v>1783649.6666666667</v>
      </c>
      <c r="P86" s="5">
        <f t="shared" si="17"/>
        <v>3883649.666666667</v>
      </c>
      <c r="Q86" s="5">
        <f t="shared" si="18"/>
        <v>6117066.333333334</v>
      </c>
      <c r="R86" s="5">
        <f t="shared" si="19"/>
        <v>8947599.6666666679</v>
      </c>
      <c r="S86" s="5">
        <f t="shared" si="20"/>
        <v>11966183.000000002</v>
      </c>
      <c r="T86" s="5">
        <f t="shared" si="21"/>
        <v>14742949.666666668</v>
      </c>
      <c r="U86" s="5">
        <f t="shared" si="22"/>
        <v>17222316.333333336</v>
      </c>
      <c r="V86" s="5">
        <f t="shared" si="23"/>
        <v>19188699.666666668</v>
      </c>
      <c r="W86" s="5">
        <f t="shared" si="24"/>
        <v>20888349.666666668</v>
      </c>
      <c r="X86" s="5">
        <f t="shared" si="25"/>
        <v>22289382.666666668</v>
      </c>
      <c r="Y86" s="5">
        <f t="shared" si="26"/>
        <v>23641032.666666668</v>
      </c>
    </row>
    <row r="87" spans="2:25" x14ac:dyDescent="0.55000000000000004">
      <c r="B87" s="11">
        <f t="shared" ref="B87:B150" si="30">B75+1</f>
        <v>2</v>
      </c>
      <c r="C87" s="11">
        <f t="shared" ref="C87:C150" si="31">C75</f>
        <v>2</v>
      </c>
      <c r="D87" s="12">
        <f t="shared" si="12"/>
        <v>1717683.3333333335</v>
      </c>
      <c r="E87" s="11" t="str">
        <f t="shared" si="13"/>
        <v>15/16</v>
      </c>
      <c r="F87" s="11" t="str">
        <f t="shared" si="14"/>
        <v>Nov</v>
      </c>
      <c r="G87" s="11" t="str">
        <f t="shared" si="15"/>
        <v>Nov'15/16</v>
      </c>
      <c r="H87" s="11" t="str">
        <f t="shared" si="28"/>
        <v>Nov'15/16</v>
      </c>
      <c r="I87" s="11">
        <f t="shared" si="29"/>
        <v>21.746207572397747</v>
      </c>
      <c r="M87" s="6" t="s">
        <v>26</v>
      </c>
      <c r="N87" s="5">
        <f t="shared" si="27"/>
        <v>1138600</v>
      </c>
      <c r="O87" s="5">
        <f t="shared" si="16"/>
        <v>2618800</v>
      </c>
      <c r="P87" s="5">
        <f t="shared" si="17"/>
        <v>5668250</v>
      </c>
      <c r="Q87" s="5">
        <f t="shared" si="18"/>
        <v>9407383.333333334</v>
      </c>
      <c r="R87" s="5">
        <f t="shared" si="19"/>
        <v>11779666.666666668</v>
      </c>
      <c r="S87" s="5">
        <f t="shared" si="20"/>
        <v>14931666.666666668</v>
      </c>
      <c r="T87" s="5">
        <f t="shared" si="21"/>
        <v>18096566.666666668</v>
      </c>
      <c r="U87" s="5">
        <f t="shared" si="22"/>
        <v>20317966.666666668</v>
      </c>
      <c r="V87" s="5">
        <f t="shared" si="23"/>
        <v>22250733.333333336</v>
      </c>
      <c r="W87" s="5">
        <f t="shared" si="24"/>
        <v>24715566.666666668</v>
      </c>
      <c r="X87" s="5">
        <f t="shared" si="25"/>
        <v>26847283.333333336</v>
      </c>
      <c r="Y87" s="5">
        <f t="shared" si="26"/>
        <v>28604650.000000004</v>
      </c>
    </row>
    <row r="88" spans="2:25" x14ac:dyDescent="0.55000000000000004">
      <c r="B88" s="11">
        <f t="shared" si="30"/>
        <v>2</v>
      </c>
      <c r="C88" s="11">
        <f t="shared" si="31"/>
        <v>3</v>
      </c>
      <c r="D88" s="12">
        <f t="shared" si="12"/>
        <v>2529550</v>
      </c>
      <c r="E88" s="11" t="str">
        <f t="shared" si="13"/>
        <v>15/16</v>
      </c>
      <c r="F88" s="11" t="str">
        <f t="shared" si="14"/>
        <v>Dec</v>
      </c>
      <c r="G88" s="11" t="str">
        <f t="shared" si="15"/>
        <v>Dec'15/16</v>
      </c>
      <c r="H88" s="11" t="str">
        <f t="shared" si="28"/>
        <v>Dec'15/16</v>
      </c>
      <c r="I88" s="11">
        <f t="shared" si="29"/>
        <v>22.353474239064418</v>
      </c>
      <c r="M88" s="6" t="s">
        <v>27</v>
      </c>
      <c r="N88" s="5">
        <f t="shared" si="27"/>
        <v>1717466.6666666667</v>
      </c>
      <c r="O88" s="5" t="e">
        <f t="shared" si="16"/>
        <v>#N/A</v>
      </c>
      <c r="P88" s="5" t="e">
        <f t="shared" si="17"/>
        <v>#N/A</v>
      </c>
      <c r="Q88" s="5" t="e">
        <f t="shared" si="18"/>
        <v>#N/A</v>
      </c>
      <c r="R88" s="5" t="e">
        <f t="shared" si="19"/>
        <v>#N/A</v>
      </c>
      <c r="S88" s="5" t="e">
        <f t="shared" si="20"/>
        <v>#N/A</v>
      </c>
      <c r="T88" s="5" t="e">
        <f t="shared" si="21"/>
        <v>#N/A</v>
      </c>
      <c r="U88" s="5" t="e">
        <f t="shared" si="22"/>
        <v>#N/A</v>
      </c>
      <c r="V88" s="5" t="e">
        <f t="shared" si="23"/>
        <v>#N/A</v>
      </c>
      <c r="W88" s="5" t="e">
        <f t="shared" si="24"/>
        <v>#N/A</v>
      </c>
      <c r="X88" s="5" t="e">
        <f t="shared" si="25"/>
        <v>#N/A</v>
      </c>
      <c r="Y88" s="5" t="e">
        <f t="shared" si="26"/>
        <v>#N/A</v>
      </c>
    </row>
    <row r="89" spans="2:25" x14ac:dyDescent="0.55000000000000004">
      <c r="B89" s="11">
        <f t="shared" si="30"/>
        <v>2</v>
      </c>
      <c r="C89" s="11">
        <f t="shared" si="31"/>
        <v>4</v>
      </c>
      <c r="D89" s="12">
        <f t="shared" si="12"/>
        <v>2944016.666666667</v>
      </c>
      <c r="E89" s="11" t="str">
        <f t="shared" si="13"/>
        <v>15/16</v>
      </c>
      <c r="F89" s="11" t="str">
        <f t="shared" si="14"/>
        <v>Jan</v>
      </c>
      <c r="G89" s="11" t="str">
        <f t="shared" si="15"/>
        <v>Jan'15/16</v>
      </c>
      <c r="H89" s="11" t="str">
        <f t="shared" si="28"/>
        <v>Jan'15/16</v>
      </c>
      <c r="I89" s="11">
        <f t="shared" si="29"/>
        <v>22.861624239064422</v>
      </c>
      <c r="M89" s="6" t="s">
        <v>106</v>
      </c>
      <c r="N89" s="5">
        <f>C22</f>
        <v>1138600</v>
      </c>
      <c r="O89" s="5">
        <f>N89+D22</f>
        <v>2618800</v>
      </c>
      <c r="P89" s="5">
        <f t="shared" ref="P89:Y89" si="32">O89+E22</f>
        <v>5668250</v>
      </c>
      <c r="Q89" s="5">
        <f t="shared" si="32"/>
        <v>9407383.333333334</v>
      </c>
      <c r="R89" s="5">
        <f t="shared" si="32"/>
        <v>11779666.666666668</v>
      </c>
      <c r="S89" s="5">
        <f t="shared" si="32"/>
        <v>14931666.666666668</v>
      </c>
      <c r="T89" s="5">
        <f t="shared" si="32"/>
        <v>18096566.666666668</v>
      </c>
      <c r="U89" s="5">
        <f t="shared" si="32"/>
        <v>20317966.666666668</v>
      </c>
      <c r="V89" s="5">
        <f t="shared" si="32"/>
        <v>22250733.333333336</v>
      </c>
      <c r="W89" s="5">
        <f t="shared" ca="1" si="32"/>
        <v>22250733.333333336</v>
      </c>
      <c r="X89" s="5">
        <f t="shared" ca="1" si="32"/>
        <v>22250733.333333336</v>
      </c>
      <c r="Y89" s="5">
        <f t="shared" ca="1" si="32"/>
        <v>22250733.333333336</v>
      </c>
    </row>
    <row r="90" spans="2:25" x14ac:dyDescent="0.55000000000000004">
      <c r="B90" s="11">
        <f t="shared" si="30"/>
        <v>2</v>
      </c>
      <c r="C90" s="11">
        <f t="shared" si="31"/>
        <v>5</v>
      </c>
      <c r="D90" s="12">
        <f t="shared" si="12"/>
        <v>1961516.6666666667</v>
      </c>
      <c r="E90" s="11" t="str">
        <f t="shared" si="13"/>
        <v>15/16</v>
      </c>
      <c r="F90" s="11" t="str">
        <f t="shared" si="14"/>
        <v>Feb</v>
      </c>
      <c r="G90" s="11" t="str">
        <f t="shared" si="15"/>
        <v>Feb'15/16</v>
      </c>
      <c r="H90" s="11" t="str">
        <f t="shared" si="28"/>
        <v>Feb'15/16</v>
      </c>
      <c r="I90" s="11">
        <f t="shared" si="29"/>
        <v>23.1999597359736</v>
      </c>
    </row>
    <row r="91" spans="2:25" x14ac:dyDescent="0.55000000000000004">
      <c r="B91" s="11">
        <f t="shared" si="30"/>
        <v>2</v>
      </c>
      <c r="C91" s="11">
        <f t="shared" si="31"/>
        <v>6</v>
      </c>
      <c r="D91" s="12">
        <f t="shared" si="12"/>
        <v>2999100</v>
      </c>
      <c r="E91" s="11" t="str">
        <f t="shared" si="13"/>
        <v>15/16</v>
      </c>
      <c r="F91" s="11" t="str">
        <f t="shared" si="14"/>
        <v>Mar</v>
      </c>
      <c r="G91" s="11" t="str">
        <f t="shared" si="15"/>
        <v>Mar'15/16</v>
      </c>
      <c r="H91" s="11" t="str">
        <f t="shared" si="28"/>
        <v>Mar'15/16</v>
      </c>
      <c r="I91" s="11">
        <f t="shared" si="29"/>
        <v>23.923359735973602</v>
      </c>
    </row>
    <row r="92" spans="2:25" x14ac:dyDescent="0.55000000000000004">
      <c r="B92" s="11">
        <f t="shared" si="30"/>
        <v>2</v>
      </c>
      <c r="C92" s="11">
        <f t="shared" si="31"/>
        <v>7</v>
      </c>
      <c r="D92" s="12">
        <f t="shared" si="12"/>
        <v>3133116.666666667</v>
      </c>
      <c r="E92" s="11" t="str">
        <f t="shared" si="13"/>
        <v>15/16</v>
      </c>
      <c r="F92" s="11" t="str">
        <f t="shared" si="14"/>
        <v>Apr</v>
      </c>
      <c r="G92" s="11" t="str">
        <f t="shared" si="15"/>
        <v>Apr'15/16</v>
      </c>
      <c r="H92" s="11" t="str">
        <f t="shared" si="28"/>
        <v>Apr'15/16</v>
      </c>
      <c r="I92" s="11">
        <f t="shared" si="29"/>
        <v>25.278509735973604</v>
      </c>
    </row>
    <row r="93" spans="2:25" x14ac:dyDescent="0.55000000000000004">
      <c r="B93" s="11">
        <f t="shared" si="30"/>
        <v>2</v>
      </c>
      <c r="C93" s="11">
        <f t="shared" si="31"/>
        <v>8</v>
      </c>
      <c r="D93" s="12">
        <f t="shared" si="12"/>
        <v>2683366.666666667</v>
      </c>
      <c r="E93" s="11" t="str">
        <f t="shared" si="13"/>
        <v>15/16</v>
      </c>
      <c r="F93" s="11" t="str">
        <f t="shared" si="14"/>
        <v>May</v>
      </c>
      <c r="G93" s="11" t="str">
        <f t="shared" si="15"/>
        <v>May'15/16</v>
      </c>
      <c r="H93" s="11" t="str">
        <f t="shared" si="28"/>
        <v>May'15/16</v>
      </c>
      <c r="I93" s="11">
        <f t="shared" si="29"/>
        <v>26.156359735973606</v>
      </c>
    </row>
    <row r="94" spans="2:25" x14ac:dyDescent="0.55000000000000004">
      <c r="B94" s="11">
        <f t="shared" si="30"/>
        <v>2</v>
      </c>
      <c r="C94" s="11">
        <f t="shared" si="31"/>
        <v>9</v>
      </c>
      <c r="D94" s="12">
        <f t="shared" si="12"/>
        <v>2634166.666666667</v>
      </c>
      <c r="E94" s="11" t="str">
        <f t="shared" si="13"/>
        <v>15/16</v>
      </c>
      <c r="F94" s="11" t="str">
        <f t="shared" si="14"/>
        <v>Jun</v>
      </c>
      <c r="G94" s="11" t="str">
        <f t="shared" si="15"/>
        <v>Jun'15/16</v>
      </c>
      <c r="H94" s="11" t="str">
        <f t="shared" si="28"/>
        <v>Jun'15/16</v>
      </c>
      <c r="I94" s="11">
        <f t="shared" si="29"/>
        <v>26.962709735973601</v>
      </c>
    </row>
    <row r="95" spans="2:25" x14ac:dyDescent="0.55000000000000004">
      <c r="B95" s="11">
        <f t="shared" si="30"/>
        <v>2</v>
      </c>
      <c r="C95" s="11">
        <f t="shared" si="31"/>
        <v>10</v>
      </c>
      <c r="D95" s="12">
        <f t="shared" si="12"/>
        <v>2321850</v>
      </c>
      <c r="E95" s="11" t="str">
        <f t="shared" si="13"/>
        <v>15/16</v>
      </c>
      <c r="F95" s="11" t="str">
        <f t="shared" si="14"/>
        <v>Jul</v>
      </c>
      <c r="G95" s="11" t="str">
        <f t="shared" si="15"/>
        <v>Jul'15/16</v>
      </c>
      <c r="H95" s="11" t="str">
        <f t="shared" si="28"/>
        <v>Jul'15/16</v>
      </c>
      <c r="I95" s="11">
        <f t="shared" si="29"/>
        <v>27.427209735973602</v>
      </c>
    </row>
    <row r="96" spans="2:25" x14ac:dyDescent="0.55000000000000004">
      <c r="B96" s="11">
        <f t="shared" si="30"/>
        <v>2</v>
      </c>
      <c r="C96" s="11">
        <f t="shared" si="31"/>
        <v>11</v>
      </c>
      <c r="D96" s="12">
        <f t="shared" si="12"/>
        <v>2526250</v>
      </c>
      <c r="E96" s="11" t="str">
        <f t="shared" si="13"/>
        <v>15/16</v>
      </c>
      <c r="F96" s="11" t="str">
        <f t="shared" si="14"/>
        <v>Aug</v>
      </c>
      <c r="G96" s="11" t="str">
        <f t="shared" si="15"/>
        <v>Aug'15/16</v>
      </c>
      <c r="H96" s="11" t="str">
        <f t="shared" si="28"/>
        <v>Aug'15/16</v>
      </c>
      <c r="I96" s="11">
        <f t="shared" si="29"/>
        <v>28.369859735973602</v>
      </c>
    </row>
    <row r="97" spans="2:9" x14ac:dyDescent="0.55000000000000004">
      <c r="B97" s="11">
        <f t="shared" si="30"/>
        <v>2</v>
      </c>
      <c r="C97" s="11">
        <f t="shared" si="31"/>
        <v>12</v>
      </c>
      <c r="D97" s="12">
        <f t="shared" si="12"/>
        <v>2147316.666666667</v>
      </c>
      <c r="E97" s="11" t="str">
        <f t="shared" si="13"/>
        <v>15/16</v>
      </c>
      <c r="F97" s="11" t="str">
        <f t="shared" si="14"/>
        <v>Sep</v>
      </c>
      <c r="G97" s="11" t="str">
        <f t="shared" si="15"/>
        <v>Sep'15/16</v>
      </c>
      <c r="H97" s="11" t="str">
        <f t="shared" si="28"/>
        <v>Sep'15/16</v>
      </c>
      <c r="I97" s="11">
        <f t="shared" si="29"/>
        <v>29.064816666666673</v>
      </c>
    </row>
    <row r="98" spans="2:9" x14ac:dyDescent="0.55000000000000004">
      <c r="B98" s="11">
        <f t="shared" si="30"/>
        <v>3</v>
      </c>
      <c r="C98" s="11">
        <f t="shared" si="31"/>
        <v>1</v>
      </c>
      <c r="D98" s="12">
        <f t="shared" si="12"/>
        <v>1950616.6666666667</v>
      </c>
      <c r="E98" s="11" t="str">
        <f t="shared" si="13"/>
        <v>16/17</v>
      </c>
      <c r="F98" s="11" t="str">
        <f t="shared" si="14"/>
        <v>Oct</v>
      </c>
      <c r="G98" s="11" t="str">
        <f t="shared" si="15"/>
        <v>Oct'16/17</v>
      </c>
      <c r="H98" s="11" t="str">
        <f t="shared" si="28"/>
        <v>Oct'16/17</v>
      </c>
      <c r="I98" s="11">
        <f t="shared" si="29"/>
        <v>29.548550000000006</v>
      </c>
    </row>
    <row r="99" spans="2:9" x14ac:dyDescent="0.55000000000000004">
      <c r="B99" s="11">
        <f t="shared" si="30"/>
        <v>3</v>
      </c>
      <c r="C99" s="11">
        <f t="shared" si="31"/>
        <v>2</v>
      </c>
      <c r="D99" s="12">
        <f t="shared" si="12"/>
        <v>1909633.3333333335</v>
      </c>
      <c r="E99" s="11" t="str">
        <f t="shared" si="13"/>
        <v>16/17</v>
      </c>
      <c r="F99" s="11" t="str">
        <f t="shared" si="14"/>
        <v>Nov</v>
      </c>
      <c r="G99" s="11" t="str">
        <f t="shared" si="15"/>
        <v>Nov'16/17</v>
      </c>
      <c r="H99" s="11" t="str">
        <f t="shared" si="28"/>
        <v>Nov'16/17</v>
      </c>
      <c r="I99" s="11">
        <f t="shared" si="29"/>
        <v>29.740500000000004</v>
      </c>
    </row>
    <row r="100" spans="2:9" x14ac:dyDescent="0.55000000000000004">
      <c r="B100" s="11">
        <f t="shared" si="30"/>
        <v>3</v>
      </c>
      <c r="C100" s="11">
        <f t="shared" si="31"/>
        <v>3</v>
      </c>
      <c r="D100" s="12">
        <f t="shared" si="12"/>
        <v>2461166.666666667</v>
      </c>
      <c r="E100" s="11" t="str">
        <f t="shared" si="13"/>
        <v>16/17</v>
      </c>
      <c r="F100" s="11" t="str">
        <f t="shared" si="14"/>
        <v>Dec</v>
      </c>
      <c r="G100" s="11" t="str">
        <f t="shared" si="15"/>
        <v>Dec'16/17</v>
      </c>
      <c r="H100" s="11" t="str">
        <f t="shared" si="28"/>
        <v>Dec'16/17</v>
      </c>
      <c r="I100" s="11">
        <f t="shared" si="29"/>
        <v>29.672116666666671</v>
      </c>
    </row>
    <row r="101" spans="2:9" x14ac:dyDescent="0.55000000000000004">
      <c r="B101" s="11">
        <f t="shared" si="30"/>
        <v>3</v>
      </c>
      <c r="C101" s="11">
        <f t="shared" si="31"/>
        <v>4</v>
      </c>
      <c r="D101" s="12">
        <f t="shared" si="12"/>
        <v>3081950</v>
      </c>
      <c r="E101" s="11" t="str">
        <f t="shared" si="13"/>
        <v>16/17</v>
      </c>
      <c r="F101" s="11" t="str">
        <f t="shared" si="14"/>
        <v>Jan</v>
      </c>
      <c r="G101" s="11" t="str">
        <f t="shared" si="15"/>
        <v>Jan'16/17</v>
      </c>
      <c r="H101" s="11" t="str">
        <f t="shared" si="28"/>
        <v>Jan'16/17</v>
      </c>
      <c r="I101" s="11">
        <f t="shared" si="29"/>
        <v>29.810050000000004</v>
      </c>
    </row>
    <row r="102" spans="2:9" x14ac:dyDescent="0.55000000000000004">
      <c r="B102" s="11">
        <f t="shared" si="30"/>
        <v>3</v>
      </c>
      <c r="C102" s="11">
        <f t="shared" si="31"/>
        <v>5</v>
      </c>
      <c r="D102" s="12">
        <f t="shared" si="12"/>
        <v>2798000</v>
      </c>
      <c r="E102" s="11" t="str">
        <f t="shared" si="13"/>
        <v>16/17</v>
      </c>
      <c r="F102" s="11" t="str">
        <f t="shared" si="14"/>
        <v>Feb</v>
      </c>
      <c r="G102" s="11" t="str">
        <f t="shared" si="15"/>
        <v>Feb'16/17</v>
      </c>
      <c r="H102" s="11" t="str">
        <f t="shared" si="28"/>
        <v>Feb'16/17</v>
      </c>
      <c r="I102" s="11">
        <f t="shared" si="29"/>
        <v>30.646533333333334</v>
      </c>
    </row>
    <row r="103" spans="2:9" x14ac:dyDescent="0.55000000000000004">
      <c r="B103" s="11">
        <f t="shared" si="30"/>
        <v>3</v>
      </c>
      <c r="C103" s="11">
        <f t="shared" si="31"/>
        <v>6</v>
      </c>
      <c r="D103" s="12">
        <f t="shared" si="12"/>
        <v>3100166.666666667</v>
      </c>
      <c r="E103" s="11" t="str">
        <f t="shared" si="13"/>
        <v>16/17</v>
      </c>
      <c r="F103" s="11" t="str">
        <f t="shared" si="14"/>
        <v>Mar</v>
      </c>
      <c r="G103" s="11" t="str">
        <f t="shared" si="15"/>
        <v>Mar'16/17</v>
      </c>
      <c r="H103" s="11" t="str">
        <f t="shared" si="28"/>
        <v>Mar'16/17</v>
      </c>
      <c r="I103" s="11">
        <f t="shared" si="29"/>
        <v>30.747600000000002</v>
      </c>
    </row>
    <row r="104" spans="2:9" x14ac:dyDescent="0.55000000000000004">
      <c r="B104" s="11">
        <f t="shared" si="30"/>
        <v>3</v>
      </c>
      <c r="C104" s="11">
        <f t="shared" si="31"/>
        <v>7</v>
      </c>
      <c r="D104" s="12">
        <f t="shared" si="12"/>
        <v>2393333.3333333335</v>
      </c>
      <c r="E104" s="11" t="str">
        <f t="shared" si="13"/>
        <v>16/17</v>
      </c>
      <c r="F104" s="11" t="str">
        <f t="shared" si="14"/>
        <v>Apr</v>
      </c>
      <c r="G104" s="11" t="str">
        <f t="shared" si="15"/>
        <v>Apr'16/17</v>
      </c>
      <c r="H104" s="11" t="str">
        <f t="shared" si="28"/>
        <v>Apr'16/17</v>
      </c>
      <c r="I104" s="11">
        <f t="shared" si="29"/>
        <v>30.007816666666667</v>
      </c>
    </row>
    <row r="105" spans="2:9" x14ac:dyDescent="0.55000000000000004">
      <c r="B105" s="11">
        <f t="shared" si="30"/>
        <v>3</v>
      </c>
      <c r="C105" s="11">
        <f t="shared" si="31"/>
        <v>8</v>
      </c>
      <c r="D105" s="12">
        <f t="shared" si="12"/>
        <v>2128150</v>
      </c>
      <c r="E105" s="11" t="str">
        <f t="shared" si="13"/>
        <v>16/17</v>
      </c>
      <c r="F105" s="11" t="str">
        <f t="shared" si="14"/>
        <v>May</v>
      </c>
      <c r="G105" s="11" t="str">
        <f t="shared" si="15"/>
        <v>May'16/17</v>
      </c>
      <c r="H105" s="11" t="str">
        <f t="shared" si="28"/>
        <v>May'16/17</v>
      </c>
      <c r="I105" s="11">
        <f t="shared" si="29"/>
        <v>29.4526</v>
      </c>
    </row>
    <row r="106" spans="2:9" x14ac:dyDescent="0.55000000000000004">
      <c r="B106" s="11">
        <f t="shared" si="30"/>
        <v>3</v>
      </c>
      <c r="C106" s="11">
        <f t="shared" si="31"/>
        <v>9</v>
      </c>
      <c r="D106" s="12">
        <f t="shared" si="12"/>
        <v>2027766.6666666667</v>
      </c>
      <c r="E106" s="11" t="str">
        <f t="shared" si="13"/>
        <v>16/17</v>
      </c>
      <c r="F106" s="11" t="str">
        <f t="shared" si="14"/>
        <v>Jun</v>
      </c>
      <c r="G106" s="11" t="str">
        <f t="shared" si="15"/>
        <v>Jun'16/17</v>
      </c>
      <c r="H106" s="11" t="str">
        <f t="shared" si="28"/>
        <v>Jun'16/17</v>
      </c>
      <c r="I106" s="11">
        <f t="shared" si="29"/>
        <v>28.846200000000003</v>
      </c>
    </row>
    <row r="107" spans="2:9" x14ac:dyDescent="0.55000000000000004">
      <c r="B107" s="11">
        <f t="shared" si="30"/>
        <v>3</v>
      </c>
      <c r="C107" s="11">
        <f t="shared" si="31"/>
        <v>10</v>
      </c>
      <c r="D107" s="12">
        <f t="shared" si="12"/>
        <v>1680183.3333333335</v>
      </c>
      <c r="E107" s="11" t="str">
        <f t="shared" si="13"/>
        <v>16/17</v>
      </c>
      <c r="F107" s="11" t="str">
        <f t="shared" si="14"/>
        <v>Jul</v>
      </c>
      <c r="G107" s="11" t="str">
        <f t="shared" si="15"/>
        <v>Jul'16/17</v>
      </c>
      <c r="H107" s="11" t="str">
        <f t="shared" si="28"/>
        <v>Jul'16/17</v>
      </c>
      <c r="I107" s="11">
        <f t="shared" si="29"/>
        <v>28.204533333333337</v>
      </c>
    </row>
    <row r="108" spans="2:9" x14ac:dyDescent="0.55000000000000004">
      <c r="B108" s="11">
        <f t="shared" si="30"/>
        <v>3</v>
      </c>
      <c r="C108" s="11">
        <f t="shared" si="31"/>
        <v>11</v>
      </c>
      <c r="D108" s="12">
        <f t="shared" si="12"/>
        <v>1583034.6475507766</v>
      </c>
      <c r="E108" s="11" t="str">
        <f t="shared" si="13"/>
        <v>16/17</v>
      </c>
      <c r="F108" s="11" t="str">
        <f t="shared" si="14"/>
        <v>Aug</v>
      </c>
      <c r="G108" s="11" t="str">
        <f t="shared" si="15"/>
        <v>Aug'16/17</v>
      </c>
      <c r="H108" s="11" t="str">
        <f t="shared" si="28"/>
        <v>Aug'16/17</v>
      </c>
      <c r="I108" s="11">
        <f t="shared" si="29"/>
        <v>27.261317980884112</v>
      </c>
    </row>
    <row r="109" spans="2:9" x14ac:dyDescent="0.55000000000000004">
      <c r="B109" s="11">
        <f t="shared" si="30"/>
        <v>3</v>
      </c>
      <c r="C109" s="11">
        <f t="shared" si="31"/>
        <v>12</v>
      </c>
      <c r="D109" s="12">
        <f t="shared" si="12"/>
        <v>1325000</v>
      </c>
      <c r="E109" s="11" t="str">
        <f t="shared" si="13"/>
        <v>16/17</v>
      </c>
      <c r="F109" s="11" t="str">
        <f t="shared" si="14"/>
        <v>Sep</v>
      </c>
      <c r="G109" s="11" t="str">
        <f t="shared" si="15"/>
        <v>Sep'16/17</v>
      </c>
      <c r="H109" s="11" t="str">
        <f t="shared" si="28"/>
        <v>Sep'16/17</v>
      </c>
      <c r="I109" s="11">
        <f t="shared" si="29"/>
        <v>26.439001314217446</v>
      </c>
    </row>
    <row r="110" spans="2:9" x14ac:dyDescent="0.55000000000000004">
      <c r="B110" s="11">
        <f t="shared" si="30"/>
        <v>4</v>
      </c>
      <c r="C110" s="11">
        <f t="shared" si="31"/>
        <v>1</v>
      </c>
      <c r="D110" s="12">
        <f t="shared" si="12"/>
        <v>1321033.3333333335</v>
      </c>
      <c r="E110" s="11" t="str">
        <f t="shared" si="13"/>
        <v>17/18</v>
      </c>
      <c r="F110" s="11" t="str">
        <f t="shared" si="14"/>
        <v>Oct</v>
      </c>
      <c r="G110" s="11" t="str">
        <f t="shared" si="15"/>
        <v>Oct'17/18</v>
      </c>
      <c r="H110" s="11" t="str">
        <f t="shared" si="28"/>
        <v>Oct'17/18</v>
      </c>
      <c r="I110" s="11">
        <f t="shared" si="29"/>
        <v>25.80941798088411</v>
      </c>
    </row>
    <row r="111" spans="2:9" x14ac:dyDescent="0.55000000000000004">
      <c r="B111" s="11">
        <f t="shared" si="30"/>
        <v>4</v>
      </c>
      <c r="C111" s="11">
        <f t="shared" si="31"/>
        <v>2</v>
      </c>
      <c r="D111" s="12">
        <f t="shared" si="12"/>
        <v>1745867.9446219383</v>
      </c>
      <c r="E111" s="11" t="str">
        <f t="shared" si="13"/>
        <v>17/18</v>
      </c>
      <c r="F111" s="11" t="str">
        <f t="shared" si="14"/>
        <v>Nov</v>
      </c>
      <c r="G111" s="11" t="str">
        <f t="shared" si="15"/>
        <v>Nov'17/18</v>
      </c>
      <c r="H111" s="11" t="str">
        <f t="shared" si="28"/>
        <v>Nov'17/18</v>
      </c>
      <c r="I111" s="11">
        <f t="shared" si="29"/>
        <v>25.645652592172716</v>
      </c>
    </row>
    <row r="112" spans="2:9" x14ac:dyDescent="0.55000000000000004">
      <c r="B112" s="11">
        <f t="shared" si="30"/>
        <v>4</v>
      </c>
      <c r="C112" s="11">
        <f t="shared" si="31"/>
        <v>3</v>
      </c>
      <c r="D112" s="12">
        <f t="shared" si="12"/>
        <v>2732283.3333333335</v>
      </c>
      <c r="E112" s="11" t="str">
        <f t="shared" si="13"/>
        <v>17/18</v>
      </c>
      <c r="F112" s="11" t="str">
        <f t="shared" si="14"/>
        <v>Dec</v>
      </c>
      <c r="G112" s="11" t="str">
        <f t="shared" si="15"/>
        <v>Dec'17/18</v>
      </c>
      <c r="H112" s="11" t="str">
        <f t="shared" si="28"/>
        <v>Dec'17/18</v>
      </c>
      <c r="I112" s="11">
        <f t="shared" si="29"/>
        <v>25.916769258839381</v>
      </c>
    </row>
    <row r="113" spans="2:9" x14ac:dyDescent="0.55000000000000004">
      <c r="B113" s="11">
        <f t="shared" si="30"/>
        <v>4</v>
      </c>
      <c r="C113" s="11">
        <f t="shared" si="31"/>
        <v>4</v>
      </c>
      <c r="D113" s="12">
        <f t="shared" si="12"/>
        <v>3606450</v>
      </c>
      <c r="E113" s="11" t="str">
        <f t="shared" si="13"/>
        <v>17/18</v>
      </c>
      <c r="F113" s="11" t="str">
        <f t="shared" si="14"/>
        <v>Jan</v>
      </c>
      <c r="G113" s="11" t="str">
        <f t="shared" si="15"/>
        <v>Jan'17/18</v>
      </c>
      <c r="H113" s="11" t="str">
        <f t="shared" si="28"/>
        <v>Jan'17/18</v>
      </c>
      <c r="I113" s="11">
        <f t="shared" si="29"/>
        <v>26.44126925883938</v>
      </c>
    </row>
    <row r="114" spans="2:9" x14ac:dyDescent="0.55000000000000004">
      <c r="B114" s="11">
        <f t="shared" si="30"/>
        <v>4</v>
      </c>
      <c r="C114" s="11">
        <f t="shared" si="31"/>
        <v>5</v>
      </c>
      <c r="D114" s="12">
        <f t="shared" si="12"/>
        <v>2274600</v>
      </c>
      <c r="E114" s="11" t="str">
        <f t="shared" si="13"/>
        <v>17/18</v>
      </c>
      <c r="F114" s="11" t="str">
        <f t="shared" si="14"/>
        <v>Feb</v>
      </c>
      <c r="G114" s="11" t="str">
        <f t="shared" si="15"/>
        <v>Feb'17/18</v>
      </c>
      <c r="H114" s="11" t="str">
        <f t="shared" si="28"/>
        <v>Feb'17/18</v>
      </c>
      <c r="I114" s="11">
        <f t="shared" si="29"/>
        <v>25.917869258839382</v>
      </c>
    </row>
    <row r="115" spans="2:9" x14ac:dyDescent="0.55000000000000004">
      <c r="B115" s="11">
        <f t="shared" si="30"/>
        <v>4</v>
      </c>
      <c r="C115" s="11">
        <f t="shared" si="31"/>
        <v>6</v>
      </c>
      <c r="D115" s="12">
        <f t="shared" si="12"/>
        <v>3508750</v>
      </c>
      <c r="E115" s="11" t="str">
        <f t="shared" si="13"/>
        <v>17/18</v>
      </c>
      <c r="F115" s="11" t="str">
        <f t="shared" si="14"/>
        <v>Mar</v>
      </c>
      <c r="G115" s="11" t="str">
        <f t="shared" si="15"/>
        <v>Mar'17/18</v>
      </c>
      <c r="H115" s="11" t="str">
        <f t="shared" si="28"/>
        <v>Mar'17/18</v>
      </c>
      <c r="I115" s="11">
        <f t="shared" si="29"/>
        <v>26.326452592172714</v>
      </c>
    </row>
    <row r="116" spans="2:9" x14ac:dyDescent="0.55000000000000004">
      <c r="B116" s="11">
        <f t="shared" si="30"/>
        <v>4</v>
      </c>
      <c r="C116" s="11">
        <f t="shared" si="31"/>
        <v>7</v>
      </c>
      <c r="D116" s="12">
        <f t="shared" si="12"/>
        <v>2726150</v>
      </c>
      <c r="E116" s="11" t="str">
        <f t="shared" si="13"/>
        <v>17/18</v>
      </c>
      <c r="F116" s="11" t="str">
        <f t="shared" si="14"/>
        <v>Apr</v>
      </c>
      <c r="G116" s="11" t="str">
        <f t="shared" si="15"/>
        <v>Apr'17/18</v>
      </c>
      <c r="H116" s="11" t="str">
        <f t="shared" si="28"/>
        <v>Apr'17/18</v>
      </c>
      <c r="I116" s="11">
        <f t="shared" si="29"/>
        <v>26.659269258839384</v>
      </c>
    </row>
    <row r="117" spans="2:9" x14ac:dyDescent="0.55000000000000004">
      <c r="B117" s="11">
        <f t="shared" si="30"/>
        <v>4</v>
      </c>
      <c r="C117" s="11">
        <f t="shared" si="31"/>
        <v>8</v>
      </c>
      <c r="D117" s="12">
        <f t="shared" si="12"/>
        <v>2588700</v>
      </c>
      <c r="E117" s="11" t="str">
        <f t="shared" si="13"/>
        <v>17/18</v>
      </c>
      <c r="F117" s="11" t="str">
        <f t="shared" si="14"/>
        <v>May</v>
      </c>
      <c r="G117" s="11" t="str">
        <f t="shared" si="15"/>
        <v>May'17/18</v>
      </c>
      <c r="H117" s="11" t="str">
        <f t="shared" si="28"/>
        <v>May'17/18</v>
      </c>
      <c r="I117" s="11">
        <f t="shared" si="29"/>
        <v>27.119819258839385</v>
      </c>
    </row>
    <row r="118" spans="2:9" x14ac:dyDescent="0.55000000000000004">
      <c r="B118" s="11">
        <f t="shared" si="30"/>
        <v>4</v>
      </c>
      <c r="C118" s="11">
        <f t="shared" si="31"/>
        <v>9</v>
      </c>
      <c r="D118" s="12">
        <f t="shared" si="12"/>
        <v>2597683.3333333335</v>
      </c>
      <c r="E118" s="11" t="str">
        <f t="shared" si="13"/>
        <v>17/18</v>
      </c>
      <c r="F118" s="11" t="str">
        <f t="shared" si="14"/>
        <v>Jun</v>
      </c>
      <c r="G118" s="11" t="str">
        <f t="shared" si="15"/>
        <v>Jun'17/18</v>
      </c>
      <c r="H118" s="11" t="str">
        <f t="shared" si="28"/>
        <v>Jun'17/18</v>
      </c>
      <c r="I118" s="11">
        <f t="shared" si="29"/>
        <v>27.689735925506049</v>
      </c>
    </row>
    <row r="119" spans="2:9" x14ac:dyDescent="0.55000000000000004">
      <c r="B119" s="11">
        <f t="shared" si="30"/>
        <v>4</v>
      </c>
      <c r="C119" s="11">
        <f t="shared" si="31"/>
        <v>10</v>
      </c>
      <c r="D119" s="12">
        <f t="shared" si="12"/>
        <v>2243533.3333333335</v>
      </c>
      <c r="E119" s="11" t="str">
        <f t="shared" si="13"/>
        <v>17/18</v>
      </c>
      <c r="F119" s="11" t="str">
        <f t="shared" si="14"/>
        <v>Jul</v>
      </c>
      <c r="G119" s="11" t="str">
        <f t="shared" si="15"/>
        <v>Jul'17/18</v>
      </c>
      <c r="H119" s="11" t="str">
        <f t="shared" si="28"/>
        <v>Jul'17/18</v>
      </c>
      <c r="I119" s="11">
        <f t="shared" si="29"/>
        <v>28.253085925506049</v>
      </c>
    </row>
    <row r="120" spans="2:9" x14ac:dyDescent="0.55000000000000004">
      <c r="B120" s="11">
        <f t="shared" si="30"/>
        <v>4</v>
      </c>
      <c r="C120" s="11">
        <f t="shared" si="31"/>
        <v>11</v>
      </c>
      <c r="D120" s="12">
        <f t="shared" si="12"/>
        <v>2551583.3333333335</v>
      </c>
      <c r="E120" s="11" t="str">
        <f t="shared" si="13"/>
        <v>17/18</v>
      </c>
      <c r="F120" s="11" t="str">
        <f t="shared" si="14"/>
        <v>Aug</v>
      </c>
      <c r="G120" s="11" t="str">
        <f t="shared" si="15"/>
        <v>Aug'17/18</v>
      </c>
      <c r="H120" s="11" t="str">
        <f t="shared" si="28"/>
        <v>Aug'17/18</v>
      </c>
      <c r="I120" s="11">
        <f t="shared" si="29"/>
        <v>29.221634611288604</v>
      </c>
    </row>
    <row r="121" spans="2:9" x14ac:dyDescent="0.55000000000000004">
      <c r="B121" s="11">
        <f t="shared" si="30"/>
        <v>4</v>
      </c>
      <c r="C121" s="11">
        <f t="shared" si="31"/>
        <v>12</v>
      </c>
      <c r="D121" s="12">
        <f t="shared" si="12"/>
        <v>2010700</v>
      </c>
      <c r="E121" s="11" t="str">
        <f t="shared" si="13"/>
        <v>17/18</v>
      </c>
      <c r="F121" s="11" t="str">
        <f t="shared" si="14"/>
        <v>Sep</v>
      </c>
      <c r="G121" s="11" t="str">
        <f t="shared" si="15"/>
        <v>Sep'17/18</v>
      </c>
      <c r="H121" s="11" t="str">
        <f t="shared" si="28"/>
        <v>Sep'17/18</v>
      </c>
      <c r="I121" s="11">
        <f t="shared" si="29"/>
        <v>29.907334611288604</v>
      </c>
    </row>
    <row r="122" spans="2:9" x14ac:dyDescent="0.55000000000000004">
      <c r="B122" s="11">
        <f t="shared" si="30"/>
        <v>5</v>
      </c>
      <c r="C122" s="11">
        <f t="shared" si="31"/>
        <v>1</v>
      </c>
      <c r="D122" s="12">
        <f t="shared" si="12"/>
        <v>2295166.666666667</v>
      </c>
      <c r="E122" s="11" t="str">
        <f t="shared" si="13"/>
        <v>18/19</v>
      </c>
      <c r="F122" s="11" t="str">
        <f t="shared" si="14"/>
        <v>Oct</v>
      </c>
      <c r="G122" s="11" t="str">
        <f t="shared" si="15"/>
        <v>Oct'18/19</v>
      </c>
      <c r="H122" s="11" t="str">
        <f t="shared" si="28"/>
        <v>Oct'18/19</v>
      </c>
      <c r="I122" s="11">
        <f t="shared" si="29"/>
        <v>30.881467944621935</v>
      </c>
    </row>
    <row r="123" spans="2:9" x14ac:dyDescent="0.55000000000000004">
      <c r="B123" s="11">
        <f t="shared" si="30"/>
        <v>5</v>
      </c>
      <c r="C123" s="11">
        <f t="shared" si="31"/>
        <v>2</v>
      </c>
      <c r="D123" s="12">
        <f t="shared" si="12"/>
        <v>2321833.3333333335</v>
      </c>
      <c r="E123" s="11" t="str">
        <f t="shared" si="13"/>
        <v>18/19</v>
      </c>
      <c r="F123" s="11" t="str">
        <f t="shared" si="14"/>
        <v>Nov</v>
      </c>
      <c r="G123" s="11" t="str">
        <f t="shared" si="15"/>
        <v>Nov'18/19</v>
      </c>
      <c r="H123" s="11" t="str">
        <f t="shared" si="28"/>
        <v>Nov'18/19</v>
      </c>
      <c r="I123" s="11">
        <f t="shared" si="29"/>
        <v>31.457433333333331</v>
      </c>
    </row>
    <row r="124" spans="2:9" x14ac:dyDescent="0.55000000000000004">
      <c r="B124" s="11">
        <f t="shared" si="30"/>
        <v>5</v>
      </c>
      <c r="C124" s="11">
        <f t="shared" si="31"/>
        <v>3</v>
      </c>
      <c r="D124" s="12">
        <f t="shared" si="12"/>
        <v>2557650</v>
      </c>
      <c r="E124" s="11" t="str">
        <f t="shared" si="13"/>
        <v>18/19</v>
      </c>
      <c r="F124" s="11" t="str">
        <f t="shared" si="14"/>
        <v>Dec</v>
      </c>
      <c r="G124" s="11" t="str">
        <f t="shared" si="15"/>
        <v>Dec'18/19</v>
      </c>
      <c r="H124" s="11" t="str">
        <f t="shared" si="28"/>
        <v>Dec'18/19</v>
      </c>
      <c r="I124" s="11">
        <f t="shared" si="29"/>
        <v>31.282799999999995</v>
      </c>
    </row>
    <row r="125" spans="2:9" x14ac:dyDescent="0.55000000000000004">
      <c r="B125" s="11">
        <f t="shared" si="30"/>
        <v>5</v>
      </c>
      <c r="C125" s="11">
        <f t="shared" si="31"/>
        <v>4</v>
      </c>
      <c r="D125" s="12">
        <f t="shared" si="12"/>
        <v>3360700</v>
      </c>
      <c r="E125" s="11" t="str">
        <f t="shared" si="13"/>
        <v>18/19</v>
      </c>
      <c r="F125" s="11" t="str">
        <f t="shared" si="14"/>
        <v>Jan</v>
      </c>
      <c r="G125" s="11" t="str">
        <f t="shared" si="15"/>
        <v>Jan'18/19</v>
      </c>
      <c r="H125" s="11" t="str">
        <f t="shared" si="28"/>
        <v>Jan'18/19</v>
      </c>
      <c r="I125" s="11">
        <f t="shared" si="29"/>
        <v>31.037050000000001</v>
      </c>
    </row>
    <row r="126" spans="2:9" x14ac:dyDescent="0.55000000000000004">
      <c r="B126" s="11">
        <f t="shared" si="30"/>
        <v>5</v>
      </c>
      <c r="C126" s="11">
        <f t="shared" si="31"/>
        <v>5</v>
      </c>
      <c r="D126" s="12">
        <f t="shared" si="12"/>
        <v>1906966.6666666667</v>
      </c>
      <c r="E126" s="11" t="str">
        <f t="shared" si="13"/>
        <v>18/19</v>
      </c>
      <c r="F126" s="11" t="str">
        <f t="shared" si="14"/>
        <v>Feb</v>
      </c>
      <c r="G126" s="11" t="str">
        <f t="shared" si="15"/>
        <v>Feb'18/19</v>
      </c>
      <c r="H126" s="11" t="str">
        <f t="shared" si="28"/>
        <v>Feb'18/19</v>
      </c>
      <c r="I126" s="11">
        <f t="shared" si="29"/>
        <v>30.669416666666667</v>
      </c>
    </row>
    <row r="127" spans="2:9" x14ac:dyDescent="0.55000000000000004">
      <c r="B127" s="11">
        <f t="shared" si="30"/>
        <v>5</v>
      </c>
      <c r="C127" s="11">
        <f t="shared" si="31"/>
        <v>6</v>
      </c>
      <c r="D127" s="12">
        <f t="shared" si="12"/>
        <v>2863783.3333333335</v>
      </c>
      <c r="E127" s="11" t="str">
        <f t="shared" si="13"/>
        <v>18/19</v>
      </c>
      <c r="F127" s="11" t="str">
        <f t="shared" si="14"/>
        <v>Mar</v>
      </c>
      <c r="G127" s="11" t="str">
        <f t="shared" si="15"/>
        <v>Mar'18/19</v>
      </c>
      <c r="H127" s="11" t="str">
        <f t="shared" si="28"/>
        <v>Mar'18/19</v>
      </c>
      <c r="I127" s="11">
        <f t="shared" si="29"/>
        <v>30.024450000000002</v>
      </c>
    </row>
    <row r="128" spans="2:9" x14ac:dyDescent="0.55000000000000004">
      <c r="B128" s="11">
        <f t="shared" si="30"/>
        <v>5</v>
      </c>
      <c r="C128" s="11">
        <f t="shared" si="31"/>
        <v>7</v>
      </c>
      <c r="D128" s="12">
        <f t="shared" si="12"/>
        <v>2394016.666666667</v>
      </c>
      <c r="E128" s="11" t="str">
        <f t="shared" si="13"/>
        <v>18/19</v>
      </c>
      <c r="F128" s="11" t="str">
        <f t="shared" si="14"/>
        <v>Apr</v>
      </c>
      <c r="G128" s="11" t="str">
        <f t="shared" si="15"/>
        <v>Apr'18/19</v>
      </c>
      <c r="H128" s="11" t="str">
        <f t="shared" si="28"/>
        <v>Apr'18/19</v>
      </c>
      <c r="I128" s="11">
        <f t="shared" si="29"/>
        <v>29.692316666666667</v>
      </c>
    </row>
    <row r="129" spans="2:9" x14ac:dyDescent="0.55000000000000004">
      <c r="B129" s="11">
        <f t="shared" si="30"/>
        <v>5</v>
      </c>
      <c r="C129" s="11">
        <f t="shared" si="31"/>
        <v>8</v>
      </c>
      <c r="D129" s="12">
        <f t="shared" si="12"/>
        <v>2418216.666666667</v>
      </c>
      <c r="E129" s="11" t="str">
        <f t="shared" si="13"/>
        <v>18/19</v>
      </c>
      <c r="F129" s="11" t="str">
        <f t="shared" si="14"/>
        <v>May</v>
      </c>
      <c r="G129" s="11" t="str">
        <f t="shared" si="15"/>
        <v>May'18/19</v>
      </c>
      <c r="H129" s="11" t="str">
        <f t="shared" si="28"/>
        <v>May'18/19</v>
      </c>
      <c r="I129" s="11">
        <f t="shared" si="29"/>
        <v>29.521833333333337</v>
      </c>
    </row>
    <row r="130" spans="2:9" x14ac:dyDescent="0.55000000000000004">
      <c r="B130" s="11">
        <f t="shared" si="30"/>
        <v>5</v>
      </c>
      <c r="C130" s="11">
        <f t="shared" si="31"/>
        <v>9</v>
      </c>
      <c r="D130" s="12">
        <f t="shared" si="12"/>
        <v>2404583.3333333335</v>
      </c>
      <c r="E130" s="11" t="str">
        <f t="shared" si="13"/>
        <v>18/19</v>
      </c>
      <c r="F130" s="11" t="str">
        <f t="shared" si="14"/>
        <v>Jun</v>
      </c>
      <c r="G130" s="11" t="str">
        <f t="shared" si="15"/>
        <v>Jun'18/19</v>
      </c>
      <c r="H130" s="11" t="str">
        <f t="shared" si="28"/>
        <v>Jun'18/19</v>
      </c>
      <c r="I130" s="11">
        <f t="shared" si="29"/>
        <v>29.328733333333336</v>
      </c>
    </row>
    <row r="131" spans="2:9" x14ac:dyDescent="0.55000000000000004">
      <c r="B131" s="11">
        <f t="shared" si="30"/>
        <v>5</v>
      </c>
      <c r="C131" s="11">
        <f t="shared" si="31"/>
        <v>10</v>
      </c>
      <c r="D131" s="12">
        <f t="shared" si="12"/>
        <v>2354700</v>
      </c>
      <c r="E131" s="11" t="str">
        <f t="shared" si="13"/>
        <v>18/19</v>
      </c>
      <c r="F131" s="11" t="str">
        <f t="shared" si="14"/>
        <v>Jul</v>
      </c>
      <c r="G131" s="11" t="str">
        <f t="shared" si="15"/>
        <v>Jul'18/19</v>
      </c>
      <c r="H131" s="11" t="str">
        <f t="shared" si="28"/>
        <v>Jul'18/19</v>
      </c>
      <c r="I131" s="11">
        <f t="shared" si="29"/>
        <v>29.439900000000002</v>
      </c>
    </row>
    <row r="132" spans="2:9" x14ac:dyDescent="0.55000000000000004">
      <c r="B132" s="11">
        <f t="shared" si="30"/>
        <v>5</v>
      </c>
      <c r="C132" s="11">
        <f t="shared" si="31"/>
        <v>11</v>
      </c>
      <c r="D132" s="12">
        <f t="shared" si="12"/>
        <v>1902000</v>
      </c>
      <c r="E132" s="11" t="str">
        <f t="shared" si="13"/>
        <v>18/19</v>
      </c>
      <c r="F132" s="11" t="str">
        <f t="shared" si="14"/>
        <v>Aug</v>
      </c>
      <c r="G132" s="11" t="str">
        <f t="shared" si="15"/>
        <v>Aug'18/19</v>
      </c>
      <c r="H132" s="11" t="str">
        <f t="shared" si="28"/>
        <v>Aug'18/19</v>
      </c>
      <c r="I132" s="11">
        <f t="shared" si="29"/>
        <v>28.790316666666669</v>
      </c>
    </row>
    <row r="133" spans="2:9" x14ac:dyDescent="0.55000000000000004">
      <c r="B133" s="11">
        <f t="shared" si="30"/>
        <v>5</v>
      </c>
      <c r="C133" s="11">
        <f t="shared" si="31"/>
        <v>12</v>
      </c>
      <c r="D133" s="12">
        <f t="shared" si="12"/>
        <v>1538416.6666666667</v>
      </c>
      <c r="E133" s="11" t="str">
        <f t="shared" si="13"/>
        <v>18/19</v>
      </c>
      <c r="F133" s="11" t="str">
        <f t="shared" si="14"/>
        <v>Sep</v>
      </c>
      <c r="G133" s="11" t="str">
        <f t="shared" si="15"/>
        <v>Sep'18/19</v>
      </c>
      <c r="H133" s="11" t="str">
        <f t="shared" si="28"/>
        <v>Sep'18/19</v>
      </c>
      <c r="I133" s="11">
        <f t="shared" si="29"/>
        <v>28.318033333333336</v>
      </c>
    </row>
    <row r="134" spans="2:9" x14ac:dyDescent="0.55000000000000004">
      <c r="B134" s="11">
        <f t="shared" si="30"/>
        <v>6</v>
      </c>
      <c r="C134" s="11">
        <f t="shared" si="31"/>
        <v>1</v>
      </c>
      <c r="D134" s="12">
        <f t="shared" si="12"/>
        <v>1485116.6666666667</v>
      </c>
      <c r="E134" s="11" t="str">
        <f t="shared" si="13"/>
        <v>19/20</v>
      </c>
      <c r="F134" s="11" t="str">
        <f t="shared" si="14"/>
        <v>Oct</v>
      </c>
      <c r="G134" s="11" t="str">
        <f t="shared" si="15"/>
        <v>Oct'19/20</v>
      </c>
      <c r="H134" s="11" t="str">
        <f t="shared" si="28"/>
        <v>Oct'19/20</v>
      </c>
      <c r="I134" s="11">
        <f t="shared" si="29"/>
        <v>27.507983333333335</v>
      </c>
    </row>
    <row r="135" spans="2:9" x14ac:dyDescent="0.55000000000000004">
      <c r="B135" s="11">
        <f t="shared" si="30"/>
        <v>6</v>
      </c>
      <c r="C135" s="11">
        <f t="shared" si="31"/>
        <v>2</v>
      </c>
      <c r="D135" s="12">
        <f t="shared" si="12"/>
        <v>1867916.6666666667</v>
      </c>
      <c r="E135" s="11" t="str">
        <f t="shared" si="13"/>
        <v>19/20</v>
      </c>
      <c r="F135" s="11" t="str">
        <f t="shared" si="14"/>
        <v>Nov</v>
      </c>
      <c r="G135" s="11" t="str">
        <f t="shared" si="15"/>
        <v>Nov'19/20</v>
      </c>
      <c r="H135" s="11" t="str">
        <f t="shared" si="28"/>
        <v>Nov'19/20</v>
      </c>
      <c r="I135" s="11">
        <f t="shared" si="29"/>
        <v>27.054066666666671</v>
      </c>
    </row>
    <row r="136" spans="2:9" x14ac:dyDescent="0.55000000000000004">
      <c r="B136" s="11">
        <f t="shared" si="30"/>
        <v>6</v>
      </c>
      <c r="C136" s="11">
        <f t="shared" si="31"/>
        <v>3</v>
      </c>
      <c r="D136" s="12">
        <f t="shared" si="12"/>
        <v>3129716.666666667</v>
      </c>
      <c r="E136" s="11" t="str">
        <f t="shared" si="13"/>
        <v>19/20</v>
      </c>
      <c r="F136" s="11" t="str">
        <f t="shared" si="14"/>
        <v>Dec</v>
      </c>
      <c r="G136" s="11" t="str">
        <f t="shared" si="15"/>
        <v>Dec'19/20</v>
      </c>
      <c r="H136" s="11" t="str">
        <f t="shared" si="28"/>
        <v>Dec'19/20</v>
      </c>
      <c r="I136" s="11">
        <f t="shared" si="29"/>
        <v>27.626133333333343</v>
      </c>
    </row>
    <row r="137" spans="2:9" x14ac:dyDescent="0.55000000000000004">
      <c r="B137" s="11">
        <f t="shared" si="30"/>
        <v>6</v>
      </c>
      <c r="C137" s="11">
        <f t="shared" si="31"/>
        <v>4</v>
      </c>
      <c r="D137" s="12">
        <f t="shared" si="12"/>
        <v>2424483.3333333335</v>
      </c>
      <c r="E137" s="11" t="str">
        <f t="shared" si="13"/>
        <v>19/20</v>
      </c>
      <c r="F137" s="11" t="str">
        <f t="shared" si="14"/>
        <v>Jan</v>
      </c>
      <c r="G137" s="11" t="str">
        <f t="shared" si="15"/>
        <v>Jan'19/20</v>
      </c>
      <c r="H137" s="11" t="str">
        <f t="shared" si="28"/>
        <v>Jan'19/20</v>
      </c>
      <c r="I137" s="11">
        <f t="shared" si="29"/>
        <v>26.689916666666672</v>
      </c>
    </row>
    <row r="138" spans="2:9" x14ac:dyDescent="0.55000000000000004">
      <c r="B138" s="11">
        <f t="shared" si="30"/>
        <v>6</v>
      </c>
      <c r="C138" s="11">
        <f t="shared" si="31"/>
        <v>5</v>
      </c>
      <c r="D138" s="12">
        <f t="shared" si="12"/>
        <v>3108966.666666667</v>
      </c>
      <c r="E138" s="11" t="str">
        <f t="shared" si="13"/>
        <v>19/20</v>
      </c>
      <c r="F138" s="11" t="str">
        <f t="shared" si="14"/>
        <v>Feb</v>
      </c>
      <c r="G138" s="11" t="str">
        <f t="shared" si="15"/>
        <v>Feb'19/20</v>
      </c>
      <c r="H138" s="11" t="str">
        <f t="shared" si="28"/>
        <v>Feb'19/20</v>
      </c>
      <c r="I138" s="11">
        <f t="shared" si="29"/>
        <v>27.891916666666667</v>
      </c>
    </row>
    <row r="139" spans="2:9" x14ac:dyDescent="0.55000000000000004">
      <c r="B139" s="11">
        <f t="shared" si="30"/>
        <v>6</v>
      </c>
      <c r="C139" s="11">
        <f t="shared" si="31"/>
        <v>6</v>
      </c>
      <c r="D139" s="12">
        <f t="shared" ref="D139:D202" si="33">INDEX($C$7:$N$19,MATCH(B139,$A$7:$A$19),MATCH(C139,$C$4:$N$4))</f>
        <v>3061633.3333333335</v>
      </c>
      <c r="E139" s="11" t="str">
        <f t="shared" ref="E139:E202" si="34">_xlfn.XLOOKUP(B139,$A$7:$A$19,$B$7:$B$19)</f>
        <v>19/20</v>
      </c>
      <c r="F139" s="11" t="str">
        <f t="shared" ref="F139:F202" si="35">_xlfn.XLOOKUP(C139,$C$4:$N$4,$C$6:$N$6)</f>
        <v>Mar</v>
      </c>
      <c r="G139" s="11" t="str">
        <f t="shared" ref="G139:G202" si="36">_xlfn.CONCAT(F139,"'",E139)</f>
        <v>Mar'19/20</v>
      </c>
      <c r="H139" s="11" t="str">
        <f t="shared" si="28"/>
        <v>Mar'19/20</v>
      </c>
      <c r="I139" s="11">
        <f t="shared" si="29"/>
        <v>28.089766666666666</v>
      </c>
    </row>
    <row r="140" spans="2:9" x14ac:dyDescent="0.55000000000000004">
      <c r="B140" s="11">
        <f t="shared" si="30"/>
        <v>6</v>
      </c>
      <c r="C140" s="11">
        <f t="shared" si="31"/>
        <v>7</v>
      </c>
      <c r="D140" s="12">
        <f t="shared" si="33"/>
        <v>2784300</v>
      </c>
      <c r="E140" s="11" t="str">
        <f t="shared" si="34"/>
        <v>19/20</v>
      </c>
      <c r="F140" s="11" t="str">
        <f t="shared" si="35"/>
        <v>Apr</v>
      </c>
      <c r="G140" s="11" t="str">
        <f t="shared" si="36"/>
        <v>Apr'19/20</v>
      </c>
      <c r="H140" s="11" t="str">
        <f t="shared" si="28"/>
        <v>Apr'19/20</v>
      </c>
      <c r="I140" s="11">
        <f t="shared" si="29"/>
        <v>28.480049999999995</v>
      </c>
    </row>
    <row r="141" spans="2:9" x14ac:dyDescent="0.55000000000000004">
      <c r="B141" s="11">
        <f t="shared" si="30"/>
        <v>6</v>
      </c>
      <c r="C141" s="11">
        <f t="shared" si="31"/>
        <v>8</v>
      </c>
      <c r="D141" s="12">
        <f t="shared" si="33"/>
        <v>2168933.3333333335</v>
      </c>
      <c r="E141" s="11" t="str">
        <f t="shared" si="34"/>
        <v>19/20</v>
      </c>
      <c r="F141" s="11" t="str">
        <f t="shared" si="35"/>
        <v>May</v>
      </c>
      <c r="G141" s="11" t="str">
        <f t="shared" si="36"/>
        <v>May'19/20</v>
      </c>
      <c r="H141" s="11" t="str">
        <f t="shared" si="28"/>
        <v>May'19/20</v>
      </c>
      <c r="I141" s="11">
        <f t="shared" si="29"/>
        <v>28.230766666666664</v>
      </c>
    </row>
    <row r="142" spans="2:9" x14ac:dyDescent="0.55000000000000004">
      <c r="B142" s="11">
        <f t="shared" si="30"/>
        <v>6</v>
      </c>
      <c r="C142" s="11">
        <f t="shared" si="31"/>
        <v>9</v>
      </c>
      <c r="D142" s="12">
        <f t="shared" si="33"/>
        <v>2127900</v>
      </c>
      <c r="E142" s="11" t="str">
        <f t="shared" si="34"/>
        <v>19/20</v>
      </c>
      <c r="F142" s="11" t="str">
        <f t="shared" si="35"/>
        <v>Jun</v>
      </c>
      <c r="G142" s="11" t="str">
        <f t="shared" si="36"/>
        <v>Jun'19/20</v>
      </c>
      <c r="H142" s="11" t="str">
        <f t="shared" si="28"/>
        <v>Jun'19/20</v>
      </c>
      <c r="I142" s="11">
        <f t="shared" si="29"/>
        <v>27.954083333333333</v>
      </c>
    </row>
    <row r="143" spans="2:9" x14ac:dyDescent="0.55000000000000004">
      <c r="B143" s="11">
        <f t="shared" si="30"/>
        <v>6</v>
      </c>
      <c r="C143" s="11">
        <f t="shared" si="31"/>
        <v>10</v>
      </c>
      <c r="D143" s="12">
        <f t="shared" si="33"/>
        <v>1833750</v>
      </c>
      <c r="E143" s="11" t="str">
        <f t="shared" si="34"/>
        <v>19/20</v>
      </c>
      <c r="F143" s="11" t="str">
        <f t="shared" si="35"/>
        <v>Jul</v>
      </c>
      <c r="G143" s="11" t="str">
        <f t="shared" si="36"/>
        <v>Jul'19/20</v>
      </c>
      <c r="H143" s="11" t="str">
        <f t="shared" si="28"/>
        <v>Jul'19/20</v>
      </c>
      <c r="I143" s="11">
        <f t="shared" si="29"/>
        <v>27.43313333333333</v>
      </c>
    </row>
    <row r="144" spans="2:9" x14ac:dyDescent="0.55000000000000004">
      <c r="B144" s="11">
        <f t="shared" si="30"/>
        <v>6</v>
      </c>
      <c r="C144" s="11">
        <f t="shared" si="31"/>
        <v>11</v>
      </c>
      <c r="D144" s="12">
        <f t="shared" si="33"/>
        <v>1669200</v>
      </c>
      <c r="E144" s="11" t="str">
        <f t="shared" si="34"/>
        <v>19/20</v>
      </c>
      <c r="F144" s="11" t="str">
        <f t="shared" si="35"/>
        <v>Aug</v>
      </c>
      <c r="G144" s="11" t="str">
        <f t="shared" si="36"/>
        <v>Aug'19/20</v>
      </c>
      <c r="H144" s="11" t="str">
        <f t="shared" si="28"/>
        <v>Aug'19/20</v>
      </c>
      <c r="I144" s="11">
        <f t="shared" si="29"/>
        <v>27.200333333333333</v>
      </c>
    </row>
    <row r="145" spans="2:9" x14ac:dyDescent="0.55000000000000004">
      <c r="B145" s="11">
        <f t="shared" si="30"/>
        <v>6</v>
      </c>
      <c r="C145" s="11">
        <f t="shared" si="31"/>
        <v>12</v>
      </c>
      <c r="D145" s="12">
        <f t="shared" si="33"/>
        <v>1662166.6666666667</v>
      </c>
      <c r="E145" s="11" t="str">
        <f t="shared" si="34"/>
        <v>19/20</v>
      </c>
      <c r="F145" s="11" t="str">
        <f t="shared" si="35"/>
        <v>Sep</v>
      </c>
      <c r="G145" s="11" t="str">
        <f t="shared" si="36"/>
        <v>Sep'19/20</v>
      </c>
      <c r="H145" s="11" t="str">
        <f t="shared" si="28"/>
        <v>Sep'19/20</v>
      </c>
      <c r="I145" s="11">
        <f t="shared" si="29"/>
        <v>27.324083333333334</v>
      </c>
    </row>
    <row r="146" spans="2:9" x14ac:dyDescent="0.55000000000000004">
      <c r="B146" s="11">
        <f t="shared" si="30"/>
        <v>7</v>
      </c>
      <c r="C146" s="11">
        <f t="shared" si="31"/>
        <v>1</v>
      </c>
      <c r="D146" s="12">
        <f t="shared" si="33"/>
        <v>1533600</v>
      </c>
      <c r="E146" s="11" t="str">
        <f t="shared" si="34"/>
        <v>20/21</v>
      </c>
      <c r="F146" s="11" t="str">
        <f t="shared" si="35"/>
        <v>Oct</v>
      </c>
      <c r="G146" s="11" t="str">
        <f t="shared" si="36"/>
        <v>Oct'20/21</v>
      </c>
      <c r="H146" s="11" t="str">
        <f t="shared" si="28"/>
        <v>Oct'20/21</v>
      </c>
      <c r="I146" s="11">
        <f t="shared" si="29"/>
        <v>27.372566666666671</v>
      </c>
    </row>
    <row r="147" spans="2:9" x14ac:dyDescent="0.55000000000000004">
      <c r="B147" s="11">
        <f t="shared" si="30"/>
        <v>7</v>
      </c>
      <c r="C147" s="11">
        <f t="shared" si="31"/>
        <v>2</v>
      </c>
      <c r="D147" s="12">
        <f t="shared" si="33"/>
        <v>1395633.3333333335</v>
      </c>
      <c r="E147" s="11" t="str">
        <f t="shared" si="34"/>
        <v>20/21</v>
      </c>
      <c r="F147" s="11" t="str">
        <f t="shared" si="35"/>
        <v>Nov</v>
      </c>
      <c r="G147" s="11" t="str">
        <f t="shared" si="36"/>
        <v>Nov'20/21</v>
      </c>
      <c r="H147" s="11" t="str">
        <f t="shared" si="28"/>
        <v>Nov'20/21</v>
      </c>
      <c r="I147" s="11">
        <f t="shared" si="29"/>
        <v>26.900283333333334</v>
      </c>
    </row>
    <row r="148" spans="2:9" x14ac:dyDescent="0.55000000000000004">
      <c r="B148" s="11">
        <f t="shared" si="30"/>
        <v>7</v>
      </c>
      <c r="C148" s="11">
        <f t="shared" si="31"/>
        <v>3</v>
      </c>
      <c r="D148" s="12">
        <f t="shared" si="33"/>
        <v>2317433.3333333335</v>
      </c>
      <c r="E148" s="11" t="str">
        <f t="shared" si="34"/>
        <v>20/21</v>
      </c>
      <c r="F148" s="11" t="str">
        <f t="shared" si="35"/>
        <v>Dec</v>
      </c>
      <c r="G148" s="11" t="str">
        <f t="shared" si="36"/>
        <v>Dec'20/21</v>
      </c>
      <c r="H148" s="11" t="str">
        <f t="shared" si="28"/>
        <v>Dec'20/21</v>
      </c>
      <c r="I148" s="11">
        <f t="shared" si="29"/>
        <v>26.088000000000001</v>
      </c>
    </row>
    <row r="149" spans="2:9" x14ac:dyDescent="0.55000000000000004">
      <c r="B149" s="11">
        <f t="shared" si="30"/>
        <v>7</v>
      </c>
      <c r="C149" s="11">
        <f t="shared" si="31"/>
        <v>4</v>
      </c>
      <c r="D149" s="12">
        <f t="shared" si="33"/>
        <v>2676516.666666667</v>
      </c>
      <c r="E149" s="11" t="str">
        <f t="shared" si="34"/>
        <v>20/21</v>
      </c>
      <c r="F149" s="11" t="str">
        <f t="shared" si="35"/>
        <v>Jan</v>
      </c>
      <c r="G149" s="11" t="str">
        <f t="shared" si="36"/>
        <v>Jan'20/21</v>
      </c>
      <c r="H149" s="11" t="str">
        <f t="shared" si="28"/>
        <v>Jan'20/21</v>
      </c>
      <c r="I149" s="11">
        <f t="shared" si="29"/>
        <v>26.340033333333331</v>
      </c>
    </row>
    <row r="150" spans="2:9" x14ac:dyDescent="0.55000000000000004">
      <c r="B150" s="11">
        <f t="shared" si="30"/>
        <v>7</v>
      </c>
      <c r="C150" s="11">
        <f t="shared" si="31"/>
        <v>5</v>
      </c>
      <c r="D150" s="12">
        <f t="shared" si="33"/>
        <v>2050750</v>
      </c>
      <c r="E150" s="11" t="str">
        <f t="shared" si="34"/>
        <v>20/21</v>
      </c>
      <c r="F150" s="11" t="str">
        <f t="shared" si="35"/>
        <v>Feb</v>
      </c>
      <c r="G150" s="11" t="str">
        <f t="shared" si="36"/>
        <v>Feb'20/21</v>
      </c>
      <c r="H150" s="11" t="str">
        <f t="shared" ref="H150:H213" si="37">G150</f>
        <v>Feb'20/21</v>
      </c>
      <c r="I150" s="11">
        <f t="shared" ref="I150:I213" si="38">SUM(D139:D150)/1000000</f>
        <v>25.281816666666668</v>
      </c>
    </row>
    <row r="151" spans="2:9" x14ac:dyDescent="0.55000000000000004">
      <c r="B151" s="11">
        <f t="shared" ref="B151:B214" si="39">B139+1</f>
        <v>7</v>
      </c>
      <c r="C151" s="11">
        <f t="shared" ref="C151:C214" si="40">C139</f>
        <v>6</v>
      </c>
      <c r="D151" s="12">
        <f t="shared" si="33"/>
        <v>2826833.3333333335</v>
      </c>
      <c r="E151" s="11" t="str">
        <f t="shared" si="34"/>
        <v>20/21</v>
      </c>
      <c r="F151" s="11" t="str">
        <f t="shared" si="35"/>
        <v>Mar</v>
      </c>
      <c r="G151" s="11" t="str">
        <f t="shared" si="36"/>
        <v>Mar'20/21</v>
      </c>
      <c r="H151" s="11" t="str">
        <f t="shared" si="37"/>
        <v>Mar'20/21</v>
      </c>
      <c r="I151" s="11">
        <f t="shared" si="38"/>
        <v>25.047016666666668</v>
      </c>
    </row>
    <row r="152" spans="2:9" x14ac:dyDescent="0.55000000000000004">
      <c r="B152" s="11">
        <f t="shared" si="39"/>
        <v>7</v>
      </c>
      <c r="C152" s="11">
        <f t="shared" si="40"/>
        <v>7</v>
      </c>
      <c r="D152" s="12">
        <f t="shared" si="33"/>
        <v>2200616.666666667</v>
      </c>
      <c r="E152" s="11" t="str">
        <f t="shared" si="34"/>
        <v>20/21</v>
      </c>
      <c r="F152" s="11" t="str">
        <f t="shared" si="35"/>
        <v>Apr</v>
      </c>
      <c r="G152" s="11" t="str">
        <f t="shared" si="36"/>
        <v>Apr'20/21</v>
      </c>
      <c r="H152" s="11" t="str">
        <f t="shared" si="37"/>
        <v>Apr'20/21</v>
      </c>
      <c r="I152" s="11">
        <f t="shared" si="38"/>
        <v>24.463333333333335</v>
      </c>
    </row>
    <row r="153" spans="2:9" x14ac:dyDescent="0.55000000000000004">
      <c r="B153" s="11">
        <f t="shared" si="39"/>
        <v>7</v>
      </c>
      <c r="C153" s="11">
        <f t="shared" si="40"/>
        <v>8</v>
      </c>
      <c r="D153" s="12">
        <f t="shared" si="33"/>
        <v>2170783.3333333335</v>
      </c>
      <c r="E153" s="11" t="str">
        <f t="shared" si="34"/>
        <v>20/21</v>
      </c>
      <c r="F153" s="11" t="str">
        <f t="shared" si="35"/>
        <v>May</v>
      </c>
      <c r="G153" s="11" t="str">
        <f t="shared" si="36"/>
        <v>May'20/21</v>
      </c>
      <c r="H153" s="11" t="str">
        <f t="shared" si="37"/>
        <v>May'20/21</v>
      </c>
      <c r="I153" s="11">
        <f t="shared" si="38"/>
        <v>24.465183333333336</v>
      </c>
    </row>
    <row r="154" spans="2:9" x14ac:dyDescent="0.55000000000000004">
      <c r="B154" s="11">
        <f t="shared" si="39"/>
        <v>7</v>
      </c>
      <c r="C154" s="11">
        <f t="shared" si="40"/>
        <v>9</v>
      </c>
      <c r="D154" s="12">
        <f t="shared" si="33"/>
        <v>2133316.666666667</v>
      </c>
      <c r="E154" s="11" t="str">
        <f t="shared" si="34"/>
        <v>20/21</v>
      </c>
      <c r="F154" s="11" t="str">
        <f t="shared" si="35"/>
        <v>Jun</v>
      </c>
      <c r="G154" s="11" t="str">
        <f t="shared" si="36"/>
        <v>Jun'20/21</v>
      </c>
      <c r="H154" s="11" t="str">
        <f t="shared" si="37"/>
        <v>Jun'20/21</v>
      </c>
      <c r="I154" s="11">
        <f t="shared" si="38"/>
        <v>24.470600000000001</v>
      </c>
    </row>
    <row r="155" spans="2:9" x14ac:dyDescent="0.55000000000000004">
      <c r="B155" s="11">
        <f t="shared" si="39"/>
        <v>7</v>
      </c>
      <c r="C155" s="11">
        <f t="shared" si="40"/>
        <v>10</v>
      </c>
      <c r="D155" s="12">
        <f t="shared" si="33"/>
        <v>2035450</v>
      </c>
      <c r="E155" s="11" t="str">
        <f t="shared" si="34"/>
        <v>20/21</v>
      </c>
      <c r="F155" s="11" t="str">
        <f t="shared" si="35"/>
        <v>Jul</v>
      </c>
      <c r="G155" s="11" t="str">
        <f t="shared" si="36"/>
        <v>Jul'20/21</v>
      </c>
      <c r="H155" s="11" t="str">
        <f t="shared" si="37"/>
        <v>Jul'20/21</v>
      </c>
      <c r="I155" s="11">
        <f t="shared" si="38"/>
        <v>24.6723</v>
      </c>
    </row>
    <row r="156" spans="2:9" x14ac:dyDescent="0.55000000000000004">
      <c r="B156" s="11">
        <f t="shared" si="39"/>
        <v>7</v>
      </c>
      <c r="C156" s="11">
        <f t="shared" si="40"/>
        <v>11</v>
      </c>
      <c r="D156" s="12">
        <f t="shared" si="33"/>
        <v>1861616.6666666667</v>
      </c>
      <c r="E156" s="11" t="str">
        <f t="shared" si="34"/>
        <v>20/21</v>
      </c>
      <c r="F156" s="11" t="str">
        <f t="shared" si="35"/>
        <v>Aug</v>
      </c>
      <c r="G156" s="11" t="str">
        <f t="shared" si="36"/>
        <v>Aug'20/21</v>
      </c>
      <c r="H156" s="11" t="str">
        <f t="shared" si="37"/>
        <v>Aug'20/21</v>
      </c>
      <c r="I156" s="11">
        <f t="shared" si="38"/>
        <v>24.864716666666666</v>
      </c>
    </row>
    <row r="157" spans="2:9" x14ac:dyDescent="0.55000000000000004">
      <c r="B157" s="11">
        <f t="shared" si="39"/>
        <v>7</v>
      </c>
      <c r="C157" s="11">
        <f t="shared" si="40"/>
        <v>12</v>
      </c>
      <c r="D157" s="12">
        <f t="shared" si="33"/>
        <v>1672333.3333333335</v>
      </c>
      <c r="E157" s="11" t="str">
        <f t="shared" si="34"/>
        <v>20/21</v>
      </c>
      <c r="F157" s="11" t="str">
        <f t="shared" si="35"/>
        <v>Sep</v>
      </c>
      <c r="G157" s="11" t="str">
        <f t="shared" si="36"/>
        <v>Sep'20/21</v>
      </c>
      <c r="H157" s="11" t="str">
        <f t="shared" si="37"/>
        <v>Sep'20/21</v>
      </c>
      <c r="I157" s="11">
        <f t="shared" si="38"/>
        <v>24.874883333333337</v>
      </c>
    </row>
    <row r="158" spans="2:9" x14ac:dyDescent="0.55000000000000004">
      <c r="B158" s="11">
        <f t="shared" si="39"/>
        <v>8</v>
      </c>
      <c r="C158" s="11">
        <f t="shared" si="40"/>
        <v>1</v>
      </c>
      <c r="D158" s="12">
        <f t="shared" si="33"/>
        <v>1654150</v>
      </c>
      <c r="E158" s="11" t="str">
        <f t="shared" si="34"/>
        <v>21/22</v>
      </c>
      <c r="F158" s="11" t="str">
        <f t="shared" si="35"/>
        <v>Oct</v>
      </c>
      <c r="G158" s="11" t="str">
        <f t="shared" si="36"/>
        <v>Oct'21/22</v>
      </c>
      <c r="H158" s="11" t="str">
        <f t="shared" si="37"/>
        <v>Oct'21/22</v>
      </c>
      <c r="I158" s="11">
        <f t="shared" si="38"/>
        <v>24.995433333333335</v>
      </c>
    </row>
    <row r="159" spans="2:9" x14ac:dyDescent="0.55000000000000004">
      <c r="B159" s="11">
        <f t="shared" si="39"/>
        <v>8</v>
      </c>
      <c r="C159" s="11">
        <f t="shared" si="40"/>
        <v>2</v>
      </c>
      <c r="D159" s="12">
        <f t="shared" si="33"/>
        <v>1791216.6666666667</v>
      </c>
      <c r="E159" s="11" t="str">
        <f t="shared" si="34"/>
        <v>21/22</v>
      </c>
      <c r="F159" s="11" t="str">
        <f t="shared" si="35"/>
        <v>Nov</v>
      </c>
      <c r="G159" s="11" t="str">
        <f t="shared" si="36"/>
        <v>Nov'21/22</v>
      </c>
      <c r="H159" s="11" t="str">
        <f t="shared" si="37"/>
        <v>Nov'21/22</v>
      </c>
      <c r="I159" s="11">
        <f t="shared" si="38"/>
        <v>25.391016666666669</v>
      </c>
    </row>
    <row r="160" spans="2:9" x14ac:dyDescent="0.55000000000000004">
      <c r="B160" s="11">
        <f t="shared" si="39"/>
        <v>8</v>
      </c>
      <c r="C160" s="11">
        <f t="shared" si="40"/>
        <v>3</v>
      </c>
      <c r="D160" s="12">
        <f t="shared" si="33"/>
        <v>2822483.3333333335</v>
      </c>
      <c r="E160" s="11" t="str">
        <f t="shared" si="34"/>
        <v>21/22</v>
      </c>
      <c r="F160" s="11" t="str">
        <f t="shared" si="35"/>
        <v>Dec</v>
      </c>
      <c r="G160" s="11" t="str">
        <f t="shared" si="36"/>
        <v>Dec'21/22</v>
      </c>
      <c r="H160" s="11" t="str">
        <f t="shared" si="37"/>
        <v>Dec'21/22</v>
      </c>
      <c r="I160" s="11">
        <f t="shared" si="38"/>
        <v>25.89606666666667</v>
      </c>
    </row>
    <row r="161" spans="2:9" x14ac:dyDescent="0.55000000000000004">
      <c r="B161" s="11">
        <f t="shared" si="39"/>
        <v>8</v>
      </c>
      <c r="C161" s="11">
        <f t="shared" si="40"/>
        <v>4</v>
      </c>
      <c r="D161" s="12">
        <f t="shared" si="33"/>
        <v>3857783.3333333335</v>
      </c>
      <c r="E161" s="11" t="str">
        <f t="shared" si="34"/>
        <v>21/22</v>
      </c>
      <c r="F161" s="11" t="str">
        <f t="shared" si="35"/>
        <v>Jan</v>
      </c>
      <c r="G161" s="11" t="str">
        <f t="shared" si="36"/>
        <v>Jan'21/22</v>
      </c>
      <c r="H161" s="11" t="str">
        <f t="shared" si="37"/>
        <v>Jan'21/22</v>
      </c>
      <c r="I161" s="11">
        <f t="shared" si="38"/>
        <v>27.077333333333332</v>
      </c>
    </row>
    <row r="162" spans="2:9" x14ac:dyDescent="0.55000000000000004">
      <c r="B162" s="11">
        <f t="shared" si="39"/>
        <v>8</v>
      </c>
      <c r="C162" s="11">
        <f t="shared" si="40"/>
        <v>5</v>
      </c>
      <c r="D162" s="12">
        <f t="shared" si="33"/>
        <v>2330200</v>
      </c>
      <c r="E162" s="11" t="str">
        <f t="shared" si="34"/>
        <v>21/22</v>
      </c>
      <c r="F162" s="11" t="str">
        <f t="shared" si="35"/>
        <v>Feb</v>
      </c>
      <c r="G162" s="11" t="str">
        <f t="shared" si="36"/>
        <v>Feb'21/22</v>
      </c>
      <c r="H162" s="11" t="str">
        <f t="shared" si="37"/>
        <v>Feb'21/22</v>
      </c>
      <c r="I162" s="11">
        <f t="shared" si="38"/>
        <v>27.356783333333333</v>
      </c>
    </row>
    <row r="163" spans="2:9" x14ac:dyDescent="0.55000000000000004">
      <c r="B163" s="11">
        <f t="shared" si="39"/>
        <v>8</v>
      </c>
      <c r="C163" s="11">
        <f t="shared" si="40"/>
        <v>6</v>
      </c>
      <c r="D163" s="12">
        <f t="shared" si="33"/>
        <v>3510000</v>
      </c>
      <c r="E163" s="11" t="str">
        <f t="shared" si="34"/>
        <v>21/22</v>
      </c>
      <c r="F163" s="11" t="str">
        <f t="shared" si="35"/>
        <v>Mar</v>
      </c>
      <c r="G163" s="11" t="str">
        <f t="shared" si="36"/>
        <v>Mar'21/22</v>
      </c>
      <c r="H163" s="11" t="str">
        <f t="shared" si="37"/>
        <v>Mar'21/22</v>
      </c>
      <c r="I163" s="11">
        <f t="shared" si="38"/>
        <v>28.039950000000001</v>
      </c>
    </row>
    <row r="164" spans="2:9" x14ac:dyDescent="0.55000000000000004">
      <c r="B164" s="11">
        <f t="shared" si="39"/>
        <v>8</v>
      </c>
      <c r="C164" s="11">
        <f t="shared" si="40"/>
        <v>7</v>
      </c>
      <c r="D164" s="12">
        <f t="shared" si="33"/>
        <v>2620583.3333333335</v>
      </c>
      <c r="E164" s="11" t="str">
        <f t="shared" si="34"/>
        <v>21/22</v>
      </c>
      <c r="F164" s="11" t="str">
        <f t="shared" si="35"/>
        <v>Apr</v>
      </c>
      <c r="G164" s="11" t="str">
        <f t="shared" si="36"/>
        <v>Apr'21/22</v>
      </c>
      <c r="H164" s="11" t="str">
        <f t="shared" si="37"/>
        <v>Apr'21/22</v>
      </c>
      <c r="I164" s="11">
        <f t="shared" si="38"/>
        <v>28.459916666666665</v>
      </c>
    </row>
    <row r="165" spans="2:9" x14ac:dyDescent="0.55000000000000004">
      <c r="B165" s="11">
        <f t="shared" si="39"/>
        <v>8</v>
      </c>
      <c r="C165" s="11">
        <f t="shared" si="40"/>
        <v>8</v>
      </c>
      <c r="D165" s="12">
        <f t="shared" si="33"/>
        <v>2373666.666666667</v>
      </c>
      <c r="E165" s="11" t="str">
        <f t="shared" si="34"/>
        <v>21/22</v>
      </c>
      <c r="F165" s="11" t="str">
        <f t="shared" si="35"/>
        <v>May</v>
      </c>
      <c r="G165" s="11" t="str">
        <f t="shared" si="36"/>
        <v>May'21/22</v>
      </c>
      <c r="H165" s="11" t="str">
        <f t="shared" si="37"/>
        <v>May'21/22</v>
      </c>
      <c r="I165" s="11">
        <f t="shared" si="38"/>
        <v>28.662800000000001</v>
      </c>
    </row>
    <row r="166" spans="2:9" x14ac:dyDescent="0.55000000000000004">
      <c r="B166" s="11">
        <f t="shared" si="39"/>
        <v>8</v>
      </c>
      <c r="C166" s="11">
        <f t="shared" si="40"/>
        <v>9</v>
      </c>
      <c r="D166" s="12">
        <f t="shared" si="33"/>
        <v>2289133.3333333335</v>
      </c>
      <c r="E166" s="11" t="str">
        <f t="shared" si="34"/>
        <v>21/22</v>
      </c>
      <c r="F166" s="11" t="str">
        <f t="shared" si="35"/>
        <v>Jun</v>
      </c>
      <c r="G166" s="11" t="str">
        <f t="shared" si="36"/>
        <v>Jun'21/22</v>
      </c>
      <c r="H166" s="11" t="str">
        <f t="shared" si="37"/>
        <v>Jun'21/22</v>
      </c>
      <c r="I166" s="11">
        <f t="shared" si="38"/>
        <v>28.818616666666667</v>
      </c>
    </row>
    <row r="167" spans="2:9" x14ac:dyDescent="0.55000000000000004">
      <c r="B167" s="11">
        <f t="shared" si="39"/>
        <v>8</v>
      </c>
      <c r="C167" s="11">
        <f t="shared" si="40"/>
        <v>10</v>
      </c>
      <c r="D167" s="12">
        <f t="shared" si="33"/>
        <v>1897533.3333333335</v>
      </c>
      <c r="E167" s="11" t="str">
        <f t="shared" si="34"/>
        <v>21/22</v>
      </c>
      <c r="F167" s="11" t="str">
        <f t="shared" si="35"/>
        <v>Jul</v>
      </c>
      <c r="G167" s="11" t="str">
        <f t="shared" si="36"/>
        <v>Jul'21/22</v>
      </c>
      <c r="H167" s="11" t="str">
        <f t="shared" si="37"/>
        <v>Jul'21/22</v>
      </c>
      <c r="I167" s="11">
        <f t="shared" si="38"/>
        <v>28.680700000000002</v>
      </c>
    </row>
    <row r="168" spans="2:9" x14ac:dyDescent="0.55000000000000004">
      <c r="B168" s="11">
        <f t="shared" si="39"/>
        <v>8</v>
      </c>
      <c r="C168" s="11">
        <f t="shared" si="40"/>
        <v>11</v>
      </c>
      <c r="D168" s="12">
        <f t="shared" si="33"/>
        <v>1875516.6666666667</v>
      </c>
      <c r="E168" s="11" t="str">
        <f t="shared" si="34"/>
        <v>21/22</v>
      </c>
      <c r="F168" s="11" t="str">
        <f t="shared" si="35"/>
        <v>Aug</v>
      </c>
      <c r="G168" s="11" t="str">
        <f t="shared" si="36"/>
        <v>Aug'21/22</v>
      </c>
      <c r="H168" s="11" t="str">
        <f t="shared" si="37"/>
        <v>Aug'21/22</v>
      </c>
      <c r="I168" s="11">
        <f t="shared" si="38"/>
        <v>28.694600000000001</v>
      </c>
    </row>
    <row r="169" spans="2:9" x14ac:dyDescent="0.55000000000000004">
      <c r="B169" s="11">
        <f t="shared" si="39"/>
        <v>8</v>
      </c>
      <c r="C169" s="11">
        <f t="shared" si="40"/>
        <v>12</v>
      </c>
      <c r="D169" s="12">
        <f t="shared" si="33"/>
        <v>1542500</v>
      </c>
      <c r="E169" s="11" t="str">
        <f t="shared" si="34"/>
        <v>21/22</v>
      </c>
      <c r="F169" s="11" t="str">
        <f t="shared" si="35"/>
        <v>Sep</v>
      </c>
      <c r="G169" s="11" t="str">
        <f t="shared" si="36"/>
        <v>Sep'21/22</v>
      </c>
      <c r="H169" s="11" t="str">
        <f t="shared" si="37"/>
        <v>Sep'21/22</v>
      </c>
      <c r="I169" s="11">
        <f t="shared" si="38"/>
        <v>28.564766666666667</v>
      </c>
    </row>
    <row r="170" spans="2:9" x14ac:dyDescent="0.55000000000000004">
      <c r="B170" s="11">
        <f t="shared" si="39"/>
        <v>9</v>
      </c>
      <c r="C170" s="11">
        <f t="shared" si="40"/>
        <v>1</v>
      </c>
      <c r="D170" s="12">
        <f t="shared" si="33"/>
        <v>1330550</v>
      </c>
      <c r="E170" s="11" t="str">
        <f t="shared" si="34"/>
        <v>22/23</v>
      </c>
      <c r="F170" s="11" t="str">
        <f t="shared" si="35"/>
        <v>Oct</v>
      </c>
      <c r="G170" s="11" t="str">
        <f t="shared" si="36"/>
        <v>Oct'22/23</v>
      </c>
      <c r="H170" s="11" t="str">
        <f t="shared" si="37"/>
        <v>Oct'22/23</v>
      </c>
      <c r="I170" s="11">
        <f t="shared" si="38"/>
        <v>28.241166666666668</v>
      </c>
    </row>
    <row r="171" spans="2:9" x14ac:dyDescent="0.55000000000000004">
      <c r="B171" s="11">
        <f t="shared" si="39"/>
        <v>9</v>
      </c>
      <c r="C171" s="11">
        <f t="shared" si="40"/>
        <v>2</v>
      </c>
      <c r="D171" s="12">
        <f t="shared" si="33"/>
        <v>2140050</v>
      </c>
      <c r="E171" s="11" t="str">
        <f t="shared" si="34"/>
        <v>22/23</v>
      </c>
      <c r="F171" s="11" t="str">
        <f t="shared" si="35"/>
        <v>Nov</v>
      </c>
      <c r="G171" s="11" t="str">
        <f t="shared" si="36"/>
        <v>Nov'22/23</v>
      </c>
      <c r="H171" s="11" t="str">
        <f t="shared" si="37"/>
        <v>Nov'22/23</v>
      </c>
      <c r="I171" s="11">
        <f t="shared" si="38"/>
        <v>28.59</v>
      </c>
    </row>
    <row r="172" spans="2:9" x14ac:dyDescent="0.55000000000000004">
      <c r="B172" s="11">
        <f t="shared" si="39"/>
        <v>9</v>
      </c>
      <c r="C172" s="11">
        <f t="shared" si="40"/>
        <v>3</v>
      </c>
      <c r="D172" s="12">
        <f t="shared" si="33"/>
        <v>3284616.7</v>
      </c>
      <c r="E172" s="11" t="str">
        <f t="shared" si="34"/>
        <v>22/23</v>
      </c>
      <c r="F172" s="11" t="str">
        <f t="shared" si="35"/>
        <v>Dec</v>
      </c>
      <c r="G172" s="11" t="str">
        <f t="shared" si="36"/>
        <v>Dec'22/23</v>
      </c>
      <c r="H172" s="11" t="str">
        <f t="shared" si="37"/>
        <v>Dec'22/23</v>
      </c>
      <c r="I172" s="11">
        <f t="shared" si="38"/>
        <v>29.052133366666666</v>
      </c>
    </row>
    <row r="173" spans="2:9" x14ac:dyDescent="0.55000000000000004">
      <c r="B173" s="11">
        <f t="shared" si="39"/>
        <v>9</v>
      </c>
      <c r="C173" s="11">
        <f t="shared" si="40"/>
        <v>4</v>
      </c>
      <c r="D173" s="12">
        <f t="shared" si="33"/>
        <v>2798175.3341989308</v>
      </c>
      <c r="E173" s="11" t="str">
        <f t="shared" si="34"/>
        <v>22/23</v>
      </c>
      <c r="F173" s="11" t="str">
        <f t="shared" si="35"/>
        <v>Jan</v>
      </c>
      <c r="G173" s="11" t="str">
        <f t="shared" si="36"/>
        <v>Jan'22/23</v>
      </c>
      <c r="H173" s="11" t="str">
        <f t="shared" si="37"/>
        <v>Jan'22/23</v>
      </c>
      <c r="I173" s="11">
        <f t="shared" si="38"/>
        <v>27.992525367532263</v>
      </c>
    </row>
    <row r="174" spans="2:9" x14ac:dyDescent="0.55000000000000004">
      <c r="B174" s="11">
        <f t="shared" si="39"/>
        <v>9</v>
      </c>
      <c r="C174" s="11">
        <f t="shared" si="40"/>
        <v>5</v>
      </c>
      <c r="D174" s="12">
        <f t="shared" si="33"/>
        <v>2889494.8064211528</v>
      </c>
      <c r="E174" s="11" t="str">
        <f t="shared" si="34"/>
        <v>22/23</v>
      </c>
      <c r="F174" s="11" t="str">
        <f t="shared" si="35"/>
        <v>Feb</v>
      </c>
      <c r="G174" s="11" t="str">
        <f t="shared" si="36"/>
        <v>Feb'22/23</v>
      </c>
      <c r="H174" s="11" t="str">
        <f t="shared" si="37"/>
        <v>Feb'22/23</v>
      </c>
      <c r="I174" s="11">
        <f t="shared" si="38"/>
        <v>28.551820173953416</v>
      </c>
    </row>
    <row r="175" spans="2:9" x14ac:dyDescent="0.55000000000000004">
      <c r="B175" s="11">
        <f t="shared" si="39"/>
        <v>9</v>
      </c>
      <c r="C175" s="11">
        <f t="shared" si="40"/>
        <v>6</v>
      </c>
      <c r="D175" s="12">
        <f t="shared" si="33"/>
        <v>3563541.6944444445</v>
      </c>
      <c r="E175" s="11" t="str">
        <f t="shared" si="34"/>
        <v>22/23</v>
      </c>
      <c r="F175" s="11" t="str">
        <f t="shared" si="35"/>
        <v>Mar</v>
      </c>
      <c r="G175" s="11" t="str">
        <f t="shared" si="36"/>
        <v>Mar'22/23</v>
      </c>
      <c r="H175" s="11" t="str">
        <f t="shared" si="37"/>
        <v>Mar'22/23</v>
      </c>
      <c r="I175" s="11">
        <f t="shared" si="38"/>
        <v>28.605361868397861</v>
      </c>
    </row>
    <row r="176" spans="2:9" x14ac:dyDescent="0.55000000000000004">
      <c r="B176" s="11">
        <f t="shared" si="39"/>
        <v>9</v>
      </c>
      <c r="C176" s="11">
        <f t="shared" si="40"/>
        <v>7</v>
      </c>
      <c r="D176" s="12">
        <f t="shared" si="33"/>
        <v>2790325.027777778</v>
      </c>
      <c r="E176" s="11" t="str">
        <f t="shared" si="34"/>
        <v>22/23</v>
      </c>
      <c r="F176" s="11" t="str">
        <f t="shared" si="35"/>
        <v>Apr</v>
      </c>
      <c r="G176" s="11" t="str">
        <f t="shared" si="36"/>
        <v>Apr'22/23</v>
      </c>
      <c r="H176" s="11" t="str">
        <f t="shared" si="37"/>
        <v>Apr'22/23</v>
      </c>
      <c r="I176" s="11">
        <f t="shared" si="38"/>
        <v>28.7751035628423</v>
      </c>
    </row>
    <row r="177" spans="2:9" x14ac:dyDescent="0.55000000000000004">
      <c r="B177" s="11">
        <f t="shared" si="39"/>
        <v>9</v>
      </c>
      <c r="C177" s="11">
        <f t="shared" si="40"/>
        <v>8</v>
      </c>
      <c r="D177" s="12">
        <f t="shared" si="33"/>
        <v>2533780.3320561945</v>
      </c>
      <c r="E177" s="11" t="str">
        <f t="shared" si="34"/>
        <v>22/23</v>
      </c>
      <c r="F177" s="11" t="str">
        <f t="shared" si="35"/>
        <v>May</v>
      </c>
      <c r="G177" s="11" t="str">
        <f t="shared" si="36"/>
        <v>May'22/23</v>
      </c>
      <c r="H177" s="11" t="str">
        <f t="shared" si="37"/>
        <v>May'22/23</v>
      </c>
      <c r="I177" s="11">
        <f t="shared" si="38"/>
        <v>28.935217228231831</v>
      </c>
    </row>
    <row r="178" spans="2:9" x14ac:dyDescent="0.55000000000000004">
      <c r="B178" s="11">
        <f t="shared" si="39"/>
        <v>9</v>
      </c>
      <c r="C178" s="11">
        <f t="shared" si="40"/>
        <v>9</v>
      </c>
      <c r="D178" s="12">
        <f t="shared" si="33"/>
        <v>2406991.6944444445</v>
      </c>
      <c r="E178" s="11" t="str">
        <f t="shared" si="34"/>
        <v>22/23</v>
      </c>
      <c r="F178" s="11" t="str">
        <f t="shared" si="35"/>
        <v>Jun</v>
      </c>
      <c r="G178" s="11" t="str">
        <f t="shared" si="36"/>
        <v>Jun'22/23</v>
      </c>
      <c r="H178" s="11" t="str">
        <f t="shared" si="37"/>
        <v>Jun'22/23</v>
      </c>
      <c r="I178" s="11">
        <f t="shared" si="38"/>
        <v>29.053075589342942</v>
      </c>
    </row>
    <row r="179" spans="2:9" x14ac:dyDescent="0.55000000000000004">
      <c r="B179" s="11">
        <f t="shared" si="39"/>
        <v>9</v>
      </c>
      <c r="C179" s="11">
        <f t="shared" si="40"/>
        <v>10</v>
      </c>
      <c r="D179" s="12">
        <f t="shared" si="33"/>
        <v>1995386.2104717472</v>
      </c>
      <c r="E179" s="11" t="str">
        <f t="shared" si="34"/>
        <v>22/23</v>
      </c>
      <c r="F179" s="11" t="str">
        <f t="shared" si="35"/>
        <v>Jul</v>
      </c>
      <c r="G179" s="11" t="str">
        <f t="shared" si="36"/>
        <v>Jul'22/23</v>
      </c>
      <c r="H179" s="11" t="str">
        <f t="shared" si="37"/>
        <v>Jul'22/23</v>
      </c>
      <c r="I179" s="11">
        <f t="shared" si="38"/>
        <v>29.150928466481357</v>
      </c>
    </row>
    <row r="180" spans="2:9" x14ac:dyDescent="0.55000000000000004">
      <c r="B180" s="11">
        <f t="shared" si="39"/>
        <v>9</v>
      </c>
      <c r="C180" s="11">
        <f t="shared" si="40"/>
        <v>11</v>
      </c>
      <c r="D180" s="12">
        <f t="shared" si="33"/>
        <v>1563541.6944444445</v>
      </c>
      <c r="E180" s="11" t="str">
        <f t="shared" si="34"/>
        <v>22/23</v>
      </c>
      <c r="F180" s="11" t="str">
        <f t="shared" si="35"/>
        <v>Aug</v>
      </c>
      <c r="G180" s="11" t="str">
        <f t="shared" si="36"/>
        <v>Aug'22/23</v>
      </c>
      <c r="H180" s="11" t="str">
        <f t="shared" si="37"/>
        <v>Aug'22/23</v>
      </c>
      <c r="I180" s="11">
        <f t="shared" si="38"/>
        <v>28.838953494259137</v>
      </c>
    </row>
    <row r="181" spans="2:9" x14ac:dyDescent="0.55000000000000004">
      <c r="B181" s="11">
        <f t="shared" si="39"/>
        <v>9</v>
      </c>
      <c r="C181" s="11">
        <f t="shared" si="40"/>
        <v>12</v>
      </c>
      <c r="D181" s="12">
        <f t="shared" si="33"/>
        <v>912991.6944444445</v>
      </c>
      <c r="E181" s="11" t="str">
        <f t="shared" si="34"/>
        <v>22/23</v>
      </c>
      <c r="F181" s="11" t="str">
        <f t="shared" si="35"/>
        <v>Sep</v>
      </c>
      <c r="G181" s="11" t="str">
        <f t="shared" si="36"/>
        <v>Sep'22/23</v>
      </c>
      <c r="H181" s="11" t="str">
        <f t="shared" si="37"/>
        <v>Sep'22/23</v>
      </c>
      <c r="I181" s="11">
        <f t="shared" si="38"/>
        <v>28.20944518870358</v>
      </c>
    </row>
    <row r="182" spans="2:9" x14ac:dyDescent="0.55000000000000004">
      <c r="B182" s="11">
        <f t="shared" si="39"/>
        <v>10</v>
      </c>
      <c r="C182" s="11">
        <f t="shared" si="40"/>
        <v>1</v>
      </c>
      <c r="D182" s="12">
        <f t="shared" si="33"/>
        <v>728750</v>
      </c>
      <c r="E182" s="11" t="str">
        <f t="shared" si="34"/>
        <v>23/24</v>
      </c>
      <c r="F182" s="11" t="str">
        <f t="shared" si="35"/>
        <v>Oct</v>
      </c>
      <c r="G182" s="11" t="str">
        <f t="shared" si="36"/>
        <v>Oct'23/24</v>
      </c>
      <c r="H182" s="11" t="str">
        <f t="shared" si="37"/>
        <v>Oct'23/24</v>
      </c>
      <c r="I182" s="11">
        <f t="shared" si="38"/>
        <v>27.607645188703579</v>
      </c>
    </row>
    <row r="183" spans="2:9" x14ac:dyDescent="0.55000000000000004">
      <c r="B183" s="11">
        <f t="shared" si="39"/>
        <v>10</v>
      </c>
      <c r="C183" s="11">
        <f t="shared" si="40"/>
        <v>2</v>
      </c>
      <c r="D183" s="12">
        <f t="shared" si="33"/>
        <v>1988283.3333333335</v>
      </c>
      <c r="E183" s="11" t="str">
        <f t="shared" si="34"/>
        <v>23/24</v>
      </c>
      <c r="F183" s="11" t="str">
        <f t="shared" si="35"/>
        <v>Nov</v>
      </c>
      <c r="G183" s="11" t="str">
        <f t="shared" si="36"/>
        <v>Nov'23/24</v>
      </c>
      <c r="H183" s="11" t="str">
        <f t="shared" si="37"/>
        <v>Nov'23/24</v>
      </c>
      <c r="I183" s="11">
        <f t="shared" si="38"/>
        <v>27.455878522036912</v>
      </c>
    </row>
    <row r="184" spans="2:9" x14ac:dyDescent="0.55000000000000004">
      <c r="B184" s="11">
        <f t="shared" si="39"/>
        <v>10</v>
      </c>
      <c r="C184" s="11">
        <f t="shared" si="40"/>
        <v>3</v>
      </c>
      <c r="D184" s="12">
        <f t="shared" si="33"/>
        <v>3460216.666666667</v>
      </c>
      <c r="E184" s="11" t="str">
        <f t="shared" si="34"/>
        <v>23/24</v>
      </c>
      <c r="F184" s="11" t="str">
        <f t="shared" si="35"/>
        <v>Dec</v>
      </c>
      <c r="G184" s="11" t="str">
        <f t="shared" si="36"/>
        <v>Dec'23/24</v>
      </c>
      <c r="H184" s="11" t="str">
        <f t="shared" si="37"/>
        <v>Dec'23/24</v>
      </c>
      <c r="I184" s="11">
        <f t="shared" si="38"/>
        <v>27.631478488703578</v>
      </c>
    </row>
    <row r="185" spans="2:9" x14ac:dyDescent="0.55000000000000004">
      <c r="B185" s="11">
        <f t="shared" si="39"/>
        <v>10</v>
      </c>
      <c r="C185" s="11">
        <f t="shared" si="40"/>
        <v>4</v>
      </c>
      <c r="D185" s="12">
        <f t="shared" si="33"/>
        <v>3971100</v>
      </c>
      <c r="E185" s="11" t="str">
        <f t="shared" si="34"/>
        <v>23/24</v>
      </c>
      <c r="F185" s="11" t="str">
        <f t="shared" si="35"/>
        <v>Jan</v>
      </c>
      <c r="G185" s="11" t="str">
        <f t="shared" si="36"/>
        <v>Jan'23/24</v>
      </c>
      <c r="H185" s="11" t="str">
        <f t="shared" si="37"/>
        <v>Jan'23/24</v>
      </c>
      <c r="I185" s="11">
        <f t="shared" si="38"/>
        <v>28.804403154504648</v>
      </c>
    </row>
    <row r="186" spans="2:9" x14ac:dyDescent="0.55000000000000004">
      <c r="B186" s="11">
        <f t="shared" si="39"/>
        <v>10</v>
      </c>
      <c r="C186" s="11">
        <f t="shared" si="40"/>
        <v>5</v>
      </c>
      <c r="D186" s="12">
        <f t="shared" si="33"/>
        <v>2676400</v>
      </c>
      <c r="E186" s="11" t="str">
        <f t="shared" si="34"/>
        <v>23/24</v>
      </c>
      <c r="F186" s="11" t="str">
        <f t="shared" si="35"/>
        <v>Feb</v>
      </c>
      <c r="G186" s="11" t="str">
        <f t="shared" si="36"/>
        <v>Feb'23/24</v>
      </c>
      <c r="H186" s="11" t="str">
        <f t="shared" si="37"/>
        <v>Feb'23/24</v>
      </c>
      <c r="I186" s="11">
        <f t="shared" si="38"/>
        <v>28.591308348083498</v>
      </c>
    </row>
    <row r="187" spans="2:9" x14ac:dyDescent="0.55000000000000004">
      <c r="B187" s="11">
        <f t="shared" si="39"/>
        <v>10</v>
      </c>
      <c r="C187" s="11">
        <f t="shared" si="40"/>
        <v>6</v>
      </c>
      <c r="D187" s="12">
        <f t="shared" si="33"/>
        <v>3149533.3333333335</v>
      </c>
      <c r="E187" s="11" t="str">
        <f t="shared" si="34"/>
        <v>23/24</v>
      </c>
      <c r="F187" s="11" t="str">
        <f t="shared" si="35"/>
        <v>Mar</v>
      </c>
      <c r="G187" s="11" t="str">
        <f t="shared" si="36"/>
        <v>Mar'23/24</v>
      </c>
      <c r="H187" s="11" t="str">
        <f t="shared" si="37"/>
        <v>Mar'23/24</v>
      </c>
      <c r="I187" s="11">
        <f t="shared" si="38"/>
        <v>28.177299986972383</v>
      </c>
    </row>
    <row r="188" spans="2:9" x14ac:dyDescent="0.55000000000000004">
      <c r="B188" s="11">
        <f t="shared" si="39"/>
        <v>10</v>
      </c>
      <c r="C188" s="11">
        <f t="shared" si="40"/>
        <v>7</v>
      </c>
      <c r="D188" s="12">
        <f t="shared" si="33"/>
        <v>2534550</v>
      </c>
      <c r="E188" s="11" t="str">
        <f t="shared" si="34"/>
        <v>23/24</v>
      </c>
      <c r="F188" s="11" t="str">
        <f t="shared" si="35"/>
        <v>Apr</v>
      </c>
      <c r="G188" s="11" t="str">
        <f t="shared" si="36"/>
        <v>Apr'23/24</v>
      </c>
      <c r="H188" s="11" t="str">
        <f t="shared" si="37"/>
        <v>Apr'23/24</v>
      </c>
      <c r="I188" s="11">
        <f t="shared" si="38"/>
        <v>27.92152495919461</v>
      </c>
    </row>
    <row r="189" spans="2:9" x14ac:dyDescent="0.55000000000000004">
      <c r="B189" s="11">
        <f t="shared" si="39"/>
        <v>10</v>
      </c>
      <c r="C189" s="11">
        <f t="shared" si="40"/>
        <v>8</v>
      </c>
      <c r="D189" s="12">
        <f t="shared" si="33"/>
        <v>1322633.3333333335</v>
      </c>
      <c r="E189" s="11" t="str">
        <f t="shared" si="34"/>
        <v>23/24</v>
      </c>
      <c r="F189" s="11" t="str">
        <f t="shared" si="35"/>
        <v>May</v>
      </c>
      <c r="G189" s="11" t="str">
        <f t="shared" si="36"/>
        <v>May'23/24</v>
      </c>
      <c r="H189" s="11" t="str">
        <f t="shared" si="37"/>
        <v>May'23/24</v>
      </c>
      <c r="I189" s="11">
        <f t="shared" si="38"/>
        <v>26.710377960471746</v>
      </c>
    </row>
    <row r="190" spans="2:9" x14ac:dyDescent="0.55000000000000004">
      <c r="B190" s="11">
        <f t="shared" si="39"/>
        <v>10</v>
      </c>
      <c r="C190" s="11">
        <f t="shared" si="40"/>
        <v>9</v>
      </c>
      <c r="D190" s="12">
        <f t="shared" si="33"/>
        <v>1170033.3333333335</v>
      </c>
      <c r="E190" s="11" t="str">
        <f t="shared" si="34"/>
        <v>23/24</v>
      </c>
      <c r="F190" s="11" t="str">
        <f t="shared" si="35"/>
        <v>Jun</v>
      </c>
      <c r="G190" s="11" t="str">
        <f t="shared" si="36"/>
        <v>Jun'23/24</v>
      </c>
      <c r="H190" s="11" t="str">
        <f t="shared" si="37"/>
        <v>Jun'23/24</v>
      </c>
      <c r="I190" s="11">
        <f t="shared" si="38"/>
        <v>25.473419599360632</v>
      </c>
    </row>
    <row r="191" spans="2:9" x14ac:dyDescent="0.55000000000000004">
      <c r="B191" s="11">
        <f t="shared" si="39"/>
        <v>10</v>
      </c>
      <c r="C191" s="11">
        <f t="shared" si="40"/>
        <v>10</v>
      </c>
      <c r="D191" s="12">
        <f t="shared" si="33"/>
        <v>1283033.3333333335</v>
      </c>
      <c r="E191" s="11" t="str">
        <f t="shared" si="34"/>
        <v>23/24</v>
      </c>
      <c r="F191" s="11" t="str">
        <f t="shared" si="35"/>
        <v>Jul</v>
      </c>
      <c r="G191" s="11" t="str">
        <f t="shared" si="36"/>
        <v>Jul'23/24</v>
      </c>
      <c r="H191" s="11" t="str">
        <f t="shared" si="37"/>
        <v>Jul'23/24</v>
      </c>
      <c r="I191" s="11">
        <f t="shared" si="38"/>
        <v>24.761066722222218</v>
      </c>
    </row>
    <row r="192" spans="2:9" x14ac:dyDescent="0.55000000000000004">
      <c r="B192" s="11">
        <f t="shared" si="39"/>
        <v>10</v>
      </c>
      <c r="C192" s="11">
        <f t="shared" si="40"/>
        <v>11</v>
      </c>
      <c r="D192" s="12">
        <f t="shared" si="33"/>
        <v>1270233.3333333335</v>
      </c>
      <c r="E192" s="11" t="str">
        <f t="shared" si="34"/>
        <v>23/24</v>
      </c>
      <c r="F192" s="11" t="str">
        <f t="shared" si="35"/>
        <v>Aug</v>
      </c>
      <c r="G192" s="11" t="str">
        <f t="shared" si="36"/>
        <v>Aug'23/24</v>
      </c>
      <c r="H192" s="11" t="str">
        <f t="shared" si="37"/>
        <v>Aug'23/24</v>
      </c>
      <c r="I192" s="11">
        <f t="shared" si="38"/>
        <v>24.467758361111105</v>
      </c>
    </row>
    <row r="193" spans="2:9" x14ac:dyDescent="0.55000000000000004">
      <c r="B193" s="11">
        <f t="shared" si="39"/>
        <v>10</v>
      </c>
      <c r="C193" s="11">
        <f t="shared" si="40"/>
        <v>12</v>
      </c>
      <c r="D193" s="12">
        <f t="shared" si="33"/>
        <v>789966.66666666674</v>
      </c>
      <c r="E193" s="11" t="str">
        <f t="shared" si="34"/>
        <v>23/24</v>
      </c>
      <c r="F193" s="11" t="str">
        <f t="shared" si="35"/>
        <v>Sep</v>
      </c>
      <c r="G193" s="11" t="str">
        <f t="shared" si="36"/>
        <v>Sep'23/24</v>
      </c>
      <c r="H193" s="11" t="str">
        <f t="shared" si="37"/>
        <v>Sep'23/24</v>
      </c>
      <c r="I193" s="11">
        <f t="shared" si="38"/>
        <v>24.34473333333333</v>
      </c>
    </row>
    <row r="194" spans="2:9" x14ac:dyDescent="0.55000000000000004">
      <c r="B194" s="11">
        <f t="shared" si="39"/>
        <v>11</v>
      </c>
      <c r="C194" s="11">
        <f t="shared" si="40"/>
        <v>1</v>
      </c>
      <c r="D194" s="12">
        <f t="shared" si="33"/>
        <v>733333</v>
      </c>
      <c r="E194" s="11" t="str">
        <f t="shared" si="34"/>
        <v>24/25</v>
      </c>
      <c r="F194" s="11" t="str">
        <f t="shared" si="35"/>
        <v>Oct</v>
      </c>
      <c r="G194" s="11" t="str">
        <f t="shared" si="36"/>
        <v>Oct'24/25</v>
      </c>
      <c r="H194" s="11" t="str">
        <f t="shared" si="37"/>
        <v>Oct'24/25</v>
      </c>
      <c r="I194" s="11">
        <f t="shared" si="38"/>
        <v>24.349316333333331</v>
      </c>
    </row>
    <row r="195" spans="2:9" x14ac:dyDescent="0.55000000000000004">
      <c r="B195" s="11">
        <f t="shared" si="39"/>
        <v>11</v>
      </c>
      <c r="C195" s="11">
        <f t="shared" si="40"/>
        <v>2</v>
      </c>
      <c r="D195" s="12">
        <f t="shared" si="33"/>
        <v>1050316.6666666667</v>
      </c>
      <c r="E195" s="11" t="str">
        <f t="shared" si="34"/>
        <v>24/25</v>
      </c>
      <c r="F195" s="11" t="str">
        <f t="shared" si="35"/>
        <v>Nov</v>
      </c>
      <c r="G195" s="11" t="str">
        <f t="shared" si="36"/>
        <v>Nov'24/25</v>
      </c>
      <c r="H195" s="11" t="str">
        <f t="shared" si="37"/>
        <v>Nov'24/25</v>
      </c>
      <c r="I195" s="11">
        <f t="shared" si="38"/>
        <v>23.411349666666666</v>
      </c>
    </row>
    <row r="196" spans="2:9" x14ac:dyDescent="0.55000000000000004">
      <c r="B196" s="11">
        <f t="shared" si="39"/>
        <v>11</v>
      </c>
      <c r="C196" s="11">
        <f t="shared" si="40"/>
        <v>3</v>
      </c>
      <c r="D196" s="12">
        <f t="shared" si="33"/>
        <v>2100000</v>
      </c>
      <c r="E196" s="11" t="str">
        <f t="shared" si="34"/>
        <v>24/25</v>
      </c>
      <c r="F196" s="11" t="str">
        <f t="shared" si="35"/>
        <v>Dec</v>
      </c>
      <c r="G196" s="11" t="str">
        <f t="shared" si="36"/>
        <v>Dec'24/25</v>
      </c>
      <c r="H196" s="11" t="str">
        <f t="shared" si="37"/>
        <v>Dec'24/25</v>
      </c>
      <c r="I196" s="11">
        <f t="shared" si="38"/>
        <v>22.051133000000004</v>
      </c>
    </row>
    <row r="197" spans="2:9" x14ac:dyDescent="0.55000000000000004">
      <c r="B197" s="11">
        <f t="shared" si="39"/>
        <v>11</v>
      </c>
      <c r="C197" s="11">
        <f t="shared" si="40"/>
        <v>4</v>
      </c>
      <c r="D197" s="12">
        <f t="shared" si="33"/>
        <v>2233416.666666667</v>
      </c>
      <c r="E197" s="11" t="str">
        <f t="shared" si="34"/>
        <v>24/25</v>
      </c>
      <c r="F197" s="11" t="str">
        <f t="shared" si="35"/>
        <v>Jan</v>
      </c>
      <c r="G197" s="11" t="str">
        <f t="shared" si="36"/>
        <v>Jan'24/25</v>
      </c>
      <c r="H197" s="11" t="str">
        <f t="shared" si="37"/>
        <v>Jan'24/25</v>
      </c>
      <c r="I197" s="11">
        <f t="shared" si="38"/>
        <v>20.313449666666667</v>
      </c>
    </row>
    <row r="198" spans="2:9" x14ac:dyDescent="0.55000000000000004">
      <c r="B198" s="11">
        <f t="shared" si="39"/>
        <v>11</v>
      </c>
      <c r="C198" s="11">
        <f t="shared" si="40"/>
        <v>5</v>
      </c>
      <c r="D198" s="12">
        <f t="shared" si="33"/>
        <v>2830533.3333333335</v>
      </c>
      <c r="E198" s="11" t="str">
        <f t="shared" si="34"/>
        <v>24/25</v>
      </c>
      <c r="F198" s="11" t="str">
        <f t="shared" si="35"/>
        <v>Feb</v>
      </c>
      <c r="G198" s="11" t="str">
        <f t="shared" si="36"/>
        <v>Feb'24/25</v>
      </c>
      <c r="H198" s="11" t="str">
        <f t="shared" si="37"/>
        <v>Feb'24/25</v>
      </c>
      <c r="I198" s="11">
        <f t="shared" si="38"/>
        <v>20.467583000000001</v>
      </c>
    </row>
    <row r="199" spans="2:9" x14ac:dyDescent="0.55000000000000004">
      <c r="B199" s="11">
        <f t="shared" si="39"/>
        <v>11</v>
      </c>
      <c r="C199" s="11">
        <f t="shared" si="40"/>
        <v>6</v>
      </c>
      <c r="D199" s="12">
        <f t="shared" si="33"/>
        <v>3018583.3333333335</v>
      </c>
      <c r="E199" s="11" t="str">
        <f t="shared" si="34"/>
        <v>24/25</v>
      </c>
      <c r="F199" s="11" t="str">
        <f t="shared" si="35"/>
        <v>Mar</v>
      </c>
      <c r="G199" s="11" t="str">
        <f t="shared" si="36"/>
        <v>Mar'24/25</v>
      </c>
      <c r="H199" s="11" t="str">
        <f t="shared" si="37"/>
        <v>Mar'24/25</v>
      </c>
      <c r="I199" s="11">
        <f t="shared" si="38"/>
        <v>20.336632999999996</v>
      </c>
    </row>
    <row r="200" spans="2:9" x14ac:dyDescent="0.55000000000000004">
      <c r="B200" s="11">
        <f t="shared" si="39"/>
        <v>11</v>
      </c>
      <c r="C200" s="11">
        <f t="shared" si="40"/>
        <v>7</v>
      </c>
      <c r="D200" s="12">
        <f t="shared" si="33"/>
        <v>2776766.666666667</v>
      </c>
      <c r="E200" s="11" t="str">
        <f t="shared" si="34"/>
        <v>24/25</v>
      </c>
      <c r="F200" s="11" t="str">
        <f t="shared" si="35"/>
        <v>Apr</v>
      </c>
      <c r="G200" s="11" t="str">
        <f t="shared" si="36"/>
        <v>Apr'24/25</v>
      </c>
      <c r="H200" s="11" t="str">
        <f t="shared" si="37"/>
        <v>Apr'24/25</v>
      </c>
      <c r="I200" s="11">
        <f t="shared" si="38"/>
        <v>20.57884966666667</v>
      </c>
    </row>
    <row r="201" spans="2:9" x14ac:dyDescent="0.55000000000000004">
      <c r="B201" s="11">
        <f t="shared" si="39"/>
        <v>11</v>
      </c>
      <c r="C201" s="11">
        <f t="shared" si="40"/>
        <v>8</v>
      </c>
      <c r="D201" s="12">
        <f t="shared" si="33"/>
        <v>2479366.666666667</v>
      </c>
      <c r="E201" s="11" t="str">
        <f t="shared" si="34"/>
        <v>24/25</v>
      </c>
      <c r="F201" s="11" t="str">
        <f t="shared" si="35"/>
        <v>May</v>
      </c>
      <c r="G201" s="11" t="str">
        <f t="shared" si="36"/>
        <v>May'24/25</v>
      </c>
      <c r="H201" s="11" t="str">
        <f t="shared" si="37"/>
        <v>May'24/25</v>
      </c>
      <c r="I201" s="11">
        <f t="shared" si="38"/>
        <v>21.735583000000005</v>
      </c>
    </row>
    <row r="202" spans="2:9" x14ac:dyDescent="0.55000000000000004">
      <c r="B202" s="11">
        <f t="shared" si="39"/>
        <v>11</v>
      </c>
      <c r="C202" s="11">
        <f t="shared" si="40"/>
        <v>9</v>
      </c>
      <c r="D202" s="12">
        <f t="shared" si="33"/>
        <v>1966383.3333333335</v>
      </c>
      <c r="E202" s="11" t="str">
        <f t="shared" si="34"/>
        <v>24/25</v>
      </c>
      <c r="F202" s="11" t="str">
        <f t="shared" si="35"/>
        <v>Jun</v>
      </c>
      <c r="G202" s="11" t="str">
        <f t="shared" si="36"/>
        <v>Jun'24/25</v>
      </c>
      <c r="H202" s="11" t="str">
        <f t="shared" si="37"/>
        <v>Jun'24/25</v>
      </c>
      <c r="I202" s="11">
        <f t="shared" si="38"/>
        <v>22.531933000000002</v>
      </c>
    </row>
    <row r="203" spans="2:9" x14ac:dyDescent="0.55000000000000004">
      <c r="B203" s="11">
        <f t="shared" si="39"/>
        <v>11</v>
      </c>
      <c r="C203" s="11">
        <f t="shared" si="40"/>
        <v>10</v>
      </c>
      <c r="D203" s="12">
        <f t="shared" ref="D203:D229" si="41">INDEX($C$7:$N$19,MATCH(B203,$A$7:$A$19),MATCH(C203,$C$4:$N$4))</f>
        <v>1699650</v>
      </c>
      <c r="E203" s="11" t="str">
        <f t="shared" ref="E203:E229" si="42">_xlfn.XLOOKUP(B203,$A$7:$A$19,$B$7:$B$19)</f>
        <v>24/25</v>
      </c>
      <c r="F203" s="11" t="str">
        <f t="shared" ref="F203:F229" si="43">_xlfn.XLOOKUP(C203,$C$4:$N$4,$C$6:$N$6)</f>
        <v>Jul</v>
      </c>
      <c r="G203" s="11" t="str">
        <f t="shared" ref="G203:G229" si="44">_xlfn.CONCAT(F203,"'",E203)</f>
        <v>Jul'24/25</v>
      </c>
      <c r="H203" s="11" t="str">
        <f t="shared" si="37"/>
        <v>Jul'24/25</v>
      </c>
      <c r="I203" s="11">
        <f t="shared" si="38"/>
        <v>22.948549666666668</v>
      </c>
    </row>
    <row r="204" spans="2:9" x14ac:dyDescent="0.55000000000000004">
      <c r="B204" s="11">
        <f t="shared" si="39"/>
        <v>11</v>
      </c>
      <c r="C204" s="11">
        <f t="shared" si="40"/>
        <v>11</v>
      </c>
      <c r="D204" s="12">
        <f t="shared" si="41"/>
        <v>1401033</v>
      </c>
      <c r="E204" s="11" t="str">
        <f t="shared" si="42"/>
        <v>24/25</v>
      </c>
      <c r="F204" s="11" t="str">
        <f t="shared" si="43"/>
        <v>Aug</v>
      </c>
      <c r="G204" s="11" t="str">
        <f t="shared" si="44"/>
        <v>Aug'24/25</v>
      </c>
      <c r="H204" s="11" t="str">
        <f t="shared" si="37"/>
        <v>Aug'24/25</v>
      </c>
      <c r="I204" s="11">
        <f t="shared" si="38"/>
        <v>23.079349333333337</v>
      </c>
    </row>
    <row r="205" spans="2:9" x14ac:dyDescent="0.55000000000000004">
      <c r="B205" s="11">
        <f t="shared" si="39"/>
        <v>11</v>
      </c>
      <c r="C205" s="11">
        <f t="shared" si="40"/>
        <v>12</v>
      </c>
      <c r="D205" s="12">
        <f t="shared" si="41"/>
        <v>1351650</v>
      </c>
      <c r="E205" s="11" t="str">
        <f t="shared" si="42"/>
        <v>24/25</v>
      </c>
      <c r="F205" s="11" t="str">
        <f t="shared" si="43"/>
        <v>Sep</v>
      </c>
      <c r="G205" s="11" t="str">
        <f t="shared" si="44"/>
        <v>Sep'24/25</v>
      </c>
      <c r="H205" s="11" t="str">
        <f t="shared" si="37"/>
        <v>Sep'24/25</v>
      </c>
      <c r="I205" s="11">
        <f t="shared" si="38"/>
        <v>23.641032666666668</v>
      </c>
    </row>
    <row r="206" spans="2:9" x14ac:dyDescent="0.55000000000000004">
      <c r="B206" s="11">
        <f t="shared" si="39"/>
        <v>12</v>
      </c>
      <c r="C206" s="11">
        <f t="shared" si="40"/>
        <v>1</v>
      </c>
      <c r="D206" s="12">
        <f t="shared" si="41"/>
        <v>1138600</v>
      </c>
      <c r="E206" s="11" t="str">
        <f t="shared" si="42"/>
        <v>25/26</v>
      </c>
      <c r="F206" s="11" t="str">
        <f t="shared" si="43"/>
        <v>Oct</v>
      </c>
      <c r="G206" s="11" t="str">
        <f t="shared" si="44"/>
        <v>Oct'25/26</v>
      </c>
      <c r="H206" s="11" t="str">
        <f t="shared" si="37"/>
        <v>Oct'25/26</v>
      </c>
      <c r="I206" s="11">
        <f t="shared" si="38"/>
        <v>24.046299666666666</v>
      </c>
    </row>
    <row r="207" spans="2:9" x14ac:dyDescent="0.55000000000000004">
      <c r="B207" s="11">
        <f t="shared" si="39"/>
        <v>12</v>
      </c>
      <c r="C207" s="11">
        <f t="shared" si="40"/>
        <v>2</v>
      </c>
      <c r="D207" s="12">
        <f t="shared" si="41"/>
        <v>1480200</v>
      </c>
      <c r="E207" s="11" t="str">
        <f t="shared" si="42"/>
        <v>25/26</v>
      </c>
      <c r="F207" s="11" t="str">
        <f t="shared" si="43"/>
        <v>Nov</v>
      </c>
      <c r="G207" s="11" t="str">
        <f t="shared" si="44"/>
        <v>Nov'25/26</v>
      </c>
      <c r="H207" s="11" t="str">
        <f t="shared" si="37"/>
        <v>Nov'25/26</v>
      </c>
      <c r="I207" s="11">
        <f t="shared" si="38"/>
        <v>24.476182999999999</v>
      </c>
    </row>
    <row r="208" spans="2:9" x14ac:dyDescent="0.55000000000000004">
      <c r="B208" s="11">
        <f t="shared" si="39"/>
        <v>12</v>
      </c>
      <c r="C208" s="11">
        <f t="shared" si="40"/>
        <v>3</v>
      </c>
      <c r="D208" s="12">
        <f t="shared" si="41"/>
        <v>3049450</v>
      </c>
      <c r="E208" s="11" t="str">
        <f t="shared" si="42"/>
        <v>25/26</v>
      </c>
      <c r="F208" s="11" t="str">
        <f t="shared" si="43"/>
        <v>Dec</v>
      </c>
      <c r="G208" s="11" t="str">
        <f t="shared" si="44"/>
        <v>Dec'25/26</v>
      </c>
      <c r="H208" s="11" t="str">
        <f t="shared" si="37"/>
        <v>Dec'25/26</v>
      </c>
      <c r="I208" s="11">
        <f t="shared" si="38"/>
        <v>25.425633000000001</v>
      </c>
    </row>
    <row r="209" spans="2:9" x14ac:dyDescent="0.55000000000000004">
      <c r="B209" s="11">
        <f t="shared" si="39"/>
        <v>12</v>
      </c>
      <c r="C209" s="11">
        <f t="shared" si="40"/>
        <v>4</v>
      </c>
      <c r="D209" s="12">
        <f t="shared" si="41"/>
        <v>3739133.3333333335</v>
      </c>
      <c r="E209" s="11" t="str">
        <f t="shared" si="42"/>
        <v>25/26</v>
      </c>
      <c r="F209" s="11" t="str">
        <f t="shared" si="43"/>
        <v>Jan</v>
      </c>
      <c r="G209" s="11" t="str">
        <f t="shared" si="44"/>
        <v>Jan'25/26</v>
      </c>
      <c r="H209" s="11" t="str">
        <f t="shared" si="37"/>
        <v>Jan'25/26</v>
      </c>
      <c r="I209" s="11">
        <f t="shared" si="38"/>
        <v>26.931349666666669</v>
      </c>
    </row>
    <row r="210" spans="2:9" x14ac:dyDescent="0.55000000000000004">
      <c r="B210" s="11">
        <f t="shared" si="39"/>
        <v>12</v>
      </c>
      <c r="C210" s="11">
        <f t="shared" si="40"/>
        <v>5</v>
      </c>
      <c r="D210" s="12">
        <f t="shared" si="41"/>
        <v>2372283.3333333335</v>
      </c>
      <c r="E210" s="11" t="str">
        <f t="shared" si="42"/>
        <v>25/26</v>
      </c>
      <c r="F210" s="11" t="str">
        <f t="shared" si="43"/>
        <v>Feb</v>
      </c>
      <c r="G210" s="11" t="str">
        <f t="shared" si="44"/>
        <v>Feb'25/26</v>
      </c>
      <c r="H210" s="11" t="str">
        <f t="shared" si="37"/>
        <v>Feb'25/26</v>
      </c>
      <c r="I210" s="11">
        <f t="shared" si="38"/>
        <v>26.473099666666663</v>
      </c>
    </row>
    <row r="211" spans="2:9" x14ac:dyDescent="0.55000000000000004">
      <c r="B211" s="11">
        <f t="shared" si="39"/>
        <v>12</v>
      </c>
      <c r="C211" s="11">
        <f t="shared" si="40"/>
        <v>6</v>
      </c>
      <c r="D211" s="12">
        <f t="shared" si="41"/>
        <v>3152000</v>
      </c>
      <c r="E211" s="11" t="str">
        <f t="shared" si="42"/>
        <v>25/26</v>
      </c>
      <c r="F211" s="11" t="str">
        <f t="shared" si="43"/>
        <v>Mar</v>
      </c>
      <c r="G211" s="11" t="str">
        <f t="shared" si="44"/>
        <v>Mar'25/26</v>
      </c>
      <c r="H211" s="11" t="str">
        <f t="shared" si="37"/>
        <v>Mar'25/26</v>
      </c>
      <c r="I211" s="11">
        <f t="shared" si="38"/>
        <v>26.606516333333332</v>
      </c>
    </row>
    <row r="212" spans="2:9" x14ac:dyDescent="0.55000000000000004">
      <c r="B212" s="11">
        <f t="shared" si="39"/>
        <v>12</v>
      </c>
      <c r="C212" s="11">
        <f t="shared" si="40"/>
        <v>7</v>
      </c>
      <c r="D212" s="12">
        <f t="shared" si="41"/>
        <v>3164900</v>
      </c>
      <c r="E212" s="11" t="str">
        <f t="shared" si="42"/>
        <v>25/26</v>
      </c>
      <c r="F212" s="11" t="str">
        <f t="shared" si="43"/>
        <v>Apr</v>
      </c>
      <c r="G212" s="11" t="str">
        <f t="shared" si="44"/>
        <v>Apr'25/26</v>
      </c>
      <c r="H212" s="11" t="str">
        <f t="shared" si="37"/>
        <v>Apr'25/26</v>
      </c>
      <c r="I212" s="11">
        <f t="shared" si="38"/>
        <v>26.994649666666664</v>
      </c>
    </row>
    <row r="213" spans="2:9" x14ac:dyDescent="0.55000000000000004">
      <c r="B213" s="11">
        <f t="shared" si="39"/>
        <v>12</v>
      </c>
      <c r="C213" s="11">
        <f t="shared" si="40"/>
        <v>8</v>
      </c>
      <c r="D213" s="12">
        <f t="shared" si="41"/>
        <v>2221400</v>
      </c>
      <c r="E213" s="11" t="str">
        <f t="shared" si="42"/>
        <v>25/26</v>
      </c>
      <c r="F213" s="11" t="str">
        <f t="shared" si="43"/>
        <v>May</v>
      </c>
      <c r="G213" s="11" t="str">
        <f t="shared" si="44"/>
        <v>May'25/26</v>
      </c>
      <c r="H213" s="11" t="str">
        <f t="shared" si="37"/>
        <v>May'25/26</v>
      </c>
      <c r="I213" s="11">
        <f t="shared" si="38"/>
        <v>26.736682999999999</v>
      </c>
    </row>
    <row r="214" spans="2:9" x14ac:dyDescent="0.55000000000000004">
      <c r="B214" s="11">
        <f t="shared" si="39"/>
        <v>12</v>
      </c>
      <c r="C214" s="11">
        <f t="shared" si="40"/>
        <v>9</v>
      </c>
      <c r="D214" s="12">
        <f t="shared" si="41"/>
        <v>1932766.6666666667</v>
      </c>
      <c r="E214" s="11" t="str">
        <f t="shared" si="42"/>
        <v>25/26</v>
      </c>
      <c r="F214" s="11" t="str">
        <f t="shared" si="43"/>
        <v>Jun</v>
      </c>
      <c r="G214" s="11" t="str">
        <f t="shared" si="44"/>
        <v>Jun'25/26</v>
      </c>
      <c r="H214" s="11" t="str">
        <f t="shared" ref="H214:H229" si="45">G214</f>
        <v>Jun'25/26</v>
      </c>
      <c r="I214" s="11">
        <f t="shared" ref="I214:I229" si="46">SUM(D203:D214)/1000000</f>
        <v>26.703066333333336</v>
      </c>
    </row>
    <row r="215" spans="2:9" x14ac:dyDescent="0.55000000000000004">
      <c r="B215" s="11">
        <f t="shared" ref="B215:B229" si="47">B203+1</f>
        <v>12</v>
      </c>
      <c r="C215" s="11">
        <f t="shared" ref="C215:C229" si="48">C203</f>
        <v>10</v>
      </c>
      <c r="D215" s="12">
        <f t="shared" si="41"/>
        <v>2464833.3333333335</v>
      </c>
      <c r="E215" s="11" t="str">
        <f t="shared" si="42"/>
        <v>25/26</v>
      </c>
      <c r="F215" s="11" t="str">
        <f t="shared" si="43"/>
        <v>Jul</v>
      </c>
      <c r="G215" s="11" t="str">
        <f t="shared" si="44"/>
        <v>Jul'25/26</v>
      </c>
      <c r="H215" s="11" t="str">
        <f t="shared" si="45"/>
        <v>Jul'25/26</v>
      </c>
      <c r="I215" s="11">
        <f t="shared" si="46"/>
        <v>27.468249666666669</v>
      </c>
    </row>
    <row r="216" spans="2:9" x14ac:dyDescent="0.55000000000000004">
      <c r="B216" s="11">
        <f t="shared" si="47"/>
        <v>12</v>
      </c>
      <c r="C216" s="11">
        <f t="shared" si="48"/>
        <v>11</v>
      </c>
      <c r="D216" s="12">
        <f t="shared" si="41"/>
        <v>2131716.666666667</v>
      </c>
      <c r="E216" s="11" t="str">
        <f t="shared" si="42"/>
        <v>25/26</v>
      </c>
      <c r="F216" s="11" t="str">
        <f t="shared" si="43"/>
        <v>Aug</v>
      </c>
      <c r="G216" s="11" t="str">
        <f t="shared" si="44"/>
        <v>Aug'25/26</v>
      </c>
      <c r="H216" s="11" t="str">
        <f t="shared" si="45"/>
        <v>Aug'25/26</v>
      </c>
      <c r="I216" s="11">
        <f t="shared" si="46"/>
        <v>28.198933333333336</v>
      </c>
    </row>
    <row r="217" spans="2:9" x14ac:dyDescent="0.55000000000000004">
      <c r="B217" s="11">
        <f t="shared" si="47"/>
        <v>12</v>
      </c>
      <c r="C217" s="11">
        <f t="shared" si="48"/>
        <v>12</v>
      </c>
      <c r="D217" s="12">
        <f t="shared" si="41"/>
        <v>1757366.6666666667</v>
      </c>
      <c r="E217" s="11" t="str">
        <f t="shared" si="42"/>
        <v>25/26</v>
      </c>
      <c r="F217" s="11" t="str">
        <f t="shared" si="43"/>
        <v>Sep</v>
      </c>
      <c r="G217" s="11" t="str">
        <f t="shared" si="44"/>
        <v>Sep'25/26</v>
      </c>
      <c r="H217" s="11" t="str">
        <f t="shared" si="45"/>
        <v>Sep'25/26</v>
      </c>
      <c r="I217" s="11">
        <f t="shared" si="46"/>
        <v>28.604650000000003</v>
      </c>
    </row>
    <row r="218" spans="2:9" x14ac:dyDescent="0.55000000000000004">
      <c r="B218" s="11">
        <f t="shared" si="47"/>
        <v>13</v>
      </c>
      <c r="C218" s="11">
        <f t="shared" si="48"/>
        <v>1</v>
      </c>
      <c r="D218" s="12">
        <f t="shared" si="41"/>
        <v>1717466.6666666667</v>
      </c>
      <c r="E218" s="11" t="str">
        <f t="shared" si="42"/>
        <v>26/27</v>
      </c>
      <c r="F218" s="11" t="str">
        <f t="shared" si="43"/>
        <v>Oct</v>
      </c>
      <c r="G218" s="11" t="str">
        <f t="shared" si="44"/>
        <v>Oct'26/27</v>
      </c>
      <c r="H218" s="11" t="str">
        <f t="shared" si="45"/>
        <v>Oct'26/27</v>
      </c>
      <c r="I218" s="11">
        <f t="shared" si="46"/>
        <v>29.183516666666673</v>
      </c>
    </row>
    <row r="219" spans="2:9" x14ac:dyDescent="0.55000000000000004">
      <c r="B219" s="11">
        <f t="shared" si="47"/>
        <v>13</v>
      </c>
      <c r="C219" s="11">
        <f t="shared" si="48"/>
        <v>2</v>
      </c>
      <c r="D219" s="12" t="e">
        <f t="shared" si="41"/>
        <v>#N/A</v>
      </c>
      <c r="E219" s="11" t="str">
        <f t="shared" si="42"/>
        <v>26/27</v>
      </c>
      <c r="F219" s="11" t="str">
        <f t="shared" si="43"/>
        <v>Nov</v>
      </c>
      <c r="G219" s="11" t="str">
        <f t="shared" si="44"/>
        <v>Nov'26/27</v>
      </c>
      <c r="H219" s="11" t="str">
        <f t="shared" si="45"/>
        <v>Nov'26/27</v>
      </c>
      <c r="I219" s="11" t="e">
        <f t="shared" si="46"/>
        <v>#N/A</v>
      </c>
    </row>
    <row r="220" spans="2:9" x14ac:dyDescent="0.55000000000000004">
      <c r="B220" s="11">
        <f t="shared" si="47"/>
        <v>13</v>
      </c>
      <c r="C220" s="11">
        <f t="shared" si="48"/>
        <v>3</v>
      </c>
      <c r="D220" s="12" t="e">
        <f t="shared" si="41"/>
        <v>#N/A</v>
      </c>
      <c r="E220" s="11" t="str">
        <f t="shared" si="42"/>
        <v>26/27</v>
      </c>
      <c r="F220" s="11" t="str">
        <f t="shared" si="43"/>
        <v>Dec</v>
      </c>
      <c r="G220" s="11" t="str">
        <f t="shared" si="44"/>
        <v>Dec'26/27</v>
      </c>
      <c r="H220" s="11" t="str">
        <f t="shared" si="45"/>
        <v>Dec'26/27</v>
      </c>
      <c r="I220" s="11" t="e">
        <f t="shared" si="46"/>
        <v>#N/A</v>
      </c>
    </row>
    <row r="221" spans="2:9" x14ac:dyDescent="0.55000000000000004">
      <c r="B221" s="11">
        <f t="shared" si="47"/>
        <v>13</v>
      </c>
      <c r="C221" s="11">
        <f t="shared" si="48"/>
        <v>4</v>
      </c>
      <c r="D221" s="12" t="e">
        <f t="shared" si="41"/>
        <v>#N/A</v>
      </c>
      <c r="E221" s="11" t="str">
        <f t="shared" si="42"/>
        <v>26/27</v>
      </c>
      <c r="F221" s="11" t="str">
        <f t="shared" si="43"/>
        <v>Jan</v>
      </c>
      <c r="G221" s="11" t="str">
        <f t="shared" si="44"/>
        <v>Jan'26/27</v>
      </c>
      <c r="H221" s="11" t="str">
        <f t="shared" si="45"/>
        <v>Jan'26/27</v>
      </c>
      <c r="I221" s="11" t="e">
        <f t="shared" si="46"/>
        <v>#N/A</v>
      </c>
    </row>
    <row r="222" spans="2:9" x14ac:dyDescent="0.55000000000000004">
      <c r="B222" s="11">
        <f t="shared" si="47"/>
        <v>13</v>
      </c>
      <c r="C222" s="11">
        <f t="shared" si="48"/>
        <v>5</v>
      </c>
      <c r="D222" s="12" t="e">
        <f t="shared" si="41"/>
        <v>#N/A</v>
      </c>
      <c r="E222" s="11" t="str">
        <f t="shared" si="42"/>
        <v>26/27</v>
      </c>
      <c r="F222" s="11" t="str">
        <f t="shared" si="43"/>
        <v>Feb</v>
      </c>
      <c r="G222" s="11" t="str">
        <f t="shared" si="44"/>
        <v>Feb'26/27</v>
      </c>
      <c r="H222" s="11" t="str">
        <f t="shared" si="45"/>
        <v>Feb'26/27</v>
      </c>
      <c r="I222" s="11" t="e">
        <f t="shared" si="46"/>
        <v>#N/A</v>
      </c>
    </row>
    <row r="223" spans="2:9" x14ac:dyDescent="0.55000000000000004">
      <c r="B223" s="11">
        <f t="shared" si="47"/>
        <v>13</v>
      </c>
      <c r="C223" s="11">
        <f t="shared" si="48"/>
        <v>6</v>
      </c>
      <c r="D223" s="12" t="e">
        <f t="shared" si="41"/>
        <v>#N/A</v>
      </c>
      <c r="E223" s="11" t="str">
        <f t="shared" si="42"/>
        <v>26/27</v>
      </c>
      <c r="F223" s="11" t="str">
        <f t="shared" si="43"/>
        <v>Mar</v>
      </c>
      <c r="G223" s="11" t="str">
        <f t="shared" si="44"/>
        <v>Mar'26/27</v>
      </c>
      <c r="H223" s="11" t="str">
        <f t="shared" si="45"/>
        <v>Mar'26/27</v>
      </c>
      <c r="I223" s="11" t="e">
        <f t="shared" si="46"/>
        <v>#N/A</v>
      </c>
    </row>
    <row r="224" spans="2:9" x14ac:dyDescent="0.55000000000000004">
      <c r="B224" s="11">
        <f t="shared" si="47"/>
        <v>13</v>
      </c>
      <c r="C224" s="11">
        <f t="shared" si="48"/>
        <v>7</v>
      </c>
      <c r="D224" s="12" t="e">
        <f t="shared" si="41"/>
        <v>#N/A</v>
      </c>
      <c r="E224" s="11" t="str">
        <f t="shared" si="42"/>
        <v>26/27</v>
      </c>
      <c r="F224" s="11" t="str">
        <f t="shared" si="43"/>
        <v>Apr</v>
      </c>
      <c r="G224" s="11" t="str">
        <f t="shared" si="44"/>
        <v>Apr'26/27</v>
      </c>
      <c r="H224" s="11" t="str">
        <f t="shared" si="45"/>
        <v>Apr'26/27</v>
      </c>
      <c r="I224" s="11" t="e">
        <f t="shared" si="46"/>
        <v>#N/A</v>
      </c>
    </row>
    <row r="225" spans="2:9" x14ac:dyDescent="0.55000000000000004">
      <c r="B225" s="11">
        <f t="shared" si="47"/>
        <v>13</v>
      </c>
      <c r="C225" s="11">
        <f t="shared" si="48"/>
        <v>8</v>
      </c>
      <c r="D225" s="12" t="e">
        <f t="shared" si="41"/>
        <v>#N/A</v>
      </c>
      <c r="E225" s="11" t="str">
        <f t="shared" si="42"/>
        <v>26/27</v>
      </c>
      <c r="F225" s="11" t="str">
        <f t="shared" si="43"/>
        <v>May</v>
      </c>
      <c r="G225" s="11" t="str">
        <f t="shared" si="44"/>
        <v>May'26/27</v>
      </c>
      <c r="H225" s="11" t="str">
        <f t="shared" si="45"/>
        <v>May'26/27</v>
      </c>
      <c r="I225" s="11" t="e">
        <f t="shared" si="46"/>
        <v>#N/A</v>
      </c>
    </row>
    <row r="226" spans="2:9" x14ac:dyDescent="0.55000000000000004">
      <c r="B226" s="11">
        <f t="shared" si="47"/>
        <v>13</v>
      </c>
      <c r="C226" s="11">
        <f t="shared" si="48"/>
        <v>9</v>
      </c>
      <c r="D226" s="12" t="e">
        <f t="shared" si="41"/>
        <v>#N/A</v>
      </c>
      <c r="E226" s="11" t="str">
        <f t="shared" si="42"/>
        <v>26/27</v>
      </c>
      <c r="F226" s="11" t="str">
        <f t="shared" si="43"/>
        <v>Jun</v>
      </c>
      <c r="G226" s="11" t="str">
        <f t="shared" si="44"/>
        <v>Jun'26/27</v>
      </c>
      <c r="H226" s="11" t="str">
        <f t="shared" si="45"/>
        <v>Jun'26/27</v>
      </c>
      <c r="I226" s="11" t="e">
        <f t="shared" si="46"/>
        <v>#N/A</v>
      </c>
    </row>
    <row r="227" spans="2:9" x14ac:dyDescent="0.55000000000000004">
      <c r="B227" s="11">
        <f t="shared" si="47"/>
        <v>13</v>
      </c>
      <c r="C227" s="11">
        <f t="shared" si="48"/>
        <v>10</v>
      </c>
      <c r="D227" s="12" t="e">
        <f t="shared" si="41"/>
        <v>#N/A</v>
      </c>
      <c r="E227" s="11" t="str">
        <f t="shared" si="42"/>
        <v>26/27</v>
      </c>
      <c r="F227" s="11" t="str">
        <f t="shared" si="43"/>
        <v>Jul</v>
      </c>
      <c r="G227" s="11" t="str">
        <f t="shared" si="44"/>
        <v>Jul'26/27</v>
      </c>
      <c r="H227" s="11" t="str">
        <f t="shared" si="45"/>
        <v>Jul'26/27</v>
      </c>
      <c r="I227" s="11" t="e">
        <f t="shared" si="46"/>
        <v>#N/A</v>
      </c>
    </row>
    <row r="228" spans="2:9" x14ac:dyDescent="0.55000000000000004">
      <c r="B228" s="11">
        <f t="shared" si="47"/>
        <v>13</v>
      </c>
      <c r="C228" s="11">
        <f t="shared" si="48"/>
        <v>11</v>
      </c>
      <c r="D228" s="12" t="e">
        <f t="shared" si="41"/>
        <v>#N/A</v>
      </c>
      <c r="E228" s="11" t="str">
        <f t="shared" si="42"/>
        <v>26/27</v>
      </c>
      <c r="F228" s="11" t="str">
        <f t="shared" si="43"/>
        <v>Aug</v>
      </c>
      <c r="G228" s="11" t="str">
        <f t="shared" si="44"/>
        <v>Aug'26/27</v>
      </c>
      <c r="H228" s="11" t="str">
        <f t="shared" si="45"/>
        <v>Aug'26/27</v>
      </c>
      <c r="I228" s="11" t="e">
        <f t="shared" si="46"/>
        <v>#N/A</v>
      </c>
    </row>
    <row r="229" spans="2:9" x14ac:dyDescent="0.55000000000000004">
      <c r="B229" s="11">
        <f t="shared" si="47"/>
        <v>13</v>
      </c>
      <c r="C229" s="11">
        <f t="shared" si="48"/>
        <v>12</v>
      </c>
      <c r="D229" s="12" t="e">
        <f t="shared" si="41"/>
        <v>#N/A</v>
      </c>
      <c r="E229" s="11" t="str">
        <f t="shared" si="42"/>
        <v>26/27</v>
      </c>
      <c r="F229" s="11" t="str">
        <f t="shared" si="43"/>
        <v>Sep</v>
      </c>
      <c r="G229" s="11" t="str">
        <f t="shared" si="44"/>
        <v>Sep'26/27</v>
      </c>
      <c r="H229" s="11" t="str">
        <f t="shared" si="45"/>
        <v>Sep'26/27</v>
      </c>
      <c r="I229" s="11" t="e">
        <f t="shared" si="46"/>
        <v>#N/A</v>
      </c>
    </row>
  </sheetData>
  <mergeCells count="4">
    <mergeCell ref="A1:Y2"/>
    <mergeCell ref="C5:N5"/>
    <mergeCell ref="S6:U6"/>
    <mergeCell ref="N74:Y74"/>
  </mergeCells>
  <conditionalFormatting sqref="C7:N19">
    <cfRule type="cellIs" dxfId="6" priority="5" operator="greaterThanOrEqual">
      <formula>0</formula>
    </cfRule>
    <cfRule type="colorScale" priority="10">
      <colorScale>
        <cfvo type="min"/>
        <cfvo type="max"/>
        <color rgb="FFFCFCFF"/>
        <color rgb="FF63BE7B"/>
      </colorScale>
    </cfRule>
  </conditionalFormatting>
  <conditionalFormatting sqref="C62:N62">
    <cfRule type="colorScale" priority="4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{90140191-82FF-4A8A-9CEF-D257402D9057}</x14:id>
        </ext>
      </extLst>
    </cfRule>
  </conditionalFormatting>
  <conditionalFormatting sqref="Q1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{E652AF89-A9DD-4F6E-80EA-EF31CF4D2579}</x14:id>
        </ext>
      </extLst>
    </cfRule>
  </conditionalFormatting>
  <conditionalFormatting sqref="T7:T19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{D50F58E4-5B7C-49B6-AB10-44027AA5C270}</x14:id>
        </ext>
      </extLst>
    </cfRule>
  </conditionalFormatting>
  <conditionalFormatting sqref="U19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{01A07706-A855-462B-93BE-583B043F715F}</x14:id>
        </ext>
      </extLst>
    </cfRule>
  </conditionalFormatting>
  <conditionalFormatting sqref="AA18">
    <cfRule type="cellIs" dxfId="5" priority="2" operator="greaterThanOrEqual">
      <formula>0</formula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140191-82FF-4A8A-9CEF-D257402D90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Q8:Q18</xm:sqref>
        </x14:conditionalFormatting>
        <x14:conditionalFormatting xmlns:xm="http://schemas.microsoft.com/office/excel/2006/main">
          <x14:cfRule type="dataBar" id="{E652AF89-A9DD-4F6E-80EA-EF31CF4D25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50F58E4-5B7C-49B6-AB10-44027AA5C2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01A07706-A855-462B-93BE-583B043F71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9B6E-0941-4F8B-B065-003E4B3EB2B1}">
  <sheetPr codeName="Sheet26"/>
  <dimension ref="C1:DP79"/>
  <sheetViews>
    <sheetView showGridLines="0" zoomScale="55" zoomScaleNormal="55" workbookViewId="0">
      <selection activeCell="CQ69" sqref="CQ69"/>
    </sheetView>
  </sheetViews>
  <sheetFormatPr defaultColWidth="8.83984375" defaultRowHeight="14.4" x14ac:dyDescent="0.55000000000000004"/>
  <cols>
    <col min="1" max="18" width="8.83984375" style="11"/>
    <col min="19" max="19" width="10.41796875" style="11" customWidth="1"/>
    <col min="20" max="48" width="8.83984375" style="11"/>
    <col min="49" max="49" width="10.41796875" style="11" customWidth="1"/>
    <col min="50" max="79" width="8.83984375" style="11"/>
    <col min="80" max="80" width="10.41796875" style="11" customWidth="1"/>
    <col min="81" max="93" width="8.83984375" style="11"/>
    <col min="94" max="94" width="8.83984375" style="11" customWidth="1"/>
    <col min="95" max="109" width="8.83984375" style="11"/>
    <col min="110" max="110" width="10.41796875" style="11" customWidth="1"/>
    <col min="111" max="16384" width="8.83984375" style="11"/>
  </cols>
  <sheetData>
    <row r="1" spans="8:110" s="30" customFormat="1" ht="44.5" customHeight="1" x14ac:dyDescent="0.55000000000000004">
      <c r="H1" s="85" t="s">
        <v>62</v>
      </c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AL1" s="85" t="s">
        <v>63</v>
      </c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BQ1" s="85" t="s">
        <v>64</v>
      </c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U1" s="85" t="s">
        <v>79</v>
      </c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</row>
    <row r="2" spans="8:110" s="31" customFormat="1" ht="5.5" customHeight="1" x14ac:dyDescent="0.55000000000000004"/>
    <row r="27" spans="3:110" ht="18.3" x14ac:dyDescent="0.7">
      <c r="C27" s="84" t="s">
        <v>65</v>
      </c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AG27" s="84" t="s">
        <v>66</v>
      </c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BL27" s="84" t="s">
        <v>67</v>
      </c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CP27" s="84" t="s">
        <v>68</v>
      </c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</row>
    <row r="28" spans="3:110" x14ac:dyDescent="0.55000000000000004">
      <c r="C28" s="32"/>
      <c r="D28" s="33" t="s">
        <v>1</v>
      </c>
      <c r="E28" s="33" t="s">
        <v>2</v>
      </c>
      <c r="F28" s="33" t="s">
        <v>3</v>
      </c>
      <c r="G28" s="33" t="s">
        <v>4</v>
      </c>
      <c r="H28" s="33" t="s">
        <v>5</v>
      </c>
      <c r="I28" s="33" t="s">
        <v>6</v>
      </c>
      <c r="J28" s="33" t="s">
        <v>7</v>
      </c>
      <c r="K28" s="33" t="s">
        <v>8</v>
      </c>
      <c r="L28" s="33" t="s">
        <v>9</v>
      </c>
      <c r="M28" s="33" t="s">
        <v>10</v>
      </c>
      <c r="N28" s="33" t="s">
        <v>11</v>
      </c>
      <c r="O28" s="33" t="s">
        <v>12</v>
      </c>
      <c r="Q28" s="34" t="s">
        <v>99</v>
      </c>
      <c r="R28" s="34"/>
      <c r="S28" s="34"/>
      <c r="AG28" s="32"/>
      <c r="AH28" s="33" t="s">
        <v>1</v>
      </c>
      <c r="AI28" s="33" t="s">
        <v>2</v>
      </c>
      <c r="AJ28" s="33" t="s">
        <v>3</v>
      </c>
      <c r="AK28" s="33" t="s">
        <v>4</v>
      </c>
      <c r="AL28" s="33" t="s">
        <v>5</v>
      </c>
      <c r="AM28" s="33" t="s">
        <v>6</v>
      </c>
      <c r="AN28" s="33" t="s">
        <v>7</v>
      </c>
      <c r="AO28" s="33" t="s">
        <v>8</v>
      </c>
      <c r="AP28" s="33" t="s">
        <v>9</v>
      </c>
      <c r="AQ28" s="33" t="s">
        <v>10</v>
      </c>
      <c r="AR28" s="33" t="s">
        <v>11</v>
      </c>
      <c r="AS28" s="33" t="s">
        <v>12</v>
      </c>
      <c r="AU28" s="34" t="str">
        <f>Q28</f>
        <v>OND</v>
      </c>
      <c r="AV28" s="34"/>
      <c r="AW28" s="34"/>
      <c r="BL28" s="32"/>
      <c r="BM28" s="33" t="s">
        <v>1</v>
      </c>
      <c r="BN28" s="33" t="s">
        <v>2</v>
      </c>
      <c r="BO28" s="33" t="s">
        <v>3</v>
      </c>
      <c r="BP28" s="33" t="s">
        <v>4</v>
      </c>
      <c r="BQ28" s="33" t="s">
        <v>5</v>
      </c>
      <c r="BR28" s="33" t="s">
        <v>6</v>
      </c>
      <c r="BS28" s="33" t="s">
        <v>7</v>
      </c>
      <c r="BT28" s="33" t="s">
        <v>8</v>
      </c>
      <c r="BU28" s="33" t="s">
        <v>9</v>
      </c>
      <c r="BV28" s="33" t="s">
        <v>10</v>
      </c>
      <c r="BW28" s="33" t="s">
        <v>11</v>
      </c>
      <c r="BX28" s="33" t="s">
        <v>12</v>
      </c>
      <c r="BZ28" s="34" t="str">
        <f>AU28</f>
        <v>OND</v>
      </c>
      <c r="CA28" s="34"/>
      <c r="CB28" s="34"/>
      <c r="CP28" s="32"/>
      <c r="CQ28" s="33" t="s">
        <v>1</v>
      </c>
      <c r="CR28" s="33" t="s">
        <v>2</v>
      </c>
      <c r="CS28" s="33" t="s">
        <v>3</v>
      </c>
      <c r="CT28" s="33" t="s">
        <v>4</v>
      </c>
      <c r="CU28" s="33" t="s">
        <v>5</v>
      </c>
      <c r="CV28" s="33" t="s">
        <v>6</v>
      </c>
      <c r="CW28" s="33" t="s">
        <v>7</v>
      </c>
      <c r="CX28" s="33" t="s">
        <v>8</v>
      </c>
      <c r="CY28" s="33" t="s">
        <v>9</v>
      </c>
      <c r="CZ28" s="33" t="s">
        <v>10</v>
      </c>
      <c r="DA28" s="33" t="s">
        <v>11</v>
      </c>
      <c r="DB28" s="33" t="s">
        <v>12</v>
      </c>
      <c r="DD28" s="34" t="s">
        <v>109</v>
      </c>
      <c r="DE28" s="34"/>
      <c r="DF28" s="34"/>
    </row>
    <row r="29" spans="3:110" x14ac:dyDescent="0.55000000000000004">
      <c r="C29" s="35" t="s">
        <v>69</v>
      </c>
      <c r="D29" s="12">
        <v>23833.333333333336</v>
      </c>
      <c r="E29" s="12">
        <v>42825</v>
      </c>
      <c r="F29" s="12">
        <v>39508.333333333336</v>
      </c>
      <c r="G29" s="12">
        <v>58250</v>
      </c>
      <c r="H29" s="12">
        <v>22326.666666666664</v>
      </c>
      <c r="I29" s="12">
        <v>31750</v>
      </c>
      <c r="J29" s="12">
        <v>30133.333333333336</v>
      </c>
      <c r="K29" s="12">
        <v>41700</v>
      </c>
      <c r="L29" s="12">
        <v>5933.3333333333339</v>
      </c>
      <c r="M29" s="12">
        <v>19516.666666666668</v>
      </c>
      <c r="N29" s="12">
        <v>17050</v>
      </c>
      <c r="O29" s="12">
        <v>12350</v>
      </c>
      <c r="Q29" s="36" t="str">
        <f t="shared" ref="Q29:Q40" si="0">C29</f>
        <v>12/13</v>
      </c>
      <c r="R29" s="12">
        <f>SUM(D29:F29)</f>
        <v>106166.66666666669</v>
      </c>
      <c r="AG29" s="35" t="s">
        <v>69</v>
      </c>
      <c r="AH29" s="12">
        <v>249623.33333333334</v>
      </c>
      <c r="AI29" s="12">
        <v>270766.66666666669</v>
      </c>
      <c r="AJ29" s="12">
        <v>121566.66666666667</v>
      </c>
      <c r="AK29" s="12">
        <v>119900</v>
      </c>
      <c r="AL29" s="12">
        <v>99283.333333333343</v>
      </c>
      <c r="AM29" s="12">
        <v>206716.66666666669</v>
      </c>
      <c r="AN29" s="12">
        <v>57816.666666666672</v>
      </c>
      <c r="AO29" s="12">
        <v>59730.000000000007</v>
      </c>
      <c r="AP29" s="12">
        <v>62523.333333333336</v>
      </c>
      <c r="AQ29" s="12">
        <v>54433.333333333336</v>
      </c>
      <c r="AR29" s="12">
        <v>48126.666666666664</v>
      </c>
      <c r="AS29" s="12">
        <v>45350</v>
      </c>
      <c r="AU29" s="36" t="str">
        <f t="shared" ref="AU29:AU40" si="1">AG29</f>
        <v>12/13</v>
      </c>
      <c r="AV29" s="12">
        <f>SUM(AH29:AJ29)</f>
        <v>641956.66666666663</v>
      </c>
      <c r="BL29" s="35" t="s">
        <v>69</v>
      </c>
      <c r="BM29" s="12">
        <v>46783.333333333336</v>
      </c>
      <c r="BN29" s="12">
        <v>30683.333333333336</v>
      </c>
      <c r="BO29" s="12">
        <v>42133.333333333336</v>
      </c>
      <c r="BP29" s="12">
        <v>62066.666666666672</v>
      </c>
      <c r="BQ29" s="12">
        <v>61883.333333333336</v>
      </c>
      <c r="BR29" s="12">
        <v>85700</v>
      </c>
      <c r="BS29" s="12">
        <v>42366.666666666672</v>
      </c>
      <c r="BT29" s="12">
        <v>52083.333333333336</v>
      </c>
      <c r="BU29" s="12">
        <v>58680.000000000007</v>
      </c>
      <c r="BV29" s="12">
        <v>66166.666666666672</v>
      </c>
      <c r="BW29" s="12">
        <v>48866.666666666672</v>
      </c>
      <c r="BX29" s="12">
        <v>43600</v>
      </c>
      <c r="BZ29" s="36" t="str">
        <f t="shared" ref="BZ29:BZ40" si="2">BL29</f>
        <v>12/13</v>
      </c>
      <c r="CA29" s="12">
        <f>SUM(BM29:BO29)</f>
        <v>119600</v>
      </c>
      <c r="CP29" s="35" t="s">
        <v>69</v>
      </c>
      <c r="CQ29" s="12">
        <f>BM29+AH29+D29</f>
        <v>320240</v>
      </c>
      <c r="CR29" s="12">
        <f t="shared" ref="CR29:DB42" si="3">BN29+AI29+E29</f>
        <v>344275</v>
      </c>
      <c r="CS29" s="12">
        <f t="shared" si="3"/>
        <v>203208.33333333334</v>
      </c>
      <c r="CT29" s="12">
        <f t="shared" si="3"/>
        <v>240216.66666666669</v>
      </c>
      <c r="CU29" s="12">
        <f t="shared" si="3"/>
        <v>183493.33333333334</v>
      </c>
      <c r="CV29" s="12">
        <f t="shared" si="3"/>
        <v>324166.66666666669</v>
      </c>
      <c r="CW29" s="12">
        <f t="shared" si="3"/>
        <v>130316.66666666669</v>
      </c>
      <c r="CX29" s="12">
        <f t="shared" si="3"/>
        <v>153513.33333333334</v>
      </c>
      <c r="CY29" s="12">
        <f t="shared" si="3"/>
        <v>127136.66666666667</v>
      </c>
      <c r="CZ29" s="12">
        <f t="shared" si="3"/>
        <v>140116.66666666666</v>
      </c>
      <c r="DA29" s="12">
        <f t="shared" si="3"/>
        <v>114043.33333333334</v>
      </c>
      <c r="DB29" s="12">
        <f t="shared" si="3"/>
        <v>101300</v>
      </c>
      <c r="DD29" s="36" t="str">
        <f t="shared" ref="DD29:DD40" si="4">CP29</f>
        <v>12/13</v>
      </c>
      <c r="DE29" s="12">
        <f>SUM(CQ29:CV29)</f>
        <v>1615600</v>
      </c>
    </row>
    <row r="30" spans="3:110" x14ac:dyDescent="0.55000000000000004">
      <c r="C30" s="15" t="s">
        <v>70</v>
      </c>
      <c r="D30" s="12">
        <v>22900</v>
      </c>
      <c r="E30" s="12">
        <v>13433.333333333334</v>
      </c>
      <c r="F30" s="12">
        <v>18950</v>
      </c>
      <c r="G30" s="12">
        <v>21666.666666666668</v>
      </c>
      <c r="H30" s="12">
        <v>22933.333333333336</v>
      </c>
      <c r="I30" s="12">
        <v>24133.333333333336</v>
      </c>
      <c r="J30" s="12">
        <v>17933.333333333336</v>
      </c>
      <c r="K30" s="12">
        <v>14033.333333333334</v>
      </c>
      <c r="L30" s="12">
        <v>18100</v>
      </c>
      <c r="M30" s="12">
        <v>14166.666666666668</v>
      </c>
      <c r="N30" s="12">
        <v>18966.666666666668</v>
      </c>
      <c r="O30" s="12">
        <v>18216.666666666668</v>
      </c>
      <c r="Q30" s="36" t="str">
        <f t="shared" si="0"/>
        <v>13/14</v>
      </c>
      <c r="R30" s="12">
        <f t="shared" ref="R30:R41" si="5">SUM(D30:F30)</f>
        <v>55283.333333333336</v>
      </c>
      <c r="S30" s="37">
        <f t="shared" ref="S30:S41" si="6">R30/R29-1</f>
        <v>-0.47927786499215075</v>
      </c>
      <c r="AG30" s="15" t="s">
        <v>70</v>
      </c>
      <c r="AH30" s="12">
        <v>29433.333333333336</v>
      </c>
      <c r="AI30" s="12">
        <v>36033.333333333336</v>
      </c>
      <c r="AJ30" s="12">
        <v>83426.666666666672</v>
      </c>
      <c r="AK30" s="12">
        <v>118300</v>
      </c>
      <c r="AL30" s="12">
        <v>212150</v>
      </c>
      <c r="AM30" s="12">
        <v>531266.66666666674</v>
      </c>
      <c r="AN30" s="12">
        <v>477900</v>
      </c>
      <c r="AO30" s="12">
        <v>237883.33333333334</v>
      </c>
      <c r="AP30" s="12">
        <v>120750</v>
      </c>
      <c r="AQ30" s="12">
        <v>112650</v>
      </c>
      <c r="AR30" s="12">
        <v>339800</v>
      </c>
      <c r="AS30" s="12">
        <v>83563.333333333343</v>
      </c>
      <c r="AU30" s="36" t="str">
        <f t="shared" si="1"/>
        <v>13/14</v>
      </c>
      <c r="AV30" s="12">
        <f t="shared" ref="AV30:AV41" si="7">SUM(AH30:AJ30)</f>
        <v>148893.33333333334</v>
      </c>
      <c r="AW30" s="37">
        <f t="shared" ref="AW30:AW41" si="8">AV30/AV29-1</f>
        <v>-0.76806326491403887</v>
      </c>
      <c r="BL30" s="15" t="s">
        <v>70</v>
      </c>
      <c r="BM30" s="12">
        <v>33616.666666666672</v>
      </c>
      <c r="BN30" s="12">
        <v>33200</v>
      </c>
      <c r="BO30" s="12">
        <v>70700</v>
      </c>
      <c r="BP30" s="12">
        <v>64966.666666666672</v>
      </c>
      <c r="BQ30" s="12">
        <v>39250</v>
      </c>
      <c r="BR30" s="12">
        <v>81433.333333333343</v>
      </c>
      <c r="BS30" s="12">
        <v>50083.333333333336</v>
      </c>
      <c r="BT30" s="12">
        <v>43083.333333333336</v>
      </c>
      <c r="BU30" s="12">
        <v>43433.333333333336</v>
      </c>
      <c r="BV30" s="12">
        <v>40533.333333333336</v>
      </c>
      <c r="BW30" s="12">
        <v>34766.666666666672</v>
      </c>
      <c r="BX30" s="12">
        <v>40283.333333333336</v>
      </c>
      <c r="BZ30" s="36" t="str">
        <f t="shared" si="2"/>
        <v>13/14</v>
      </c>
      <c r="CA30" s="12">
        <f t="shared" ref="CA30:CA41" si="9">SUM(BM30:BO30)</f>
        <v>137516.66666666669</v>
      </c>
      <c r="CB30" s="37">
        <f t="shared" ref="CB30:CB41" si="10">CA30/CA29-1</f>
        <v>0.14980490523968792</v>
      </c>
      <c r="CP30" s="15" t="s">
        <v>70</v>
      </c>
      <c r="CQ30" s="12">
        <f t="shared" ref="CQ30:CQ42" si="11">BM30+AH30+D30</f>
        <v>85950</v>
      </c>
      <c r="CR30" s="12">
        <f t="shared" si="3"/>
        <v>82666.666666666672</v>
      </c>
      <c r="CS30" s="12">
        <f t="shared" si="3"/>
        <v>173076.66666666669</v>
      </c>
      <c r="CT30" s="12">
        <f t="shared" si="3"/>
        <v>204933.33333333334</v>
      </c>
      <c r="CU30" s="12">
        <f t="shared" si="3"/>
        <v>274333.33333333331</v>
      </c>
      <c r="CV30" s="12">
        <f t="shared" si="3"/>
        <v>636833.33333333349</v>
      </c>
      <c r="CW30" s="12">
        <f t="shared" si="3"/>
        <v>545916.66666666674</v>
      </c>
      <c r="CX30" s="12">
        <f t="shared" si="3"/>
        <v>295000</v>
      </c>
      <c r="CY30" s="12">
        <f t="shared" si="3"/>
        <v>182283.33333333334</v>
      </c>
      <c r="CZ30" s="12">
        <f t="shared" si="3"/>
        <v>167350</v>
      </c>
      <c r="DA30" s="12">
        <f t="shared" si="3"/>
        <v>393533.33333333337</v>
      </c>
      <c r="DB30" s="12">
        <f t="shared" si="3"/>
        <v>142063.33333333334</v>
      </c>
      <c r="DD30" s="36" t="str">
        <f t="shared" si="4"/>
        <v>13/14</v>
      </c>
      <c r="DE30" s="12">
        <f t="shared" ref="DE30:DE42" si="12">SUM(CQ30:CV30)</f>
        <v>1457793.3333333335</v>
      </c>
      <c r="DF30" s="37">
        <f t="shared" ref="DF30:DF41" si="13">DE30/DE29-1</f>
        <v>-9.7676817694148599E-2</v>
      </c>
    </row>
    <row r="31" spans="3:110" x14ac:dyDescent="0.55000000000000004">
      <c r="C31" s="15" t="s">
        <v>15</v>
      </c>
      <c r="D31" s="12">
        <v>17062.5</v>
      </c>
      <c r="E31" s="12">
        <v>9222.4999999999982</v>
      </c>
      <c r="F31" s="12">
        <v>15959.999999999998</v>
      </c>
      <c r="G31" s="12">
        <v>19144.999999999993</v>
      </c>
      <c r="H31" s="12">
        <v>9240</v>
      </c>
      <c r="I31" s="12">
        <v>19862.499999999996</v>
      </c>
      <c r="J31" s="12">
        <v>16782.499999999996</v>
      </c>
      <c r="K31" s="12">
        <v>17675</v>
      </c>
      <c r="L31" s="12">
        <v>21594.999999999996</v>
      </c>
      <c r="M31" s="12">
        <v>20999.999999999996</v>
      </c>
      <c r="N31" s="12">
        <v>14524.999999999998</v>
      </c>
      <c r="O31" s="12">
        <v>22942.5</v>
      </c>
      <c r="Q31" s="36" t="str">
        <f t="shared" si="0"/>
        <v>14/15</v>
      </c>
      <c r="R31" s="12">
        <f t="shared" si="5"/>
        <v>42245</v>
      </c>
      <c r="S31" s="37">
        <f t="shared" si="6"/>
        <v>-0.23584564365390415</v>
      </c>
      <c r="AG31" s="15" t="s">
        <v>15</v>
      </c>
      <c r="AH31" s="12">
        <v>65082.500000000007</v>
      </c>
      <c r="AI31" s="12">
        <v>64907.500000000015</v>
      </c>
      <c r="AJ31" s="12">
        <v>147909.99999999997</v>
      </c>
      <c r="AK31" s="12">
        <v>113697.50000000001</v>
      </c>
      <c r="AL31" s="12">
        <v>86065</v>
      </c>
      <c r="AM31" s="12">
        <v>76580</v>
      </c>
      <c r="AN31" s="12">
        <v>53760.000000000007</v>
      </c>
      <c r="AO31" s="12">
        <v>55037.500000000015</v>
      </c>
      <c r="AP31" s="12">
        <v>49910</v>
      </c>
      <c r="AQ31" s="12">
        <v>50697.5</v>
      </c>
      <c r="AR31" s="12">
        <v>70560.000000000029</v>
      </c>
      <c r="AS31" s="12">
        <v>62422.500000000015</v>
      </c>
      <c r="AU31" s="36" t="str">
        <f t="shared" si="1"/>
        <v>14/15</v>
      </c>
      <c r="AV31" s="12">
        <f t="shared" si="7"/>
        <v>277900</v>
      </c>
      <c r="AW31" s="37">
        <f t="shared" si="8"/>
        <v>0.86643682278140943</v>
      </c>
      <c r="BL31" s="15" t="s">
        <v>15</v>
      </c>
      <c r="BM31" s="12">
        <v>35070</v>
      </c>
      <c r="BN31" s="12">
        <v>23555.000000000007</v>
      </c>
      <c r="BO31" s="12">
        <v>48475</v>
      </c>
      <c r="BP31" s="12">
        <v>25637.500000000004</v>
      </c>
      <c r="BQ31" s="12">
        <v>42245</v>
      </c>
      <c r="BR31" s="12">
        <v>64312.499999999993</v>
      </c>
      <c r="BS31" s="12">
        <v>62230.000000000015</v>
      </c>
      <c r="BT31" s="12">
        <v>37625.000000000015</v>
      </c>
      <c r="BU31" s="12">
        <v>33985.000000000015</v>
      </c>
      <c r="BV31" s="12">
        <v>37835.000000000007</v>
      </c>
      <c r="BW31" s="12">
        <v>26372.500000000011</v>
      </c>
      <c r="BX31" s="12">
        <v>47407.499999999993</v>
      </c>
      <c r="BZ31" s="36" t="str">
        <f t="shared" si="2"/>
        <v>14/15</v>
      </c>
      <c r="CA31" s="12">
        <f t="shared" si="9"/>
        <v>107100</v>
      </c>
      <c r="CB31" s="37">
        <f t="shared" si="10"/>
        <v>-0.22118531087140969</v>
      </c>
      <c r="CP31" s="15" t="s">
        <v>15</v>
      </c>
      <c r="CQ31" s="12">
        <f t="shared" si="11"/>
        <v>117215</v>
      </c>
      <c r="CR31" s="12">
        <f t="shared" si="3"/>
        <v>97685.000000000029</v>
      </c>
      <c r="CS31" s="12">
        <f t="shared" si="3"/>
        <v>212344.99999999997</v>
      </c>
      <c r="CT31" s="12">
        <f t="shared" si="3"/>
        <v>158480.00000000003</v>
      </c>
      <c r="CU31" s="12">
        <f t="shared" si="3"/>
        <v>137550</v>
      </c>
      <c r="CV31" s="12">
        <f t="shared" si="3"/>
        <v>160755</v>
      </c>
      <c r="CW31" s="12">
        <f t="shared" si="3"/>
        <v>132772.50000000003</v>
      </c>
      <c r="CX31" s="12">
        <f t="shared" si="3"/>
        <v>110337.50000000003</v>
      </c>
      <c r="CY31" s="12">
        <f t="shared" si="3"/>
        <v>105490.00000000001</v>
      </c>
      <c r="CZ31" s="12">
        <f t="shared" si="3"/>
        <v>109532.5</v>
      </c>
      <c r="DA31" s="12">
        <f t="shared" si="3"/>
        <v>111457.50000000004</v>
      </c>
      <c r="DB31" s="12">
        <f t="shared" si="3"/>
        <v>132772.5</v>
      </c>
      <c r="DD31" s="36" t="str">
        <f t="shared" si="4"/>
        <v>14/15</v>
      </c>
      <c r="DE31" s="12">
        <f t="shared" si="12"/>
        <v>884030</v>
      </c>
      <c r="DF31" s="37">
        <f t="shared" si="13"/>
        <v>-0.39358345261559713</v>
      </c>
    </row>
    <row r="32" spans="3:110" x14ac:dyDescent="0.55000000000000004">
      <c r="C32" s="15" t="s">
        <v>16</v>
      </c>
      <c r="D32" s="12">
        <v>21285.000000000004</v>
      </c>
      <c r="E32" s="12">
        <v>20166.666666666672</v>
      </c>
      <c r="F32" s="12">
        <v>15913.333333333334</v>
      </c>
      <c r="G32" s="12">
        <v>14061.666666666668</v>
      </c>
      <c r="H32" s="12">
        <v>7755.0000000000018</v>
      </c>
      <c r="I32" s="12">
        <v>15436.666666666668</v>
      </c>
      <c r="J32" s="12">
        <v>18131.666666666668</v>
      </c>
      <c r="K32" s="12">
        <v>14868.333333333332</v>
      </c>
      <c r="L32" s="12">
        <v>36025</v>
      </c>
      <c r="M32" s="12">
        <v>31148.333333333347</v>
      </c>
      <c r="N32" s="12">
        <v>21578.333333333339</v>
      </c>
      <c r="O32" s="12">
        <v>23430.000000000004</v>
      </c>
      <c r="Q32" s="36" t="str">
        <f t="shared" si="0"/>
        <v>15/16</v>
      </c>
      <c r="R32" s="12">
        <f t="shared" si="5"/>
        <v>57365.000000000007</v>
      </c>
      <c r="S32" s="37">
        <f t="shared" si="6"/>
        <v>0.35791217895608973</v>
      </c>
      <c r="AG32" s="15" t="s">
        <v>16</v>
      </c>
      <c r="AH32" s="12">
        <v>75386.666666666686</v>
      </c>
      <c r="AI32" s="12">
        <v>78705.000000000015</v>
      </c>
      <c r="AJ32" s="12">
        <v>85539.666666666672</v>
      </c>
      <c r="AK32" s="12">
        <v>64386.666666666664</v>
      </c>
      <c r="AL32" s="12">
        <v>99128.333333333358</v>
      </c>
      <c r="AM32" s="12">
        <v>100485.00000000004</v>
      </c>
      <c r="AN32" s="12">
        <v>99165.000000000015</v>
      </c>
      <c r="AO32" s="12">
        <v>66880</v>
      </c>
      <c r="AP32" s="12">
        <v>75093.333333333358</v>
      </c>
      <c r="AQ32" s="12">
        <v>62260.000000000015</v>
      </c>
      <c r="AR32" s="12">
        <v>58758.333333333343</v>
      </c>
      <c r="AS32" s="12">
        <v>77806.666666666672</v>
      </c>
      <c r="AU32" s="36" t="str">
        <f t="shared" si="1"/>
        <v>15/16</v>
      </c>
      <c r="AV32" s="12">
        <f t="shared" si="7"/>
        <v>239631.33333333337</v>
      </c>
      <c r="AW32" s="37">
        <f t="shared" si="8"/>
        <v>-0.13770660909199939</v>
      </c>
      <c r="BL32" s="15" t="s">
        <v>16</v>
      </c>
      <c r="BM32" s="12">
        <v>24893.000000000004</v>
      </c>
      <c r="BN32" s="12">
        <v>18498.333333333339</v>
      </c>
      <c r="BO32" s="12">
        <v>60225.000000000029</v>
      </c>
      <c r="BP32" s="12">
        <v>40993.333333333336</v>
      </c>
      <c r="BQ32" s="12">
        <v>35841.666666666672</v>
      </c>
      <c r="BR32" s="12">
        <v>73773.333333333328</v>
      </c>
      <c r="BS32" s="12">
        <v>65486.666666666679</v>
      </c>
      <c r="BT32" s="12">
        <v>77000.000000000015</v>
      </c>
      <c r="BU32" s="12">
        <v>74690.000000000029</v>
      </c>
      <c r="BV32" s="12">
        <v>16756.666666666668</v>
      </c>
      <c r="BW32" s="12">
        <v>69960.000000000029</v>
      </c>
      <c r="BX32" s="12">
        <v>45576.666666666672</v>
      </c>
      <c r="BZ32" s="36" t="str">
        <f t="shared" si="2"/>
        <v>15/16</v>
      </c>
      <c r="CA32" s="12">
        <f t="shared" si="9"/>
        <v>103616.33333333337</v>
      </c>
      <c r="CB32" s="37">
        <f t="shared" si="10"/>
        <v>-3.2527233115468013E-2</v>
      </c>
      <c r="CP32" s="15" t="s">
        <v>16</v>
      </c>
      <c r="CQ32" s="12">
        <f t="shared" si="11"/>
        <v>121564.66666666669</v>
      </c>
      <c r="CR32" s="12">
        <f t="shared" si="3"/>
        <v>117370.00000000003</v>
      </c>
      <c r="CS32" s="12">
        <f t="shared" si="3"/>
        <v>161678.00000000003</v>
      </c>
      <c r="CT32" s="12">
        <f t="shared" si="3"/>
        <v>119441.66666666667</v>
      </c>
      <c r="CU32" s="12">
        <f t="shared" si="3"/>
        <v>142725.00000000003</v>
      </c>
      <c r="CV32" s="12">
        <f t="shared" si="3"/>
        <v>189695.00000000003</v>
      </c>
      <c r="CW32" s="12">
        <f t="shared" si="3"/>
        <v>182783.33333333334</v>
      </c>
      <c r="CX32" s="12">
        <f t="shared" si="3"/>
        <v>158748.33333333334</v>
      </c>
      <c r="CY32" s="12">
        <f t="shared" si="3"/>
        <v>185808.33333333337</v>
      </c>
      <c r="CZ32" s="12">
        <f t="shared" si="3"/>
        <v>110165.00000000003</v>
      </c>
      <c r="DA32" s="12">
        <f t="shared" si="3"/>
        <v>150296.66666666672</v>
      </c>
      <c r="DB32" s="12">
        <f t="shared" si="3"/>
        <v>146813.33333333334</v>
      </c>
      <c r="DD32" s="36" t="str">
        <f t="shared" si="4"/>
        <v>15/16</v>
      </c>
      <c r="DE32" s="12">
        <f t="shared" si="12"/>
        <v>852474.33333333349</v>
      </c>
      <c r="DF32" s="37">
        <f t="shared" si="13"/>
        <v>-3.5695244128215675E-2</v>
      </c>
    </row>
    <row r="33" spans="3:120" x14ac:dyDescent="0.55000000000000004">
      <c r="C33" s="15" t="s">
        <v>17</v>
      </c>
      <c r="D33" s="12">
        <v>22156.666666666664</v>
      </c>
      <c r="E33" s="12">
        <v>24533.333333333336</v>
      </c>
      <c r="F33" s="12">
        <v>38563.333333333328</v>
      </c>
      <c r="G33" s="12">
        <v>18150.833333333332</v>
      </c>
      <c r="H33" s="12">
        <v>19856.666666666668</v>
      </c>
      <c r="I33" s="12">
        <v>15505.833333333332</v>
      </c>
      <c r="J33" s="12">
        <v>23460</v>
      </c>
      <c r="K33" s="12">
        <v>22808.333333333339</v>
      </c>
      <c r="L33" s="12">
        <v>22865.833333333336</v>
      </c>
      <c r="M33" s="12">
        <v>16054.383333333333</v>
      </c>
      <c r="N33" s="12">
        <v>11223.424999999999</v>
      </c>
      <c r="O33" s="12">
        <v>8785.4249999999975</v>
      </c>
      <c r="Q33" s="36" t="str">
        <f t="shared" si="0"/>
        <v>16/17</v>
      </c>
      <c r="R33" s="12">
        <f t="shared" si="5"/>
        <v>85253.333333333328</v>
      </c>
      <c r="S33" s="37">
        <f t="shared" si="6"/>
        <v>0.48615590226328464</v>
      </c>
      <c r="AG33" s="15" t="s">
        <v>17</v>
      </c>
      <c r="AH33" s="12">
        <v>56349.999999999985</v>
      </c>
      <c r="AI33" s="12">
        <v>119638.3333333333</v>
      </c>
      <c r="AJ33" s="12">
        <v>369418.33333333326</v>
      </c>
      <c r="AK33" s="12">
        <v>91520.833333333372</v>
      </c>
      <c r="AL33" s="12">
        <v>159869.16666666663</v>
      </c>
      <c r="AM33" s="12">
        <v>59435.833333333328</v>
      </c>
      <c r="AN33" s="12">
        <v>69996.666666666657</v>
      </c>
      <c r="AO33" s="12">
        <v>51290</v>
      </c>
      <c r="AP33" s="12">
        <v>50235.833333333314</v>
      </c>
      <c r="AQ33" s="12">
        <v>66185.95</v>
      </c>
      <c r="AR33" s="12">
        <v>107700.94999999997</v>
      </c>
      <c r="AS33" s="12">
        <v>57423.908333333326</v>
      </c>
      <c r="AU33" s="36" t="str">
        <f t="shared" si="1"/>
        <v>16/17</v>
      </c>
      <c r="AV33" s="12">
        <f t="shared" si="7"/>
        <v>545406.66666666651</v>
      </c>
      <c r="AW33" s="37">
        <f t="shared" si="8"/>
        <v>1.2760240035387684</v>
      </c>
      <c r="BL33" s="15" t="s">
        <v>17</v>
      </c>
      <c r="BM33" s="12">
        <v>30935</v>
      </c>
      <c r="BN33" s="12">
        <v>23632.499999999996</v>
      </c>
      <c r="BO33" s="12">
        <v>25204.166666666668</v>
      </c>
      <c r="BP33" s="12">
        <v>19377.5</v>
      </c>
      <c r="BQ33" s="12">
        <v>34902.499999999993</v>
      </c>
      <c r="BR33" s="12">
        <v>90179.166666666657</v>
      </c>
      <c r="BS33" s="12">
        <v>40250</v>
      </c>
      <c r="BT33" s="12">
        <v>52324.999999999993</v>
      </c>
      <c r="BU33" s="12">
        <v>37969.166666666664</v>
      </c>
      <c r="BV33" s="12">
        <v>30182.9</v>
      </c>
      <c r="BW33" s="12">
        <v>11095.774999999998</v>
      </c>
      <c r="BX33" s="12">
        <v>28952.495833333331</v>
      </c>
      <c r="BZ33" s="36" t="str">
        <f t="shared" si="2"/>
        <v>16/17</v>
      </c>
      <c r="CA33" s="12">
        <f t="shared" si="9"/>
        <v>79771.666666666672</v>
      </c>
      <c r="CB33" s="37">
        <f t="shared" si="10"/>
        <v>-0.23012459425637555</v>
      </c>
      <c r="CP33" s="15" t="s">
        <v>17</v>
      </c>
      <c r="CQ33" s="12">
        <f t="shared" si="11"/>
        <v>109441.66666666666</v>
      </c>
      <c r="CR33" s="12">
        <f t="shared" si="3"/>
        <v>167804.16666666663</v>
      </c>
      <c r="CS33" s="12">
        <f t="shared" si="3"/>
        <v>433185.83333333326</v>
      </c>
      <c r="CT33" s="12">
        <f t="shared" si="3"/>
        <v>129049.1666666667</v>
      </c>
      <c r="CU33" s="12">
        <f t="shared" si="3"/>
        <v>214628.33333333328</v>
      </c>
      <c r="CV33" s="12">
        <f t="shared" si="3"/>
        <v>165120.83333333334</v>
      </c>
      <c r="CW33" s="12">
        <f t="shared" si="3"/>
        <v>133706.66666666666</v>
      </c>
      <c r="CX33" s="12">
        <f t="shared" si="3"/>
        <v>126423.33333333334</v>
      </c>
      <c r="CY33" s="12">
        <f t="shared" si="3"/>
        <v>111070.83333333331</v>
      </c>
      <c r="CZ33" s="12">
        <f t="shared" si="3"/>
        <v>112423.23333333334</v>
      </c>
      <c r="DA33" s="12">
        <f t="shared" si="3"/>
        <v>130020.14999999997</v>
      </c>
      <c r="DB33" s="12">
        <f t="shared" si="3"/>
        <v>95161.829166666663</v>
      </c>
      <c r="DD33" s="36" t="str">
        <f t="shared" si="4"/>
        <v>16/17</v>
      </c>
      <c r="DE33" s="12">
        <f t="shared" si="12"/>
        <v>1219229.9999999998</v>
      </c>
      <c r="DF33" s="37">
        <f t="shared" si="13"/>
        <v>0.43022487871580051</v>
      </c>
    </row>
    <row r="34" spans="3:120" x14ac:dyDescent="0.55000000000000004">
      <c r="C34" s="15" t="s">
        <v>18</v>
      </c>
      <c r="D34" s="12">
        <v>12265.0514</v>
      </c>
      <c r="E34" s="12">
        <v>5670.0000000000009</v>
      </c>
      <c r="F34" s="12">
        <v>14658</v>
      </c>
      <c r="G34" s="12">
        <v>14419.124999999998</v>
      </c>
      <c r="H34" s="12">
        <v>6901.3246750000017</v>
      </c>
      <c r="I34" s="12">
        <v>17135.352499999997</v>
      </c>
      <c r="J34" s="12">
        <v>16201.0954</v>
      </c>
      <c r="K34" s="12">
        <v>27211.8</v>
      </c>
      <c r="L34" s="12">
        <v>20756.75</v>
      </c>
      <c r="M34" s="12">
        <v>13938.575000000001</v>
      </c>
      <c r="N34" s="12">
        <v>12416.774999999996</v>
      </c>
      <c r="O34" s="12">
        <v>7990.8388000000014</v>
      </c>
      <c r="Q34" s="36" t="str">
        <f t="shared" si="0"/>
        <v>17/18</v>
      </c>
      <c r="R34" s="12">
        <f t="shared" si="5"/>
        <v>32593.0514</v>
      </c>
      <c r="S34" s="37">
        <f t="shared" si="6"/>
        <v>-0.6176917649358773</v>
      </c>
      <c r="AG34" s="15" t="s">
        <v>18</v>
      </c>
      <c r="AH34" s="12">
        <v>36809.027500000004</v>
      </c>
      <c r="AI34" s="12">
        <v>48836.69000000001</v>
      </c>
      <c r="AJ34" s="12">
        <v>56252.087499999987</v>
      </c>
      <c r="AK34" s="12">
        <v>116548.23249999995</v>
      </c>
      <c r="AL34" s="12">
        <v>88772.057499999981</v>
      </c>
      <c r="AM34" s="12">
        <v>128045.94250000003</v>
      </c>
      <c r="AN34" s="12">
        <v>81731.142499999973</v>
      </c>
      <c r="AO34" s="12">
        <v>92843.677500000005</v>
      </c>
      <c r="AP34" s="12">
        <v>60038.544999999991</v>
      </c>
      <c r="AQ34" s="12">
        <v>78502.04250000001</v>
      </c>
      <c r="AR34" s="12">
        <v>80363.709999999992</v>
      </c>
      <c r="AS34" s="12">
        <v>38629.149999999987</v>
      </c>
      <c r="AU34" s="36" t="str">
        <f t="shared" si="1"/>
        <v>17/18</v>
      </c>
      <c r="AV34" s="12">
        <f t="shared" si="7"/>
        <v>141897.80499999999</v>
      </c>
      <c r="AW34" s="37">
        <f t="shared" si="8"/>
        <v>-0.73983118712642548</v>
      </c>
      <c r="BL34" s="15" t="s">
        <v>18</v>
      </c>
      <c r="BM34" s="12">
        <v>15334.480000000001</v>
      </c>
      <c r="BN34" s="12">
        <v>15950.182500000003</v>
      </c>
      <c r="BO34" s="12">
        <v>58421.999999999993</v>
      </c>
      <c r="BP34" s="12">
        <v>60933.49500000001</v>
      </c>
      <c r="BQ34" s="12">
        <v>56544.180000000015</v>
      </c>
      <c r="BR34" s="12">
        <v>68036.850000000006</v>
      </c>
      <c r="BS34" s="12">
        <v>27301.575000000001</v>
      </c>
      <c r="BT34" s="12">
        <v>51269.925000000003</v>
      </c>
      <c r="BU34" s="12">
        <v>54674.620000000017</v>
      </c>
      <c r="BV34" s="12">
        <v>44445.450000000012</v>
      </c>
      <c r="BW34" s="12">
        <v>39601.274999999994</v>
      </c>
      <c r="BX34" s="12">
        <v>46933.254374999997</v>
      </c>
      <c r="BZ34" s="36" t="str">
        <f t="shared" si="2"/>
        <v>17/18</v>
      </c>
      <c r="CA34" s="12">
        <f t="shared" si="9"/>
        <v>89706.662500000006</v>
      </c>
      <c r="CB34" s="37">
        <f t="shared" si="10"/>
        <v>0.12454291415080543</v>
      </c>
      <c r="CP34" s="15" t="s">
        <v>18</v>
      </c>
      <c r="CQ34" s="12">
        <f t="shared" si="11"/>
        <v>64408.558900000004</v>
      </c>
      <c r="CR34" s="12">
        <f t="shared" si="3"/>
        <v>70456.872500000012</v>
      </c>
      <c r="CS34" s="12">
        <f t="shared" si="3"/>
        <v>129332.08749999998</v>
      </c>
      <c r="CT34" s="12">
        <f t="shared" si="3"/>
        <v>191900.85249999998</v>
      </c>
      <c r="CU34" s="12">
        <f t="shared" si="3"/>
        <v>152217.562175</v>
      </c>
      <c r="CV34" s="12">
        <f t="shared" si="3"/>
        <v>213218.14500000005</v>
      </c>
      <c r="CW34" s="12">
        <f t="shared" si="3"/>
        <v>125233.81289999998</v>
      </c>
      <c r="CX34" s="12">
        <f t="shared" si="3"/>
        <v>171325.4025</v>
      </c>
      <c r="CY34" s="12">
        <f t="shared" si="3"/>
        <v>135469.91500000001</v>
      </c>
      <c r="CZ34" s="12">
        <f t="shared" si="3"/>
        <v>136886.06750000003</v>
      </c>
      <c r="DA34" s="12">
        <f t="shared" si="3"/>
        <v>132381.75999999998</v>
      </c>
      <c r="DB34" s="12">
        <f t="shared" si="3"/>
        <v>93553.243174999981</v>
      </c>
      <c r="DD34" s="36" t="str">
        <f t="shared" si="4"/>
        <v>17/18</v>
      </c>
      <c r="DE34" s="12">
        <f t="shared" si="12"/>
        <v>821534.07857499993</v>
      </c>
      <c r="DF34" s="37">
        <f t="shared" si="13"/>
        <v>-0.32618613504014826</v>
      </c>
    </row>
    <row r="35" spans="3:120" x14ac:dyDescent="0.55000000000000004">
      <c r="C35" s="15" t="s">
        <v>19</v>
      </c>
      <c r="D35" s="12">
        <v>11708.724999999999</v>
      </c>
      <c r="E35" s="12">
        <v>9298.1775250000028</v>
      </c>
      <c r="F35" s="12">
        <v>5670.0000000000009</v>
      </c>
      <c r="G35" s="12">
        <v>19277.93</v>
      </c>
      <c r="H35" s="12">
        <v>11293.1</v>
      </c>
      <c r="I35" s="12">
        <v>13028.155000000001</v>
      </c>
      <c r="J35" s="12">
        <v>10391.465000000002</v>
      </c>
      <c r="K35" s="12">
        <v>15815.518949999998</v>
      </c>
      <c r="L35" s="12">
        <v>38889.453575</v>
      </c>
      <c r="M35" s="12">
        <v>11755.431100000003</v>
      </c>
      <c r="N35" s="12">
        <v>11226.950000000003</v>
      </c>
      <c r="O35" s="12">
        <v>11902.852500000001</v>
      </c>
      <c r="Q35" s="36" t="str">
        <f t="shared" si="0"/>
        <v>18/19</v>
      </c>
      <c r="R35" s="12">
        <f t="shared" si="5"/>
        <v>26676.902525000001</v>
      </c>
      <c r="S35" s="37">
        <f t="shared" si="6"/>
        <v>-0.18151564891527761</v>
      </c>
      <c r="AG35" s="15" t="s">
        <v>19</v>
      </c>
      <c r="AH35" s="12">
        <v>42444.535000000011</v>
      </c>
      <c r="AI35" s="12">
        <v>74375.525000000009</v>
      </c>
      <c r="AJ35" s="12">
        <v>118055.22750000002</v>
      </c>
      <c r="AK35" s="12">
        <v>150100.19500000007</v>
      </c>
      <c r="AL35" s="12">
        <v>75529.58</v>
      </c>
      <c r="AM35" s="12">
        <v>114266.35499999997</v>
      </c>
      <c r="AN35" s="12">
        <v>53618.967499999992</v>
      </c>
      <c r="AO35" s="12">
        <v>63643.930000000015</v>
      </c>
      <c r="AP35" s="12">
        <v>53466.402500000011</v>
      </c>
      <c r="AQ35" s="12">
        <v>69993.945000000007</v>
      </c>
      <c r="AR35" s="12">
        <v>73069.272500000021</v>
      </c>
      <c r="AS35" s="12">
        <v>58878.067499999997</v>
      </c>
      <c r="AU35" s="36" t="str">
        <f t="shared" si="1"/>
        <v>18/19</v>
      </c>
      <c r="AV35" s="12">
        <f t="shared" si="7"/>
        <v>234875.28750000003</v>
      </c>
      <c r="AW35" s="37">
        <f t="shared" si="8"/>
        <v>0.65524257052461143</v>
      </c>
      <c r="BL35" s="15" t="s">
        <v>19</v>
      </c>
      <c r="BM35" s="12">
        <v>50016.050000000017</v>
      </c>
      <c r="BN35" s="12">
        <v>64979.127499999988</v>
      </c>
      <c r="BO35" s="12">
        <v>38871.629999999997</v>
      </c>
      <c r="BP35" s="12">
        <v>89559.959999999992</v>
      </c>
      <c r="BQ35" s="12">
        <v>40258.347500000018</v>
      </c>
      <c r="BR35" s="12">
        <v>53045.982499999984</v>
      </c>
      <c r="BS35" s="12">
        <v>31171.857500000002</v>
      </c>
      <c r="BT35" s="12">
        <v>43379.314999999988</v>
      </c>
      <c r="BU35" s="12">
        <v>50493.239999999983</v>
      </c>
      <c r="BV35" s="12">
        <v>53826.779999999992</v>
      </c>
      <c r="BW35" s="12">
        <v>40581.1175</v>
      </c>
      <c r="BX35" s="12">
        <v>34768.737500000017</v>
      </c>
      <c r="BZ35" s="36" t="str">
        <f t="shared" si="2"/>
        <v>18/19</v>
      </c>
      <c r="CA35" s="12">
        <f t="shared" si="9"/>
        <v>153866.8075</v>
      </c>
      <c r="CB35" s="37">
        <f t="shared" si="10"/>
        <v>0.71522162581848359</v>
      </c>
      <c r="CP35" s="15" t="s">
        <v>19</v>
      </c>
      <c r="CQ35" s="12">
        <f t="shared" si="11"/>
        <v>104169.31000000003</v>
      </c>
      <c r="CR35" s="12">
        <f t="shared" si="3"/>
        <v>148652.830025</v>
      </c>
      <c r="CS35" s="12">
        <f t="shared" si="3"/>
        <v>162596.85750000001</v>
      </c>
      <c r="CT35" s="12">
        <f t="shared" si="3"/>
        <v>258938.08500000005</v>
      </c>
      <c r="CU35" s="12">
        <f t="shared" si="3"/>
        <v>127081.02750000003</v>
      </c>
      <c r="CV35" s="12">
        <f t="shared" si="3"/>
        <v>180340.49249999996</v>
      </c>
      <c r="CW35" s="12">
        <f t="shared" si="3"/>
        <v>95182.29</v>
      </c>
      <c r="CX35" s="12">
        <f t="shared" si="3"/>
        <v>122838.76394999999</v>
      </c>
      <c r="CY35" s="12">
        <f t="shared" si="3"/>
        <v>142849.09607499998</v>
      </c>
      <c r="CZ35" s="12">
        <f t="shared" si="3"/>
        <v>135576.15610000002</v>
      </c>
      <c r="DA35" s="12">
        <f t="shared" si="3"/>
        <v>124877.34000000001</v>
      </c>
      <c r="DB35" s="12">
        <f t="shared" si="3"/>
        <v>105549.65750000003</v>
      </c>
      <c r="DD35" s="36" t="str">
        <f t="shared" si="4"/>
        <v>18/19</v>
      </c>
      <c r="DE35" s="12">
        <f t="shared" si="12"/>
        <v>981778.60252499999</v>
      </c>
      <c r="DF35" s="37">
        <f t="shared" si="13"/>
        <v>0.19505523645221601</v>
      </c>
    </row>
    <row r="36" spans="3:120" x14ac:dyDescent="0.55000000000000004">
      <c r="C36" s="15" t="s">
        <v>20</v>
      </c>
      <c r="D36" s="12">
        <v>20079.62</v>
      </c>
      <c r="E36" s="12">
        <v>7523.9999999999991</v>
      </c>
      <c r="F36" s="12">
        <v>7890.6299999999992</v>
      </c>
      <c r="G36" s="12">
        <v>25296.809999999998</v>
      </c>
      <c r="H36" s="12">
        <v>16192.256666666666</v>
      </c>
      <c r="I36" s="12">
        <v>31684.674999999996</v>
      </c>
      <c r="J36" s="12">
        <v>18768.108333333334</v>
      </c>
      <c r="K36" s="12">
        <v>13198.24</v>
      </c>
      <c r="L36" s="12">
        <v>10051.176666666664</v>
      </c>
      <c r="M36" s="12">
        <v>6907.5050000000019</v>
      </c>
      <c r="N36" s="12">
        <v>8514.1833333333343</v>
      </c>
      <c r="O36" s="12">
        <v>11686.583333333336</v>
      </c>
      <c r="Q36" s="36" t="str">
        <f t="shared" si="0"/>
        <v>19/20</v>
      </c>
      <c r="R36" s="12">
        <f t="shared" si="5"/>
        <v>35494.25</v>
      </c>
      <c r="S36" s="37">
        <f t="shared" si="6"/>
        <v>0.33052366056130045</v>
      </c>
      <c r="AE36" s="38"/>
      <c r="AG36" s="15" t="s">
        <v>20</v>
      </c>
      <c r="AH36" s="12">
        <v>44811.066666666651</v>
      </c>
      <c r="AI36" s="12">
        <v>38791.060000000005</v>
      </c>
      <c r="AJ36" s="12">
        <v>73092.56166666669</v>
      </c>
      <c r="AK36" s="12">
        <v>78652.310000000056</v>
      </c>
      <c r="AL36" s="12">
        <v>112231.9366666667</v>
      </c>
      <c r="AM36" s="12">
        <v>105203.10166666665</v>
      </c>
      <c r="AN36" s="12">
        <v>170304.6620000001</v>
      </c>
      <c r="AO36" s="12">
        <v>86065.594999999987</v>
      </c>
      <c r="AP36" s="12">
        <v>69958.570000000007</v>
      </c>
      <c r="AQ36" s="12">
        <v>55912.120000000017</v>
      </c>
      <c r="AR36" s="12">
        <v>66962.562333333364</v>
      </c>
      <c r="AS36" s="12">
        <v>64111.666666666686</v>
      </c>
      <c r="AU36" s="36" t="str">
        <f t="shared" si="1"/>
        <v>19/20</v>
      </c>
      <c r="AV36" s="12">
        <f t="shared" si="7"/>
        <v>156694.68833333335</v>
      </c>
      <c r="AW36" s="37">
        <f t="shared" si="8"/>
        <v>-0.33286004670315372</v>
      </c>
      <c r="BL36" s="15" t="s">
        <v>20</v>
      </c>
      <c r="BM36" s="12">
        <v>52800.605000000003</v>
      </c>
      <c r="BN36" s="12">
        <v>45008.461666666655</v>
      </c>
      <c r="BO36" s="12">
        <v>50126.67</v>
      </c>
      <c r="BP36" s="12">
        <v>27219.609999999997</v>
      </c>
      <c r="BQ36" s="12">
        <v>64276.138666666666</v>
      </c>
      <c r="BR36" s="12">
        <v>35184.031666666662</v>
      </c>
      <c r="BS36" s="12">
        <v>31466.38</v>
      </c>
      <c r="BT36" s="12">
        <v>24819.025000000001</v>
      </c>
      <c r="BU36" s="12">
        <v>37503.242333333328</v>
      </c>
      <c r="BV36" s="12">
        <v>36557.106666666659</v>
      </c>
      <c r="BW36" s="12">
        <v>13640.146666666667</v>
      </c>
      <c r="BX36" s="12">
        <v>26204.33566666667</v>
      </c>
      <c r="BZ36" s="36" t="str">
        <f t="shared" si="2"/>
        <v>19/20</v>
      </c>
      <c r="CA36" s="12">
        <f t="shared" si="9"/>
        <v>147935.73666666663</v>
      </c>
      <c r="CB36" s="37">
        <f t="shared" si="10"/>
        <v>-3.8546785558889018E-2</v>
      </c>
      <c r="CP36" s="15" t="s">
        <v>20</v>
      </c>
      <c r="CQ36" s="12">
        <f t="shared" si="11"/>
        <v>117691.29166666666</v>
      </c>
      <c r="CR36" s="12">
        <f t="shared" si="3"/>
        <v>91323.521666666667</v>
      </c>
      <c r="CS36" s="12">
        <f t="shared" si="3"/>
        <v>131109.86166666669</v>
      </c>
      <c r="CT36" s="12">
        <f t="shared" si="3"/>
        <v>131168.73000000004</v>
      </c>
      <c r="CU36" s="12">
        <f t="shared" si="3"/>
        <v>192700.33200000002</v>
      </c>
      <c r="CV36" s="12">
        <f t="shared" si="3"/>
        <v>172071.80833333329</v>
      </c>
      <c r="CW36" s="12">
        <f t="shared" si="3"/>
        <v>220539.15033333344</v>
      </c>
      <c r="CX36" s="12">
        <f t="shared" si="3"/>
        <v>124082.86</v>
      </c>
      <c r="CY36" s="12">
        <f t="shared" si="3"/>
        <v>117512.989</v>
      </c>
      <c r="CZ36" s="12">
        <f t="shared" si="3"/>
        <v>99376.731666666688</v>
      </c>
      <c r="DA36" s="12">
        <f t="shared" si="3"/>
        <v>89116.892333333366</v>
      </c>
      <c r="DB36" s="12">
        <f t="shared" si="3"/>
        <v>102002.58566666668</v>
      </c>
      <c r="DD36" s="36" t="str">
        <f t="shared" si="4"/>
        <v>19/20</v>
      </c>
      <c r="DE36" s="12">
        <f t="shared" si="12"/>
        <v>836065.54533333331</v>
      </c>
      <c r="DF36" s="37">
        <f t="shared" si="13"/>
        <v>-0.14841743017917952</v>
      </c>
    </row>
    <row r="37" spans="3:120" x14ac:dyDescent="0.55000000000000004">
      <c r="C37" s="15" t="s">
        <v>21</v>
      </c>
      <c r="D37" s="12">
        <v>6093.2666666666682</v>
      </c>
      <c r="E37" s="12">
        <v>10293.433333333334</v>
      </c>
      <c r="F37" s="12">
        <v>15666.749999999998</v>
      </c>
      <c r="G37" s="12">
        <v>18823.933333333331</v>
      </c>
      <c r="H37" s="12">
        <v>7398.9666666666662</v>
      </c>
      <c r="I37" s="12">
        <v>19996.166666666668</v>
      </c>
      <c r="J37" s="12">
        <v>19333.966666666667</v>
      </c>
      <c r="K37" s="12">
        <v>11333.666666666666</v>
      </c>
      <c r="L37" s="12">
        <v>8624.0000000000018</v>
      </c>
      <c r="M37" s="12">
        <v>11326.333333333332</v>
      </c>
      <c r="N37" s="12">
        <v>17940.999999999996</v>
      </c>
      <c r="O37" s="12">
        <v>20133.666666666664</v>
      </c>
      <c r="Q37" s="36" t="str">
        <f t="shared" si="0"/>
        <v>20/21</v>
      </c>
      <c r="R37" s="12">
        <f t="shared" si="5"/>
        <v>32053.450000000004</v>
      </c>
      <c r="S37" s="37">
        <f t="shared" si="6"/>
        <v>-9.6939645153792386E-2</v>
      </c>
      <c r="AG37" s="15" t="s">
        <v>21</v>
      </c>
      <c r="AH37" s="12">
        <v>66644.508333333346</v>
      </c>
      <c r="AI37" s="12">
        <v>41752.853999999999</v>
      </c>
      <c r="AJ37" s="12">
        <v>48159.336499999998</v>
      </c>
      <c r="AK37" s="12">
        <v>40986.678333333322</v>
      </c>
      <c r="AL37" s="12">
        <v>57638.203333333338</v>
      </c>
      <c r="AM37" s="12">
        <v>98531.766666666706</v>
      </c>
      <c r="AN37" s="12">
        <v>79612.866666666654</v>
      </c>
      <c r="AO37" s="12">
        <v>95454.883333333375</v>
      </c>
      <c r="AP37" s="12">
        <v>63892.546666666676</v>
      </c>
      <c r="AQ37" s="12">
        <v>75854.900000000052</v>
      </c>
      <c r="AR37" s="12">
        <v>66064.900000000009</v>
      </c>
      <c r="AS37" s="12">
        <v>82561.746666666688</v>
      </c>
      <c r="AU37" s="36" t="str">
        <f t="shared" si="1"/>
        <v>20/21</v>
      </c>
      <c r="AV37" s="12">
        <f t="shared" si="7"/>
        <v>156556.69883333336</v>
      </c>
      <c r="AW37" s="37">
        <f t="shared" si="8"/>
        <v>-8.8062653219267428E-4</v>
      </c>
      <c r="BL37" s="15" t="s">
        <v>21</v>
      </c>
      <c r="BM37" s="12">
        <v>4614.2937500000007</v>
      </c>
      <c r="BN37" s="12">
        <v>16856.137833333334</v>
      </c>
      <c r="BO37" s="12">
        <v>21886.205000000005</v>
      </c>
      <c r="BP37" s="12">
        <v>34764.455000000002</v>
      </c>
      <c r="BQ37" s="12">
        <v>43560.000000000007</v>
      </c>
      <c r="BR37" s="12">
        <v>85837.308333333407</v>
      </c>
      <c r="BS37" s="12">
        <v>23671.999999999996</v>
      </c>
      <c r="BT37" s="12">
        <v>30257.333333333328</v>
      </c>
      <c r="BU37" s="12">
        <v>16639.333333333336</v>
      </c>
      <c r="BV37" s="12">
        <v>27217.666666666664</v>
      </c>
      <c r="BW37" s="12">
        <v>21879.000000000004</v>
      </c>
      <c r="BX37" s="12">
        <v>22427.533333333333</v>
      </c>
      <c r="BZ37" s="36" t="str">
        <f t="shared" si="2"/>
        <v>20/21</v>
      </c>
      <c r="CA37" s="12">
        <f t="shared" si="9"/>
        <v>43356.63658333334</v>
      </c>
      <c r="CB37" s="37">
        <f t="shared" si="10"/>
        <v>-0.70692249513026151</v>
      </c>
      <c r="CP37" s="15" t="s">
        <v>21</v>
      </c>
      <c r="CQ37" s="12">
        <f t="shared" si="11"/>
        <v>77352.068750000006</v>
      </c>
      <c r="CR37" s="12">
        <f t="shared" si="3"/>
        <v>68902.425166666668</v>
      </c>
      <c r="CS37" s="12">
        <f t="shared" si="3"/>
        <v>85712.291500000007</v>
      </c>
      <c r="CT37" s="12">
        <f t="shared" si="3"/>
        <v>94575.066666666666</v>
      </c>
      <c r="CU37" s="12">
        <f t="shared" si="3"/>
        <v>108597.17</v>
      </c>
      <c r="CV37" s="12">
        <f t="shared" si="3"/>
        <v>204365.24166666679</v>
      </c>
      <c r="CW37" s="12">
        <f t="shared" si="3"/>
        <v>122618.83333333331</v>
      </c>
      <c r="CX37" s="12">
        <f t="shared" si="3"/>
        <v>137045.88333333336</v>
      </c>
      <c r="CY37" s="12">
        <f t="shared" si="3"/>
        <v>89155.88</v>
      </c>
      <c r="CZ37" s="12">
        <f t="shared" si="3"/>
        <v>114398.90000000004</v>
      </c>
      <c r="DA37" s="12">
        <f t="shared" si="3"/>
        <v>105884.90000000001</v>
      </c>
      <c r="DB37" s="12">
        <f t="shared" si="3"/>
        <v>125122.94666666668</v>
      </c>
      <c r="DD37" s="36" t="str">
        <f t="shared" si="4"/>
        <v>20/21</v>
      </c>
      <c r="DE37" s="12">
        <f t="shared" si="12"/>
        <v>639504.26375000004</v>
      </c>
      <c r="DF37" s="37">
        <f t="shared" si="13"/>
        <v>-0.23510271734133681</v>
      </c>
    </row>
    <row r="38" spans="3:120" x14ac:dyDescent="0.55000000000000004">
      <c r="C38" s="15" t="s">
        <v>22</v>
      </c>
      <c r="D38" s="12">
        <v>11436.33333333333</v>
      </c>
      <c r="E38" s="12">
        <v>19084.999999999996</v>
      </c>
      <c r="F38" s="12">
        <v>15873</v>
      </c>
      <c r="G38" s="12">
        <v>16151.666666666666</v>
      </c>
      <c r="H38" s="12">
        <v>57153.799999999988</v>
      </c>
      <c r="I38" s="12">
        <v>88441.650000000067</v>
      </c>
      <c r="J38" s="12">
        <v>212325.66666666669</v>
      </c>
      <c r="K38" s="12">
        <v>30620.333333333339</v>
      </c>
      <c r="L38" s="12">
        <v>27819</v>
      </c>
      <c r="M38" s="12">
        <v>31205.254666666671</v>
      </c>
      <c r="N38" s="12">
        <v>21878.736000000008</v>
      </c>
      <c r="O38" s="12">
        <v>1166.0000000000002</v>
      </c>
      <c r="Q38" s="36" t="str">
        <f t="shared" si="0"/>
        <v>21/22</v>
      </c>
      <c r="R38" s="12">
        <f t="shared" si="5"/>
        <v>46394.333333333328</v>
      </c>
      <c r="S38" s="37">
        <f t="shared" si="6"/>
        <v>0.44740529750567637</v>
      </c>
      <c r="AG38" s="15" t="s">
        <v>22</v>
      </c>
      <c r="AH38" s="12">
        <v>64406.283333333347</v>
      </c>
      <c r="AI38" s="12">
        <v>72052.383333333346</v>
      </c>
      <c r="AJ38" s="12">
        <v>158341.51666666684</v>
      </c>
      <c r="AK38" s="12">
        <v>376276.26666666666</v>
      </c>
      <c r="AL38" s="12">
        <v>160924.50000000015</v>
      </c>
      <c r="AM38" s="12">
        <f>AVERAGE(AL38,AN38)</f>
        <v>259677.73333333345</v>
      </c>
      <c r="AN38" s="12">
        <v>358430.96666666673</v>
      </c>
      <c r="AO38" s="12">
        <v>103357.65</v>
      </c>
      <c r="AP38" s="12">
        <v>132043.08333333334</v>
      </c>
      <c r="AQ38" s="12">
        <v>66785.583333333343</v>
      </c>
      <c r="AR38" s="12">
        <v>56818.666666666679</v>
      </c>
      <c r="AS38" s="12">
        <v>62834.933333333334</v>
      </c>
      <c r="AU38" s="36" t="str">
        <f t="shared" si="1"/>
        <v>21/22</v>
      </c>
      <c r="AV38" s="12">
        <f t="shared" si="7"/>
        <v>294800.18333333352</v>
      </c>
      <c r="AW38" s="37">
        <f t="shared" si="8"/>
        <v>0.88302503521213738</v>
      </c>
      <c r="BL38" s="15" t="s">
        <v>22</v>
      </c>
      <c r="BM38" s="12">
        <v>9401.3333333333339</v>
      </c>
      <c r="BN38" s="12">
        <v>13755.500000000002</v>
      </c>
      <c r="BO38" s="12">
        <v>36075.783333333326</v>
      </c>
      <c r="BP38" s="12">
        <v>61581.666666666672</v>
      </c>
      <c r="BQ38" s="12">
        <f>8169/0.06</f>
        <v>136150</v>
      </c>
      <c r="BR38" s="12">
        <v>121403.6083333334</v>
      </c>
      <c r="BS38" s="12">
        <v>33292.416666666679</v>
      </c>
      <c r="BT38" s="12">
        <v>61728.333333333336</v>
      </c>
      <c r="BU38" s="12">
        <v>23187.195166666676</v>
      </c>
      <c r="BV38" s="12">
        <v>11755.333333333338</v>
      </c>
      <c r="BW38" s="12">
        <v>11258.500000000004</v>
      </c>
      <c r="BX38" s="12">
        <v>17036.756000000001</v>
      </c>
      <c r="BZ38" s="36" t="str">
        <f t="shared" si="2"/>
        <v>21/22</v>
      </c>
      <c r="CA38" s="12">
        <f t="shared" si="9"/>
        <v>59232.616666666661</v>
      </c>
      <c r="CB38" s="37">
        <f t="shared" si="10"/>
        <v>0.36617185590074541</v>
      </c>
      <c r="CP38" s="15" t="s">
        <v>22</v>
      </c>
      <c r="CQ38" s="12">
        <f t="shared" si="11"/>
        <v>85243.950000000012</v>
      </c>
      <c r="CR38" s="12">
        <f t="shared" si="3"/>
        <v>104892.88333333335</v>
      </c>
      <c r="CS38" s="12">
        <f t="shared" si="3"/>
        <v>210290.30000000016</v>
      </c>
      <c r="CT38" s="12">
        <f t="shared" si="3"/>
        <v>454009.60000000003</v>
      </c>
      <c r="CU38" s="12">
        <f t="shared" si="3"/>
        <v>354228.3000000001</v>
      </c>
      <c r="CV38" s="12">
        <f t="shared" si="3"/>
        <v>469522.99166666693</v>
      </c>
      <c r="CW38" s="12">
        <f t="shared" si="3"/>
        <v>604049.05000000005</v>
      </c>
      <c r="CX38" s="12">
        <f t="shared" si="3"/>
        <v>195706.31666666668</v>
      </c>
      <c r="CY38" s="12">
        <f t="shared" si="3"/>
        <v>183049.27850000001</v>
      </c>
      <c r="CZ38" s="12">
        <f t="shared" si="3"/>
        <v>109746.17133333336</v>
      </c>
      <c r="DA38" s="12">
        <f t="shared" si="3"/>
        <v>89955.90266666669</v>
      </c>
      <c r="DB38" s="12">
        <f t="shared" si="3"/>
        <v>81037.689333333343</v>
      </c>
      <c r="DD38" s="36" t="str">
        <f t="shared" si="4"/>
        <v>21/22</v>
      </c>
      <c r="DE38" s="12">
        <f t="shared" si="12"/>
        <v>1678188.0250000006</v>
      </c>
      <c r="DF38" s="37">
        <f t="shared" si="13"/>
        <v>1.6242014637388733</v>
      </c>
    </row>
    <row r="39" spans="3:120" x14ac:dyDescent="0.55000000000000004">
      <c r="C39" s="15" t="s">
        <v>23</v>
      </c>
      <c r="D39" s="12">
        <v>8070.7366666666685</v>
      </c>
      <c r="E39" s="12">
        <v>26172.666666666672</v>
      </c>
      <c r="F39" s="12">
        <v>71366.666666666672</v>
      </c>
      <c r="G39" s="12">
        <v>55200</v>
      </c>
      <c r="H39" s="12">
        <v>68483.333333333343</v>
      </c>
      <c r="I39" s="12">
        <v>91866.666666666672</v>
      </c>
      <c r="J39" s="12">
        <v>59683.333333333336</v>
      </c>
      <c r="K39" s="12">
        <v>59250</v>
      </c>
      <c r="L39" s="12">
        <v>77566.666666666672</v>
      </c>
      <c r="M39" s="12">
        <v>63133.333333333336</v>
      </c>
      <c r="N39" s="12">
        <v>35683.333333333336</v>
      </c>
      <c r="O39" s="12">
        <v>16333.333333333334</v>
      </c>
      <c r="Q39" s="36" t="str">
        <f t="shared" si="0"/>
        <v>22/23</v>
      </c>
      <c r="R39" s="12">
        <f t="shared" si="5"/>
        <v>105610.07</v>
      </c>
      <c r="S39" s="37">
        <f t="shared" si="6"/>
        <v>1.2763570982088335</v>
      </c>
      <c r="AG39" s="15" t="s">
        <v>23</v>
      </c>
      <c r="AH39" s="12">
        <v>67829.666666666657</v>
      </c>
      <c r="AI39" s="12">
        <v>78679.333333333314</v>
      </c>
      <c r="AJ39" s="12">
        <v>187100</v>
      </c>
      <c r="AK39" s="12">
        <v>154700</v>
      </c>
      <c r="AL39" s="12">
        <v>193750</v>
      </c>
      <c r="AM39" s="12">
        <v>116950</v>
      </c>
      <c r="AN39" s="12">
        <v>86633.333333333343</v>
      </c>
      <c r="AO39" s="12">
        <v>132833.33333333334</v>
      </c>
      <c r="AP39" s="12">
        <v>44700</v>
      </c>
      <c r="AQ39" s="12">
        <v>60383.333333333336</v>
      </c>
      <c r="AR39" s="12">
        <v>25166.666666666668</v>
      </c>
      <c r="AS39" s="12">
        <v>18550</v>
      </c>
      <c r="AU39" s="36" t="str">
        <f t="shared" si="1"/>
        <v>22/23</v>
      </c>
      <c r="AV39" s="12">
        <f t="shared" si="7"/>
        <v>333609</v>
      </c>
      <c r="AW39" s="37">
        <f t="shared" si="8"/>
        <v>0.13164447941602853</v>
      </c>
      <c r="BL39" s="15" t="s">
        <v>23</v>
      </c>
      <c r="BM39" s="12">
        <v>12085.333333333336</v>
      </c>
      <c r="BN39" s="12">
        <v>22175.816666666673</v>
      </c>
      <c r="BO39" s="12">
        <v>35900</v>
      </c>
      <c r="BP39" s="12">
        <v>40300</v>
      </c>
      <c r="BQ39" s="12">
        <v>62666.666666666672</v>
      </c>
      <c r="BR39" s="12">
        <v>57483.333333333336</v>
      </c>
      <c r="BS39" s="12">
        <v>86216.666666666672</v>
      </c>
      <c r="BT39" s="12">
        <v>44966.666666666672</v>
      </c>
      <c r="BU39" s="12">
        <v>65650</v>
      </c>
      <c r="BV39" s="12">
        <v>38166.666666666672</v>
      </c>
      <c r="BW39" s="12">
        <v>56983.333333333336</v>
      </c>
      <c r="BX39" s="12">
        <v>40083.333333333336</v>
      </c>
      <c r="BZ39" s="36" t="str">
        <f t="shared" si="2"/>
        <v>22/23</v>
      </c>
      <c r="CA39" s="12">
        <f t="shared" si="9"/>
        <v>70161.150000000009</v>
      </c>
      <c r="CB39" s="37">
        <f t="shared" si="10"/>
        <v>0.18450195092399846</v>
      </c>
      <c r="CP39" s="15" t="s">
        <v>23</v>
      </c>
      <c r="CQ39" s="12">
        <f t="shared" si="11"/>
        <v>87985.736666666664</v>
      </c>
      <c r="CR39" s="12">
        <f t="shared" si="3"/>
        <v>127027.81666666667</v>
      </c>
      <c r="CS39" s="12">
        <f t="shared" si="3"/>
        <v>294366.66666666669</v>
      </c>
      <c r="CT39" s="12">
        <f t="shared" si="3"/>
        <v>250200</v>
      </c>
      <c r="CU39" s="12">
        <f t="shared" si="3"/>
        <v>324900</v>
      </c>
      <c r="CV39" s="12">
        <f t="shared" si="3"/>
        <v>266300</v>
      </c>
      <c r="CW39" s="12">
        <f t="shared" si="3"/>
        <v>232533.33333333334</v>
      </c>
      <c r="CX39" s="12">
        <f t="shared" si="3"/>
        <v>237050</v>
      </c>
      <c r="CY39" s="12">
        <f t="shared" si="3"/>
        <v>187916.66666666669</v>
      </c>
      <c r="CZ39" s="12">
        <f t="shared" si="3"/>
        <v>161683.33333333334</v>
      </c>
      <c r="DA39" s="12">
        <f t="shared" si="3"/>
        <v>117833.33333333334</v>
      </c>
      <c r="DB39" s="12">
        <f t="shared" si="3"/>
        <v>74966.666666666672</v>
      </c>
      <c r="DD39" s="36" t="str">
        <f t="shared" si="4"/>
        <v>22/23</v>
      </c>
      <c r="DE39" s="12">
        <f t="shared" si="12"/>
        <v>1350780.22</v>
      </c>
      <c r="DF39" s="37">
        <f t="shared" si="13"/>
        <v>-0.19509602030439976</v>
      </c>
    </row>
    <row r="40" spans="3:120" x14ac:dyDescent="0.55000000000000004">
      <c r="C40" s="15" t="s">
        <v>24</v>
      </c>
      <c r="D40" s="12">
        <v>18183.333333333336</v>
      </c>
      <c r="E40" s="12">
        <v>36566.666666666672</v>
      </c>
      <c r="F40" s="12">
        <v>157050</v>
      </c>
      <c r="G40" s="12">
        <v>136250</v>
      </c>
      <c r="H40" s="12">
        <v>104483.33333333334</v>
      </c>
      <c r="I40" s="12">
        <v>112566.66666666667</v>
      </c>
      <c r="J40" s="12">
        <v>88433.333333333343</v>
      </c>
      <c r="K40" s="12">
        <v>62675</v>
      </c>
      <c r="L40" s="12">
        <v>36916.666666666672</v>
      </c>
      <c r="M40" s="12">
        <v>36050</v>
      </c>
      <c r="N40" s="12">
        <v>19666.666666666668</v>
      </c>
      <c r="O40" s="12">
        <f>1159/0.06</f>
        <v>19316.666666666668</v>
      </c>
      <c r="Q40" s="36" t="str">
        <f t="shared" si="0"/>
        <v>23/24</v>
      </c>
      <c r="R40" s="12">
        <f t="shared" si="5"/>
        <v>211800</v>
      </c>
      <c r="S40" s="37">
        <f t="shared" si="6"/>
        <v>1.0054905749044574</v>
      </c>
      <c r="AG40" s="15" t="s">
        <v>24</v>
      </c>
      <c r="AH40" s="12">
        <v>24566.666666666668</v>
      </c>
      <c r="AI40" s="12">
        <v>62166.666666666672</v>
      </c>
      <c r="AJ40" s="12">
        <v>85233.333333333343</v>
      </c>
      <c r="AK40" s="12">
        <v>98266.666666666672</v>
      </c>
      <c r="AL40" s="12">
        <v>90016.666666666672</v>
      </c>
      <c r="AM40" s="12">
        <v>108666.66666666667</v>
      </c>
      <c r="AN40" s="12">
        <v>61016.666666666672</v>
      </c>
      <c r="AO40" s="12">
        <v>46750</v>
      </c>
      <c r="AP40" s="12">
        <v>32483.333333333336</v>
      </c>
      <c r="AQ40" s="12">
        <v>42266.666666666672</v>
      </c>
      <c r="AR40" s="12">
        <v>46850</v>
      </c>
      <c r="AS40" s="12">
        <f>1724/0.06</f>
        <v>28733.333333333336</v>
      </c>
      <c r="AU40" s="36" t="str">
        <f t="shared" si="1"/>
        <v>23/24</v>
      </c>
      <c r="AV40" s="12">
        <f t="shared" si="7"/>
        <v>171966.66666666669</v>
      </c>
      <c r="AW40" s="37">
        <f t="shared" si="8"/>
        <v>-0.48452629675258552</v>
      </c>
      <c r="BL40" s="15" t="s">
        <v>24</v>
      </c>
      <c r="BM40" s="12">
        <v>21233.333333333336</v>
      </c>
      <c r="BN40" s="12">
        <v>26583.333333333336</v>
      </c>
      <c r="BO40" s="12">
        <v>56016.666666666672</v>
      </c>
      <c r="BP40" s="12">
        <v>65583.333333333343</v>
      </c>
      <c r="BQ40" s="12">
        <v>50250</v>
      </c>
      <c r="BR40" s="12">
        <v>47716.666666666672</v>
      </c>
      <c r="BS40" s="12">
        <v>46600</v>
      </c>
      <c r="BT40" s="12">
        <v>41475</v>
      </c>
      <c r="BU40" s="12">
        <v>36350</v>
      </c>
      <c r="BV40" s="12">
        <v>29933.333333333336</v>
      </c>
      <c r="BW40" s="12">
        <v>33666.666666666672</v>
      </c>
      <c r="BX40" s="12">
        <f>2294/0.06</f>
        <v>38233.333333333336</v>
      </c>
      <c r="BZ40" s="36" t="str">
        <f t="shared" si="2"/>
        <v>23/24</v>
      </c>
      <c r="CA40" s="12">
        <f t="shared" si="9"/>
        <v>103833.33333333334</v>
      </c>
      <c r="CB40" s="37">
        <f t="shared" si="10"/>
        <v>0.4799263315001725</v>
      </c>
      <c r="CP40" s="15" t="s">
        <v>24</v>
      </c>
      <c r="CQ40" s="12">
        <f t="shared" si="11"/>
        <v>63983.333333333336</v>
      </c>
      <c r="CR40" s="12">
        <f t="shared" si="3"/>
        <v>125316.66666666667</v>
      </c>
      <c r="CS40" s="12">
        <f t="shared" si="3"/>
        <v>298300</v>
      </c>
      <c r="CT40" s="12">
        <f t="shared" si="3"/>
        <v>300100</v>
      </c>
      <c r="CU40" s="12">
        <f t="shared" si="3"/>
        <v>244750.00000000003</v>
      </c>
      <c r="CV40" s="12">
        <f t="shared" si="3"/>
        <v>268950</v>
      </c>
      <c r="CW40" s="12">
        <f t="shared" si="3"/>
        <v>196050</v>
      </c>
      <c r="CX40" s="12">
        <f t="shared" si="3"/>
        <v>150900</v>
      </c>
      <c r="CY40" s="12">
        <f t="shared" si="3"/>
        <v>105750.00000000001</v>
      </c>
      <c r="CZ40" s="12">
        <f t="shared" si="3"/>
        <v>108250</v>
      </c>
      <c r="DA40" s="12">
        <f t="shared" si="3"/>
        <v>100183.33333333334</v>
      </c>
      <c r="DB40" s="12">
        <f t="shared" si="3"/>
        <v>86283.333333333343</v>
      </c>
      <c r="DD40" s="36" t="str">
        <f t="shared" si="4"/>
        <v>23/24</v>
      </c>
      <c r="DE40" s="12">
        <f t="shared" si="12"/>
        <v>1301400</v>
      </c>
      <c r="DF40" s="37">
        <f t="shared" si="13"/>
        <v>-3.6556813069116401E-2</v>
      </c>
    </row>
    <row r="41" spans="3:120" x14ac:dyDescent="0.55000000000000004">
      <c r="C41" s="15" t="s">
        <v>25</v>
      </c>
      <c r="D41" s="12">
        <f>2147/0.06</f>
        <v>35783.333333333336</v>
      </c>
      <c r="E41" s="12">
        <f>3552/0.06</f>
        <v>59200</v>
      </c>
      <c r="F41" s="12">
        <f>11190/0.06</f>
        <v>186500</v>
      </c>
      <c r="G41" s="12">
        <f>9370/0.06</f>
        <v>156166.66666666669</v>
      </c>
      <c r="H41" s="12">
        <f>5825/0.06</f>
        <v>97083.333333333343</v>
      </c>
      <c r="I41" s="12">
        <f>4053/0.06</f>
        <v>67550</v>
      </c>
      <c r="J41" s="12">
        <f>7180/0.06</f>
        <v>119666.66666666667</v>
      </c>
      <c r="K41" s="12">
        <f>6024/0.06</f>
        <v>100400</v>
      </c>
      <c r="L41" s="12">
        <f>5803/0.06</f>
        <v>96716.666666666672</v>
      </c>
      <c r="M41" s="12">
        <f>AVERAGE(L41,N41)</f>
        <v>79083.333333333343</v>
      </c>
      <c r="N41" s="12">
        <f>3687/0.06</f>
        <v>61450</v>
      </c>
      <c r="O41" s="12">
        <f>2277/0.06</f>
        <v>37950</v>
      </c>
      <c r="Q41" s="15" t="s">
        <v>25</v>
      </c>
      <c r="R41" s="12">
        <f t="shared" si="5"/>
        <v>281483.33333333337</v>
      </c>
      <c r="S41" s="37">
        <f t="shared" si="6"/>
        <v>0.32900535096002526</v>
      </c>
      <c r="AE41" s="39"/>
      <c r="AG41" s="15" t="s">
        <v>25</v>
      </c>
      <c r="AH41" s="12">
        <f>1330/0.06</f>
        <v>22166.666666666668</v>
      </c>
      <c r="AI41" s="12">
        <f>1178/0.06</f>
        <v>19633.333333333336</v>
      </c>
      <c r="AJ41" s="12">
        <f>3976/0.06</f>
        <v>66266.666666666672</v>
      </c>
      <c r="AK41" s="12">
        <f>3040/0.06</f>
        <v>50666.666666666672</v>
      </c>
      <c r="AL41" s="12">
        <f>8809/0.06</f>
        <v>146816.66666666669</v>
      </c>
      <c r="AM41" s="12">
        <f>7085/0.06</f>
        <v>118083.33333333334</v>
      </c>
      <c r="AN41" s="12">
        <f>5641/0.06</f>
        <v>94016.666666666672</v>
      </c>
      <c r="AO41" s="12">
        <f>6118/0.06</f>
        <v>101966.66666666667</v>
      </c>
      <c r="AP41" s="12">
        <f>3646/0.06</f>
        <v>60766.666666666672</v>
      </c>
      <c r="AQ41" s="12">
        <f>AVERAGE(AP41,AR41)</f>
        <v>46275</v>
      </c>
      <c r="AR41" s="12">
        <f>1907/0.06</f>
        <v>31783.333333333336</v>
      </c>
      <c r="AS41" s="12">
        <f>3656/0.06</f>
        <v>60933.333333333336</v>
      </c>
      <c r="AU41" s="15" t="s">
        <v>25</v>
      </c>
      <c r="AV41" s="12">
        <f t="shared" si="7"/>
        <v>108066.66666666667</v>
      </c>
      <c r="AW41" s="37">
        <f t="shared" si="8"/>
        <v>-0.37158364024035673</v>
      </c>
      <c r="BL41" s="15" t="s">
        <v>25</v>
      </c>
      <c r="BM41" s="12">
        <f>1235/0.06</f>
        <v>20583.333333333336</v>
      </c>
      <c r="BN41" s="12">
        <f>2105/0.06</f>
        <v>35083.333333333336</v>
      </c>
      <c r="BO41" s="12">
        <f>1898/0.06</f>
        <v>31633.333333333336</v>
      </c>
      <c r="BP41" s="12">
        <f>3195/0.06</f>
        <v>53250</v>
      </c>
      <c r="BQ41" s="12">
        <f>3634/0.06</f>
        <v>60566.666666666672</v>
      </c>
      <c r="BR41" s="12">
        <f>6081/0.06</f>
        <v>101350</v>
      </c>
      <c r="BS41" s="12">
        <f>2165/0.06</f>
        <v>36083.333333333336</v>
      </c>
      <c r="BT41" s="12">
        <f>AVERAGE(BS41,BU41)</f>
        <v>42258.333333333336</v>
      </c>
      <c r="BU41" s="12">
        <f>2906/0.06</f>
        <v>48433.333333333336</v>
      </c>
      <c r="BV41" s="12">
        <f>AVERAGE(BU41,BW41)</f>
        <v>40725</v>
      </c>
      <c r="BW41" s="12">
        <f>1981/0.06</f>
        <v>33016.666666666672</v>
      </c>
      <c r="BX41" s="12">
        <f>2286/0.06</f>
        <v>38100</v>
      </c>
      <c r="BZ41" s="15" t="s">
        <v>25</v>
      </c>
      <c r="CA41" s="12">
        <f t="shared" si="9"/>
        <v>87300</v>
      </c>
      <c r="CB41" s="37">
        <f t="shared" si="10"/>
        <v>-0.15922953451043342</v>
      </c>
      <c r="CP41" s="15" t="s">
        <v>25</v>
      </c>
      <c r="CQ41" s="12">
        <f t="shared" si="11"/>
        <v>78533.333333333343</v>
      </c>
      <c r="CR41" s="12">
        <f t="shared" si="3"/>
        <v>113916.66666666667</v>
      </c>
      <c r="CS41" s="12">
        <f t="shared" si="3"/>
        <v>284400</v>
      </c>
      <c r="CT41" s="12">
        <f t="shared" si="3"/>
        <v>260083.33333333337</v>
      </c>
      <c r="CU41" s="12">
        <f t="shared" si="3"/>
        <v>304466.66666666674</v>
      </c>
      <c r="CV41" s="12">
        <f t="shared" si="3"/>
        <v>286983.33333333337</v>
      </c>
      <c r="CW41" s="12">
        <f t="shared" si="3"/>
        <v>249766.66666666669</v>
      </c>
      <c r="CX41" s="12">
        <f t="shared" ref="CX41" si="14">BT41+AO41+K41</f>
        <v>244625</v>
      </c>
      <c r="CY41" s="12">
        <f t="shared" ref="CY41" si="15">BU41+AP41+L41</f>
        <v>205916.66666666669</v>
      </c>
      <c r="CZ41" s="12">
        <f t="shared" si="3"/>
        <v>166083.33333333334</v>
      </c>
      <c r="DA41" s="12">
        <f t="shared" si="3"/>
        <v>126250</v>
      </c>
      <c r="DB41" s="12">
        <f t="shared" si="3"/>
        <v>136983.33333333334</v>
      </c>
      <c r="DD41" s="15" t="s">
        <v>25</v>
      </c>
      <c r="DE41" s="12">
        <f t="shared" si="12"/>
        <v>1328383.3333333335</v>
      </c>
      <c r="DF41" s="37">
        <f t="shared" si="13"/>
        <v>2.0734081245837865E-2</v>
      </c>
    </row>
    <row r="42" spans="3:120" x14ac:dyDescent="0.55000000000000004">
      <c r="C42" s="15" t="s">
        <v>26</v>
      </c>
      <c r="D42" s="12">
        <f>2035/0.06</f>
        <v>33916.666666666672</v>
      </c>
      <c r="E42" s="12">
        <f>3351/0.06</f>
        <v>55850</v>
      </c>
      <c r="F42" s="12">
        <f>9853/0.06</f>
        <v>164216.66666666669</v>
      </c>
      <c r="G42" s="12">
        <f>G44/0.06</f>
        <v>159700</v>
      </c>
      <c r="H42" s="12">
        <f t="shared" ref="H42:J42" si="16">H44/0.06</f>
        <v>86666.666666666672</v>
      </c>
      <c r="I42" s="12">
        <f t="shared" si="16"/>
        <v>132966.66666666669</v>
      </c>
      <c r="J42" s="12">
        <f t="shared" si="16"/>
        <v>132933.33333333334</v>
      </c>
      <c r="K42" s="12"/>
      <c r="L42" s="12"/>
      <c r="M42" s="12"/>
      <c r="N42" s="12"/>
      <c r="O42" s="12"/>
      <c r="Q42" s="15"/>
      <c r="R42" s="12"/>
      <c r="S42" s="37"/>
      <c r="AE42" s="39"/>
      <c r="AG42" s="15" t="s">
        <v>26</v>
      </c>
      <c r="AH42" s="12">
        <f>1233/0.06</f>
        <v>20550</v>
      </c>
      <c r="AI42" s="12">
        <v>44033.333333333336</v>
      </c>
      <c r="AJ42" s="12">
        <f>5079/0.06</f>
        <v>84650</v>
      </c>
      <c r="AK42" s="12">
        <f>AK44/0.06</f>
        <v>150583.33333333334</v>
      </c>
      <c r="AL42" s="12">
        <f t="shared" ref="AL42:AN42" si="17">AL44/0.06</f>
        <v>108750</v>
      </c>
      <c r="AM42" s="12">
        <f t="shared" si="17"/>
        <v>176100</v>
      </c>
      <c r="AN42" s="12">
        <f t="shared" si="17"/>
        <v>132883.33333333334</v>
      </c>
      <c r="AO42" s="12"/>
      <c r="AP42" s="12"/>
      <c r="AQ42" s="12"/>
      <c r="AR42" s="12"/>
      <c r="AS42" s="12"/>
      <c r="AU42" s="15"/>
      <c r="AV42" s="12"/>
      <c r="AW42" s="37"/>
      <c r="BL42" s="15" t="s">
        <v>26</v>
      </c>
      <c r="BM42" s="12">
        <f>1190/0.06</f>
        <v>19833.333333333336</v>
      </c>
      <c r="BN42" s="12">
        <f>1210/0.06</f>
        <v>20166.666666666668</v>
      </c>
      <c r="BO42" s="12">
        <f>2807/0.06</f>
        <v>46783.333333333336</v>
      </c>
      <c r="BP42" s="12">
        <f>BP44/0.06</f>
        <v>97350</v>
      </c>
      <c r="BQ42" s="12">
        <f t="shared" ref="BQ42:BS42" si="18">BQ44/0.06</f>
        <v>54950</v>
      </c>
      <c r="BR42" s="12">
        <f t="shared" si="18"/>
        <v>78983.333333333343</v>
      </c>
      <c r="BS42" s="12">
        <f t="shared" si="18"/>
        <v>56333.333333333336</v>
      </c>
      <c r="BT42" s="12"/>
      <c r="BU42" s="12"/>
      <c r="BV42" s="12"/>
      <c r="BW42" s="12"/>
      <c r="BX42" s="12"/>
      <c r="BZ42" s="15"/>
      <c r="CA42" s="12"/>
      <c r="CB42" s="37"/>
      <c r="CP42" s="15" t="s">
        <v>26</v>
      </c>
      <c r="CQ42" s="12">
        <f t="shared" si="11"/>
        <v>74300</v>
      </c>
      <c r="CR42" s="12">
        <f t="shared" si="3"/>
        <v>120050</v>
      </c>
      <c r="CS42" s="12">
        <f t="shared" si="3"/>
        <v>295650</v>
      </c>
      <c r="CT42" s="12">
        <f t="shared" ref="CT42" si="19">BP42+AK42+G42</f>
        <v>407633.33333333337</v>
      </c>
      <c r="CU42" s="12">
        <f t="shared" ref="CU42" si="20">BQ42+AL42+H42</f>
        <v>250366.66666666669</v>
      </c>
      <c r="CV42" s="12">
        <f t="shared" ref="CV42" si="21">BR42+AM42+I42</f>
        <v>388050</v>
      </c>
      <c r="CW42" s="12"/>
      <c r="CX42" s="12"/>
      <c r="CY42" s="12"/>
      <c r="CZ42" s="12"/>
      <c r="DA42" s="12"/>
      <c r="DB42" s="12"/>
      <c r="DD42" s="15" t="s">
        <v>26</v>
      </c>
      <c r="DE42" s="12">
        <f t="shared" si="12"/>
        <v>1536050</v>
      </c>
      <c r="DF42" s="37">
        <f t="shared" ref="DF42" si="22">DE42/DE41-1</f>
        <v>0.15633037652284099</v>
      </c>
    </row>
    <row r="43" spans="3:120" x14ac:dyDescent="0.55000000000000004">
      <c r="C43" s="11" t="s">
        <v>28</v>
      </c>
      <c r="D43" s="40">
        <f>D42/D41-1</f>
        <v>-5.2165812761993391E-2</v>
      </c>
      <c r="E43" s="40">
        <f>E42/E41-1</f>
        <v>-5.6587837837837829E-2</v>
      </c>
      <c r="F43" s="40">
        <f>F42/F41-1</f>
        <v>-0.11948168007149229</v>
      </c>
      <c r="G43" s="40">
        <f t="shared" ref="G43" si="23">G42/G41-1</f>
        <v>2.2625400213446945E-2</v>
      </c>
      <c r="H43" s="40">
        <f t="shared" ref="H43" si="24">H42/H41-1</f>
        <v>-0.10729613733905585</v>
      </c>
      <c r="I43" s="40">
        <f t="shared" ref="I43" si="25">I42/I41-1</f>
        <v>0.96841845546508787</v>
      </c>
      <c r="J43" s="40">
        <f t="shared" ref="J43" si="26">J42/J41-1</f>
        <v>0.11086350974930359</v>
      </c>
      <c r="K43" s="40"/>
      <c r="L43" s="40"/>
      <c r="M43" s="40"/>
      <c r="N43" s="40"/>
      <c r="O43" s="40"/>
      <c r="AG43" s="11" t="s">
        <v>28</v>
      </c>
      <c r="AH43" s="40">
        <f>AH42/AH41-1</f>
        <v>-7.2932330827067737E-2</v>
      </c>
      <c r="AI43" s="40">
        <f t="shared" ref="AI43" si="27">AI42/AI41-1</f>
        <v>1.2427843803056025</v>
      </c>
      <c r="AJ43" s="40">
        <f t="shared" ref="AJ43" si="28">AJ42/AJ41-1</f>
        <v>0.27741448692152915</v>
      </c>
      <c r="AK43" s="40">
        <f t="shared" ref="AK43" si="29">AK42/AK41-1</f>
        <v>1.9720394736842106</v>
      </c>
      <c r="AL43" s="40">
        <f t="shared" ref="AL43" si="30">AL42/AL41-1</f>
        <v>-0.25928028153025329</v>
      </c>
      <c r="AM43" s="40">
        <f t="shared" ref="AM43" si="31">AM42/AM41-1</f>
        <v>0.49131968948482707</v>
      </c>
      <c r="AN43" s="40">
        <f t="shared" ref="AN43" si="32">AN42/AN41-1</f>
        <v>0.41340187909945048</v>
      </c>
      <c r="AO43" s="40"/>
      <c r="AP43" s="40"/>
      <c r="AQ43" s="40"/>
      <c r="AR43" s="40"/>
      <c r="AS43" s="40"/>
      <c r="BL43" s="11" t="s">
        <v>28</v>
      </c>
      <c r="BM43" s="40">
        <f>BM42/BM41-1</f>
        <v>-3.6437246963562764E-2</v>
      </c>
      <c r="BN43" s="40">
        <f>BN42/BN41-1</f>
        <v>-0.42517814726840852</v>
      </c>
      <c r="BO43" s="40">
        <f>BO42/BO41-1</f>
        <v>0.47892518440463649</v>
      </c>
      <c r="BP43" s="40">
        <f t="shared" ref="BP43:BS43" si="33">BP42/BP41-1</f>
        <v>0.82816901408450705</v>
      </c>
      <c r="BQ43" s="40">
        <f t="shared" si="33"/>
        <v>-9.2735277930654947E-2</v>
      </c>
      <c r="BR43" s="40">
        <f t="shared" si="33"/>
        <v>-0.22068738694293688</v>
      </c>
      <c r="BS43" s="40">
        <f t="shared" si="33"/>
        <v>0.56120092378752884</v>
      </c>
      <c r="BT43" s="40"/>
      <c r="BU43" s="40"/>
      <c r="BV43" s="40"/>
      <c r="BW43" s="40"/>
      <c r="BX43" s="40"/>
      <c r="CP43" s="11" t="s">
        <v>28</v>
      </c>
      <c r="CQ43" s="40">
        <f>CQ42/CQ41-1</f>
        <v>-5.3904923599320975E-2</v>
      </c>
      <c r="CR43" s="40">
        <f t="shared" ref="CR43:CV43" si="34">CR42/CR41-1</f>
        <v>5.3840526700804636E-2</v>
      </c>
      <c r="CS43" s="40">
        <f t="shared" si="34"/>
        <v>3.9556962025316444E-2</v>
      </c>
      <c r="CT43" s="40">
        <f t="shared" si="34"/>
        <v>0.56731816725408524</v>
      </c>
      <c r="CU43" s="40">
        <f t="shared" si="34"/>
        <v>-0.17768776001751707</v>
      </c>
      <c r="CV43" s="40">
        <f t="shared" si="34"/>
        <v>0.35216911551193442</v>
      </c>
      <c r="CW43" s="40"/>
      <c r="CX43" s="40"/>
      <c r="CY43" s="40"/>
      <c r="CZ43" s="40"/>
      <c r="DA43" s="40"/>
      <c r="DB43" s="40"/>
    </row>
    <row r="44" spans="3:120" x14ac:dyDescent="0.55000000000000004">
      <c r="G44" s="68">
        <v>9582</v>
      </c>
      <c r="H44" s="68">
        <v>5200</v>
      </c>
      <c r="I44" s="68">
        <v>7978</v>
      </c>
      <c r="J44" s="68">
        <v>7976</v>
      </c>
      <c r="AH44" s="40"/>
      <c r="AK44" s="68">
        <v>9035</v>
      </c>
      <c r="AL44" s="68">
        <v>6525</v>
      </c>
      <c r="AM44" s="68">
        <v>10566</v>
      </c>
      <c r="AN44" s="68">
        <v>7973</v>
      </c>
      <c r="BP44" s="68">
        <v>5841</v>
      </c>
      <c r="BQ44" s="68">
        <v>3297</v>
      </c>
      <c r="BR44" s="68">
        <v>4739</v>
      </c>
      <c r="BS44" s="68">
        <v>3380</v>
      </c>
    </row>
    <row r="46" spans="3:120" x14ac:dyDescent="0.55000000000000004">
      <c r="C46" s="32"/>
      <c r="D46" s="33" t="s">
        <v>1</v>
      </c>
      <c r="E46" s="33" t="s">
        <v>2</v>
      </c>
      <c r="F46" s="33" t="s">
        <v>3</v>
      </c>
      <c r="G46" s="33" t="s">
        <v>4</v>
      </c>
      <c r="H46" s="33" t="s">
        <v>5</v>
      </c>
      <c r="I46" s="33" t="s">
        <v>6</v>
      </c>
      <c r="J46" s="33" t="s">
        <v>7</v>
      </c>
      <c r="K46" s="33" t="s">
        <v>8</v>
      </c>
      <c r="L46" s="33" t="s">
        <v>9</v>
      </c>
      <c r="M46" s="33" t="s">
        <v>10</v>
      </c>
      <c r="N46" s="33" t="s">
        <v>11</v>
      </c>
      <c r="O46" s="33" t="s">
        <v>12</v>
      </c>
      <c r="R46" s="33" t="s">
        <v>1</v>
      </c>
      <c r="S46" s="33" t="s">
        <v>2</v>
      </c>
      <c r="T46" s="33" t="s">
        <v>3</v>
      </c>
      <c r="U46" s="33" t="s">
        <v>4</v>
      </c>
      <c r="V46" s="33" t="s">
        <v>5</v>
      </c>
      <c r="W46" s="33" t="s">
        <v>6</v>
      </c>
      <c r="X46" s="33" t="s">
        <v>7</v>
      </c>
      <c r="Y46" s="33" t="s">
        <v>8</v>
      </c>
      <c r="Z46" s="33" t="s">
        <v>9</v>
      </c>
      <c r="AA46" s="33" t="s">
        <v>10</v>
      </c>
      <c r="AB46" s="33" t="s">
        <v>11</v>
      </c>
      <c r="AC46" s="33" t="s">
        <v>12</v>
      </c>
      <c r="AG46" s="32"/>
      <c r="AH46" s="33" t="s">
        <v>1</v>
      </c>
      <c r="AI46" s="33" t="s">
        <v>2</v>
      </c>
      <c r="AJ46" s="33" t="s">
        <v>3</v>
      </c>
      <c r="AK46" s="33" t="s">
        <v>4</v>
      </c>
      <c r="AL46" s="33" t="s">
        <v>5</v>
      </c>
      <c r="AM46" s="33" t="s">
        <v>6</v>
      </c>
      <c r="AN46" s="33" t="s">
        <v>7</v>
      </c>
      <c r="AO46" s="33" t="s">
        <v>8</v>
      </c>
      <c r="AP46" s="33" t="s">
        <v>9</v>
      </c>
      <c r="AQ46" s="33" t="s">
        <v>10</v>
      </c>
      <c r="AR46" s="33" t="s">
        <v>11</v>
      </c>
      <c r="AS46" s="33" t="s">
        <v>12</v>
      </c>
      <c r="AV46" s="33" t="s">
        <v>1</v>
      </c>
      <c r="AW46" s="33" t="s">
        <v>2</v>
      </c>
      <c r="AX46" s="33" t="s">
        <v>3</v>
      </c>
      <c r="AY46" s="33" t="s">
        <v>4</v>
      </c>
      <c r="AZ46" s="33" t="s">
        <v>5</v>
      </c>
      <c r="BA46" s="33" t="s">
        <v>6</v>
      </c>
      <c r="BB46" s="33" t="s">
        <v>7</v>
      </c>
      <c r="BC46" s="33" t="s">
        <v>8</v>
      </c>
      <c r="BD46" s="33" t="s">
        <v>9</v>
      </c>
      <c r="BE46" s="33" t="s">
        <v>10</v>
      </c>
      <c r="BF46" s="33" t="s">
        <v>11</v>
      </c>
      <c r="BG46" s="33" t="s">
        <v>12</v>
      </c>
      <c r="BL46" s="32"/>
      <c r="BM46" s="33" t="s">
        <v>1</v>
      </c>
      <c r="BN46" s="33" t="s">
        <v>2</v>
      </c>
      <c r="BO46" s="33" t="s">
        <v>3</v>
      </c>
      <c r="BP46" s="33" t="s">
        <v>4</v>
      </c>
      <c r="BQ46" s="33" t="s">
        <v>5</v>
      </c>
      <c r="BR46" s="33" t="s">
        <v>6</v>
      </c>
      <c r="BS46" s="33" t="s">
        <v>7</v>
      </c>
      <c r="BT46" s="33" t="s">
        <v>8</v>
      </c>
      <c r="BU46" s="33" t="s">
        <v>9</v>
      </c>
      <c r="BV46" s="33" t="s">
        <v>10</v>
      </c>
      <c r="BW46" s="33" t="s">
        <v>11</v>
      </c>
      <c r="BX46" s="33" t="s">
        <v>12</v>
      </c>
      <c r="CA46" s="33" t="s">
        <v>1</v>
      </c>
      <c r="CB46" s="33" t="s">
        <v>2</v>
      </c>
      <c r="CC46" s="33" t="s">
        <v>3</v>
      </c>
      <c r="CD46" s="33" t="s">
        <v>4</v>
      </c>
      <c r="CE46" s="33" t="s">
        <v>5</v>
      </c>
      <c r="CF46" s="33" t="s">
        <v>6</v>
      </c>
      <c r="CG46" s="33" t="s">
        <v>7</v>
      </c>
      <c r="CH46" s="33" t="s">
        <v>8</v>
      </c>
      <c r="CI46" s="33" t="s">
        <v>9</v>
      </c>
      <c r="CJ46" s="33" t="s">
        <v>10</v>
      </c>
      <c r="CK46" s="33" t="s">
        <v>11</v>
      </c>
      <c r="CL46" s="33" t="s">
        <v>12</v>
      </c>
      <c r="CP46" s="32"/>
      <c r="CQ46" s="33" t="s">
        <v>1</v>
      </c>
      <c r="CR46" s="33" t="s">
        <v>2</v>
      </c>
      <c r="CS46" s="33" t="s">
        <v>3</v>
      </c>
      <c r="CT46" s="33" t="s">
        <v>4</v>
      </c>
      <c r="CU46" s="33" t="s">
        <v>5</v>
      </c>
      <c r="CV46" s="33" t="s">
        <v>6</v>
      </c>
      <c r="CW46" s="33" t="s">
        <v>7</v>
      </c>
      <c r="CX46" s="33" t="s">
        <v>8</v>
      </c>
      <c r="CY46" s="33" t="s">
        <v>9</v>
      </c>
      <c r="CZ46" s="33" t="s">
        <v>10</v>
      </c>
      <c r="DA46" s="33" t="s">
        <v>11</v>
      </c>
      <c r="DB46" s="33" t="s">
        <v>12</v>
      </c>
      <c r="DE46" s="33" t="s">
        <v>1</v>
      </c>
      <c r="DF46" s="33" t="s">
        <v>2</v>
      </c>
      <c r="DG46" s="33" t="s">
        <v>3</v>
      </c>
      <c r="DH46" s="33" t="s">
        <v>4</v>
      </c>
      <c r="DI46" s="33" t="s">
        <v>5</v>
      </c>
      <c r="DJ46" s="33" t="s">
        <v>6</v>
      </c>
      <c r="DK46" s="33" t="s">
        <v>7</v>
      </c>
      <c r="DL46" s="33" t="s">
        <v>8</v>
      </c>
      <c r="DM46" s="33" t="s">
        <v>9</v>
      </c>
      <c r="DN46" s="33" t="s">
        <v>10</v>
      </c>
      <c r="DO46" s="33" t="s">
        <v>11</v>
      </c>
      <c r="DP46" s="33" t="s">
        <v>12</v>
      </c>
    </row>
    <row r="47" spans="3:120" x14ac:dyDescent="0.55000000000000004">
      <c r="C47" s="35" t="s">
        <v>69</v>
      </c>
      <c r="D47" s="12">
        <f t="shared" ref="D47:D60" si="35">D29</f>
        <v>23833.333333333336</v>
      </c>
      <c r="E47" s="12">
        <f t="shared" ref="E47:O47" si="36">D47+E29</f>
        <v>66658.333333333343</v>
      </c>
      <c r="F47" s="12">
        <f t="shared" si="36"/>
        <v>106166.66666666669</v>
      </c>
      <c r="G47" s="12">
        <f t="shared" si="36"/>
        <v>164416.66666666669</v>
      </c>
      <c r="H47" s="12">
        <f t="shared" si="36"/>
        <v>186743.33333333334</v>
      </c>
      <c r="I47" s="12">
        <f t="shared" si="36"/>
        <v>218493.33333333334</v>
      </c>
      <c r="J47" s="12">
        <f t="shared" si="36"/>
        <v>248626.66666666669</v>
      </c>
      <c r="K47" s="12">
        <f t="shared" si="36"/>
        <v>290326.66666666669</v>
      </c>
      <c r="L47" s="12">
        <f t="shared" si="36"/>
        <v>296260</v>
      </c>
      <c r="M47" s="12">
        <f t="shared" si="36"/>
        <v>315776.66666666669</v>
      </c>
      <c r="N47" s="12">
        <f t="shared" si="36"/>
        <v>332826.66666666669</v>
      </c>
      <c r="O47" s="12">
        <f t="shared" si="36"/>
        <v>345176.66666666669</v>
      </c>
      <c r="Q47" s="11" t="s">
        <v>26</v>
      </c>
      <c r="R47" s="12">
        <f>D42</f>
        <v>33916.666666666672</v>
      </c>
      <c r="S47" s="12">
        <f t="shared" ref="S47:T47" si="37">E42</f>
        <v>55850</v>
      </c>
      <c r="T47" s="12">
        <f t="shared" si="37"/>
        <v>164216.66666666669</v>
      </c>
      <c r="U47" s="12"/>
      <c r="V47" s="12"/>
      <c r="W47" s="12"/>
      <c r="X47" s="12"/>
      <c r="Y47" s="12"/>
      <c r="Z47" s="12"/>
      <c r="AA47" s="12"/>
      <c r="AB47" s="12"/>
      <c r="AC47" s="12"/>
      <c r="AD47" s="12"/>
      <c r="AG47" s="35" t="s">
        <v>69</v>
      </c>
      <c r="AH47" s="12">
        <f t="shared" ref="AH47:AH60" si="38">AH29</f>
        <v>249623.33333333334</v>
      </c>
      <c r="AI47" s="12">
        <f t="shared" ref="AI47:AI59" si="39">AH47+AI29</f>
        <v>520390</v>
      </c>
      <c r="AJ47" s="12">
        <f t="shared" ref="AJ47:AS47" si="40">AI47+AJ29</f>
        <v>641956.66666666663</v>
      </c>
      <c r="AK47" s="12">
        <f t="shared" si="40"/>
        <v>761856.66666666663</v>
      </c>
      <c r="AL47" s="12">
        <f t="shared" si="40"/>
        <v>861140</v>
      </c>
      <c r="AM47" s="12">
        <f t="shared" si="40"/>
        <v>1067856.6666666667</v>
      </c>
      <c r="AN47" s="12">
        <f t="shared" si="40"/>
        <v>1125673.3333333335</v>
      </c>
      <c r="AO47" s="12">
        <f t="shared" si="40"/>
        <v>1185403.3333333335</v>
      </c>
      <c r="AP47" s="12">
        <f t="shared" si="40"/>
        <v>1247926.6666666667</v>
      </c>
      <c r="AQ47" s="12">
        <f t="shared" si="40"/>
        <v>1302360</v>
      </c>
      <c r="AR47" s="12">
        <f t="shared" si="40"/>
        <v>1350486.6666666667</v>
      </c>
      <c r="AS47" s="12">
        <f t="shared" si="40"/>
        <v>1395836.6666666667</v>
      </c>
      <c r="AU47" s="11" t="s">
        <v>26</v>
      </c>
      <c r="AV47" s="12">
        <f>AH42</f>
        <v>20550</v>
      </c>
      <c r="AW47" s="12">
        <f t="shared" ref="AW47:AX47" si="41">AI42</f>
        <v>44033.333333333336</v>
      </c>
      <c r="AX47" s="12">
        <f t="shared" si="41"/>
        <v>84650</v>
      </c>
      <c r="AY47" s="12"/>
      <c r="AZ47" s="12"/>
      <c r="BA47" s="12"/>
      <c r="BB47" s="12"/>
      <c r="BC47" s="12"/>
      <c r="BD47" s="12"/>
      <c r="BE47" s="12"/>
      <c r="BF47" s="12"/>
      <c r="BG47" s="12"/>
      <c r="BL47" s="35" t="s">
        <v>69</v>
      </c>
      <c r="BM47" s="12">
        <f t="shared" ref="BM47:BM60" si="42">BM29</f>
        <v>46783.333333333336</v>
      </c>
      <c r="BN47" s="12">
        <f t="shared" ref="BN47:BX47" si="43">BM47+BN29</f>
        <v>77466.666666666672</v>
      </c>
      <c r="BO47" s="12">
        <f t="shared" si="43"/>
        <v>119600</v>
      </c>
      <c r="BP47" s="12">
        <f t="shared" si="43"/>
        <v>181666.66666666669</v>
      </c>
      <c r="BQ47" s="12">
        <f t="shared" si="43"/>
        <v>243550.00000000003</v>
      </c>
      <c r="BR47" s="12">
        <f t="shared" si="43"/>
        <v>329250</v>
      </c>
      <c r="BS47" s="12">
        <f t="shared" si="43"/>
        <v>371616.66666666669</v>
      </c>
      <c r="BT47" s="12">
        <f t="shared" si="43"/>
        <v>423700</v>
      </c>
      <c r="BU47" s="12">
        <f t="shared" si="43"/>
        <v>482380</v>
      </c>
      <c r="BV47" s="12">
        <f t="shared" si="43"/>
        <v>548546.66666666663</v>
      </c>
      <c r="BW47" s="12">
        <f t="shared" si="43"/>
        <v>597413.33333333326</v>
      </c>
      <c r="BX47" s="12">
        <f t="shared" si="43"/>
        <v>641013.33333333326</v>
      </c>
      <c r="BZ47" s="11" t="s">
        <v>26</v>
      </c>
      <c r="CA47" s="12">
        <f>BM42</f>
        <v>19833.333333333336</v>
      </c>
      <c r="CB47" s="12">
        <f t="shared" ref="CB47:CC47" si="44">BN42</f>
        <v>20166.666666666668</v>
      </c>
      <c r="CC47" s="12">
        <f t="shared" si="44"/>
        <v>46783.333333333336</v>
      </c>
      <c r="CD47" s="12"/>
      <c r="CE47" s="12"/>
      <c r="CF47" s="12"/>
      <c r="CG47" s="12"/>
      <c r="CH47" s="12"/>
      <c r="CI47" s="12"/>
      <c r="CJ47" s="12"/>
      <c r="CK47" s="12"/>
      <c r="CL47" s="12"/>
      <c r="CP47" s="35" t="s">
        <v>69</v>
      </c>
      <c r="CQ47" s="12">
        <f>CQ29</f>
        <v>320240</v>
      </c>
      <c r="CR47" s="12">
        <f>CQ47+CR29</f>
        <v>664515</v>
      </c>
      <c r="CS47" s="12">
        <f t="shared" ref="CS47:DB47" si="45">CR47+CS29</f>
        <v>867723.33333333337</v>
      </c>
      <c r="CT47" s="12">
        <f t="shared" si="45"/>
        <v>1107940</v>
      </c>
      <c r="CU47" s="12">
        <f t="shared" si="45"/>
        <v>1291433.3333333333</v>
      </c>
      <c r="CV47" s="12">
        <f t="shared" si="45"/>
        <v>1615600</v>
      </c>
      <c r="CW47" s="12">
        <f t="shared" si="45"/>
        <v>1745916.6666666667</v>
      </c>
      <c r="CX47" s="12">
        <f t="shared" si="45"/>
        <v>1899430</v>
      </c>
      <c r="CY47" s="12">
        <f t="shared" si="45"/>
        <v>2026566.6666666667</v>
      </c>
      <c r="CZ47" s="12">
        <f t="shared" si="45"/>
        <v>2166683.3333333335</v>
      </c>
      <c r="DA47" s="12">
        <f t="shared" si="45"/>
        <v>2280726.666666667</v>
      </c>
      <c r="DB47" s="12">
        <f t="shared" si="45"/>
        <v>2382026.666666667</v>
      </c>
      <c r="DD47" s="11" t="s">
        <v>26</v>
      </c>
      <c r="DE47" s="12">
        <f>CQ42</f>
        <v>74300</v>
      </c>
      <c r="DF47" s="12">
        <f t="shared" ref="DF47:DG47" si="46">CR42</f>
        <v>120050</v>
      </c>
      <c r="DG47" s="12">
        <f t="shared" si="46"/>
        <v>295650</v>
      </c>
      <c r="DH47" s="12">
        <f t="shared" ref="DH47" si="47">CT42</f>
        <v>407633.33333333337</v>
      </c>
      <c r="DI47" s="12">
        <f t="shared" ref="DI47" si="48">CU42</f>
        <v>250366.66666666669</v>
      </c>
      <c r="DJ47" s="12">
        <f t="shared" ref="DJ47" si="49">CV42</f>
        <v>388050</v>
      </c>
      <c r="DK47" s="12"/>
      <c r="DL47" s="12"/>
      <c r="DM47" s="12"/>
      <c r="DN47" s="12"/>
      <c r="DO47" s="12"/>
      <c r="DP47" s="12"/>
    </row>
    <row r="48" spans="3:120" x14ac:dyDescent="0.55000000000000004">
      <c r="C48" s="15" t="s">
        <v>70</v>
      </c>
      <c r="D48" s="12">
        <f t="shared" si="35"/>
        <v>22900</v>
      </c>
      <c r="E48" s="12">
        <f t="shared" ref="E48:O48" si="50">D48+E30</f>
        <v>36333.333333333336</v>
      </c>
      <c r="F48" s="12">
        <f t="shared" si="50"/>
        <v>55283.333333333336</v>
      </c>
      <c r="G48" s="12">
        <f t="shared" si="50"/>
        <v>76950</v>
      </c>
      <c r="H48" s="12">
        <f t="shared" si="50"/>
        <v>99883.333333333343</v>
      </c>
      <c r="I48" s="12">
        <f t="shared" si="50"/>
        <v>124016.66666666669</v>
      </c>
      <c r="J48" s="12">
        <f t="shared" si="50"/>
        <v>141950.00000000003</v>
      </c>
      <c r="K48" s="12">
        <f t="shared" si="50"/>
        <v>155983.33333333337</v>
      </c>
      <c r="L48" s="12">
        <f t="shared" si="50"/>
        <v>174083.33333333337</v>
      </c>
      <c r="M48" s="12">
        <f t="shared" si="50"/>
        <v>188250.00000000003</v>
      </c>
      <c r="N48" s="12">
        <f t="shared" si="50"/>
        <v>207216.66666666669</v>
      </c>
      <c r="O48" s="12">
        <f t="shared" si="50"/>
        <v>225433.33333333334</v>
      </c>
      <c r="Q48" s="11" t="s">
        <v>30</v>
      </c>
      <c r="R48" s="12">
        <f>MIN(D29:D41)</f>
        <v>6093.2666666666682</v>
      </c>
      <c r="S48" s="12">
        <f t="shared" ref="S48:AC48" si="51">MIN(E29:E41)</f>
        <v>5670.0000000000009</v>
      </c>
      <c r="T48" s="12">
        <f t="shared" si="51"/>
        <v>5670.0000000000009</v>
      </c>
      <c r="U48" s="12">
        <f t="shared" si="51"/>
        <v>14061.666666666668</v>
      </c>
      <c r="V48" s="12">
        <f t="shared" si="51"/>
        <v>6901.3246750000017</v>
      </c>
      <c r="W48" s="12">
        <f t="shared" si="51"/>
        <v>13028.155000000001</v>
      </c>
      <c r="X48" s="12">
        <f t="shared" si="51"/>
        <v>10391.465000000002</v>
      </c>
      <c r="Y48" s="12">
        <f t="shared" si="51"/>
        <v>11333.666666666666</v>
      </c>
      <c r="Z48" s="12">
        <f t="shared" si="51"/>
        <v>5933.3333333333339</v>
      </c>
      <c r="AA48" s="12">
        <f t="shared" si="51"/>
        <v>6907.5050000000019</v>
      </c>
      <c r="AB48" s="12">
        <f t="shared" si="51"/>
        <v>8514.1833333333343</v>
      </c>
      <c r="AC48" s="12">
        <f t="shared" si="51"/>
        <v>1166.0000000000002</v>
      </c>
      <c r="AG48" s="15" t="s">
        <v>70</v>
      </c>
      <c r="AH48" s="12">
        <f t="shared" si="38"/>
        <v>29433.333333333336</v>
      </c>
      <c r="AI48" s="12">
        <f t="shared" si="39"/>
        <v>65466.666666666672</v>
      </c>
      <c r="AJ48" s="12">
        <f t="shared" ref="AJ48:AS48" si="52">AI48+AJ30</f>
        <v>148893.33333333334</v>
      </c>
      <c r="AK48" s="12">
        <f t="shared" si="52"/>
        <v>267193.33333333337</v>
      </c>
      <c r="AL48" s="12">
        <f t="shared" si="52"/>
        <v>479343.33333333337</v>
      </c>
      <c r="AM48" s="12">
        <f t="shared" si="52"/>
        <v>1010610.0000000001</v>
      </c>
      <c r="AN48" s="12">
        <f t="shared" si="52"/>
        <v>1488510</v>
      </c>
      <c r="AO48" s="12">
        <f t="shared" si="52"/>
        <v>1726393.3333333333</v>
      </c>
      <c r="AP48" s="12">
        <f t="shared" si="52"/>
        <v>1847143.3333333333</v>
      </c>
      <c r="AQ48" s="12">
        <f t="shared" si="52"/>
        <v>1959793.3333333333</v>
      </c>
      <c r="AR48" s="12">
        <f t="shared" si="52"/>
        <v>2299593.333333333</v>
      </c>
      <c r="AS48" s="12">
        <f t="shared" si="52"/>
        <v>2383156.6666666665</v>
      </c>
      <c r="AU48" s="11" t="s">
        <v>30</v>
      </c>
      <c r="AV48" s="12">
        <f>MIN(AH29:AH41)</f>
        <v>22166.666666666668</v>
      </c>
      <c r="AW48" s="12">
        <f t="shared" ref="AW48:BG48" si="53">MIN(AI29:AI41)</f>
        <v>19633.333333333336</v>
      </c>
      <c r="AX48" s="12">
        <f t="shared" si="53"/>
        <v>48159.336499999998</v>
      </c>
      <c r="AY48" s="12">
        <f t="shared" si="53"/>
        <v>40986.678333333322</v>
      </c>
      <c r="AZ48" s="12">
        <f t="shared" si="53"/>
        <v>57638.203333333338</v>
      </c>
      <c r="BA48" s="12">
        <f t="shared" si="53"/>
        <v>59435.833333333328</v>
      </c>
      <c r="BB48" s="12">
        <f t="shared" si="53"/>
        <v>53618.967499999992</v>
      </c>
      <c r="BC48" s="12">
        <f t="shared" si="53"/>
        <v>46750</v>
      </c>
      <c r="BD48" s="12">
        <f t="shared" si="53"/>
        <v>32483.333333333336</v>
      </c>
      <c r="BE48" s="12">
        <f t="shared" si="53"/>
        <v>42266.666666666672</v>
      </c>
      <c r="BF48" s="12">
        <f t="shared" si="53"/>
        <v>25166.666666666668</v>
      </c>
      <c r="BG48" s="12">
        <f t="shared" si="53"/>
        <v>18550</v>
      </c>
      <c r="BL48" s="15" t="s">
        <v>70</v>
      </c>
      <c r="BM48" s="12">
        <f t="shared" si="42"/>
        <v>33616.666666666672</v>
      </c>
      <c r="BN48" s="12">
        <f t="shared" ref="BN48:BX48" si="54">BM48+BN30</f>
        <v>66816.666666666672</v>
      </c>
      <c r="BO48" s="12">
        <f t="shared" si="54"/>
        <v>137516.66666666669</v>
      </c>
      <c r="BP48" s="12">
        <f t="shared" si="54"/>
        <v>202483.33333333337</v>
      </c>
      <c r="BQ48" s="12">
        <f t="shared" si="54"/>
        <v>241733.33333333337</v>
      </c>
      <c r="BR48" s="12">
        <f t="shared" si="54"/>
        <v>323166.66666666674</v>
      </c>
      <c r="BS48" s="12">
        <f t="shared" si="54"/>
        <v>373250.00000000006</v>
      </c>
      <c r="BT48" s="12">
        <f t="shared" si="54"/>
        <v>416333.33333333337</v>
      </c>
      <c r="BU48" s="12">
        <f t="shared" si="54"/>
        <v>459766.66666666669</v>
      </c>
      <c r="BV48" s="12">
        <f t="shared" si="54"/>
        <v>500300</v>
      </c>
      <c r="BW48" s="12">
        <f t="shared" si="54"/>
        <v>535066.66666666663</v>
      </c>
      <c r="BX48" s="12">
        <f t="shared" si="54"/>
        <v>575350</v>
      </c>
      <c r="BZ48" s="11" t="s">
        <v>30</v>
      </c>
      <c r="CA48" s="12">
        <f>MIN(BM29:BM41)</f>
        <v>4614.2937500000007</v>
      </c>
      <c r="CB48" s="12">
        <f t="shared" ref="CB48:CL48" si="55">MIN(BN29:BN41)</f>
        <v>13755.500000000002</v>
      </c>
      <c r="CC48" s="12">
        <f t="shared" si="55"/>
        <v>21886.205000000005</v>
      </c>
      <c r="CD48" s="12">
        <f t="shared" si="55"/>
        <v>19377.5</v>
      </c>
      <c r="CE48" s="12">
        <f t="shared" si="55"/>
        <v>34902.499999999993</v>
      </c>
      <c r="CF48" s="12">
        <f t="shared" si="55"/>
        <v>35184.031666666662</v>
      </c>
      <c r="CG48" s="12">
        <f t="shared" si="55"/>
        <v>23671.999999999996</v>
      </c>
      <c r="CH48" s="12">
        <f t="shared" si="55"/>
        <v>24819.025000000001</v>
      </c>
      <c r="CI48" s="12">
        <f t="shared" si="55"/>
        <v>16639.333333333336</v>
      </c>
      <c r="CJ48" s="12">
        <f t="shared" si="55"/>
        <v>11755.333333333338</v>
      </c>
      <c r="CK48" s="12">
        <f t="shared" si="55"/>
        <v>11095.774999999998</v>
      </c>
      <c r="CL48" s="12">
        <f t="shared" si="55"/>
        <v>17036.756000000001</v>
      </c>
      <c r="CP48" s="15" t="s">
        <v>70</v>
      </c>
      <c r="CQ48" s="12">
        <f t="shared" ref="CQ48:CQ60" si="56">CQ30</f>
        <v>85950</v>
      </c>
      <c r="CR48" s="12">
        <f t="shared" ref="CR48:DB48" si="57">CQ48+CR30</f>
        <v>168616.66666666669</v>
      </c>
      <c r="CS48" s="12">
        <f t="shared" si="57"/>
        <v>341693.33333333337</v>
      </c>
      <c r="CT48" s="12">
        <f t="shared" si="57"/>
        <v>546626.66666666674</v>
      </c>
      <c r="CU48" s="12">
        <f t="shared" si="57"/>
        <v>820960</v>
      </c>
      <c r="CV48" s="12">
        <f t="shared" si="57"/>
        <v>1457793.3333333335</v>
      </c>
      <c r="CW48" s="12">
        <f t="shared" si="57"/>
        <v>2003710.0000000002</v>
      </c>
      <c r="CX48" s="12">
        <f t="shared" si="57"/>
        <v>2298710</v>
      </c>
      <c r="CY48" s="12">
        <f t="shared" si="57"/>
        <v>2480993.3333333335</v>
      </c>
      <c r="CZ48" s="12">
        <f t="shared" si="57"/>
        <v>2648343.3333333335</v>
      </c>
      <c r="DA48" s="12">
        <f t="shared" si="57"/>
        <v>3041876.666666667</v>
      </c>
      <c r="DB48" s="12">
        <f t="shared" si="57"/>
        <v>3183940.0000000005</v>
      </c>
      <c r="DD48" s="11" t="s">
        <v>30</v>
      </c>
      <c r="DE48" s="12">
        <f>MIN(CQ29:CQ41)</f>
        <v>63983.333333333336</v>
      </c>
      <c r="DF48" s="12">
        <f t="shared" ref="DF48:DP48" si="58">MIN(CR29:CR41)</f>
        <v>68902.425166666668</v>
      </c>
      <c r="DG48" s="12">
        <f t="shared" si="58"/>
        <v>85712.291500000007</v>
      </c>
      <c r="DH48" s="12">
        <f t="shared" si="58"/>
        <v>94575.066666666666</v>
      </c>
      <c r="DI48" s="12">
        <f t="shared" si="58"/>
        <v>108597.17</v>
      </c>
      <c r="DJ48" s="12">
        <f t="shared" si="58"/>
        <v>160755</v>
      </c>
      <c r="DK48" s="12">
        <f t="shared" si="58"/>
        <v>95182.29</v>
      </c>
      <c r="DL48" s="12">
        <f t="shared" si="58"/>
        <v>110337.50000000003</v>
      </c>
      <c r="DM48" s="12">
        <f t="shared" si="58"/>
        <v>89155.88</v>
      </c>
      <c r="DN48" s="12">
        <f t="shared" si="58"/>
        <v>99376.731666666688</v>
      </c>
      <c r="DO48" s="12">
        <f t="shared" si="58"/>
        <v>89116.892333333366</v>
      </c>
      <c r="DP48" s="12">
        <f t="shared" si="58"/>
        <v>74966.666666666672</v>
      </c>
    </row>
    <row r="49" spans="3:120" x14ac:dyDescent="0.55000000000000004">
      <c r="C49" s="15" t="s">
        <v>15</v>
      </c>
      <c r="D49" s="12">
        <f t="shared" si="35"/>
        <v>17062.5</v>
      </c>
      <c r="E49" s="12">
        <f t="shared" ref="E49:O49" si="59">D49+E31</f>
        <v>26285</v>
      </c>
      <c r="F49" s="12">
        <f t="shared" si="59"/>
        <v>42245</v>
      </c>
      <c r="G49" s="12">
        <f t="shared" si="59"/>
        <v>61389.999999999993</v>
      </c>
      <c r="H49" s="12">
        <f t="shared" si="59"/>
        <v>70630</v>
      </c>
      <c r="I49" s="12">
        <f t="shared" si="59"/>
        <v>90492.5</v>
      </c>
      <c r="J49" s="12">
        <f t="shared" si="59"/>
        <v>107275</v>
      </c>
      <c r="K49" s="12">
        <f t="shared" si="59"/>
        <v>124950</v>
      </c>
      <c r="L49" s="12">
        <f t="shared" si="59"/>
        <v>146545</v>
      </c>
      <c r="M49" s="12">
        <f t="shared" si="59"/>
        <v>167545</v>
      </c>
      <c r="N49" s="12">
        <f t="shared" si="59"/>
        <v>182070</v>
      </c>
      <c r="O49" s="12">
        <f t="shared" si="59"/>
        <v>205012.5</v>
      </c>
      <c r="Q49" s="11" t="s">
        <v>31</v>
      </c>
      <c r="R49" s="12">
        <f>MAX(D29:D41)</f>
        <v>35783.333333333336</v>
      </c>
      <c r="S49" s="12">
        <f t="shared" ref="S49:AC49" si="60">MAX(E29:E41)</f>
        <v>59200</v>
      </c>
      <c r="T49" s="12">
        <f t="shared" si="60"/>
        <v>186500</v>
      </c>
      <c r="U49" s="12">
        <f t="shared" si="60"/>
        <v>156166.66666666669</v>
      </c>
      <c r="V49" s="12">
        <f t="shared" si="60"/>
        <v>104483.33333333334</v>
      </c>
      <c r="W49" s="12">
        <f t="shared" si="60"/>
        <v>112566.66666666667</v>
      </c>
      <c r="X49" s="12">
        <f t="shared" si="60"/>
        <v>212325.66666666669</v>
      </c>
      <c r="Y49" s="12">
        <f t="shared" si="60"/>
        <v>100400</v>
      </c>
      <c r="Z49" s="12">
        <f t="shared" si="60"/>
        <v>96716.666666666672</v>
      </c>
      <c r="AA49" s="12">
        <f t="shared" si="60"/>
        <v>79083.333333333343</v>
      </c>
      <c r="AB49" s="12">
        <f t="shared" si="60"/>
        <v>61450</v>
      </c>
      <c r="AC49" s="12">
        <f t="shared" si="60"/>
        <v>37950</v>
      </c>
      <c r="AG49" s="15" t="s">
        <v>15</v>
      </c>
      <c r="AH49" s="12">
        <f t="shared" si="38"/>
        <v>65082.500000000007</v>
      </c>
      <c r="AI49" s="12">
        <f t="shared" si="39"/>
        <v>129990.00000000003</v>
      </c>
      <c r="AJ49" s="12">
        <f t="shared" ref="AJ49:AS49" si="61">AI49+AJ31</f>
        <v>277900</v>
      </c>
      <c r="AK49" s="12">
        <f t="shared" si="61"/>
        <v>391597.5</v>
      </c>
      <c r="AL49" s="12">
        <f t="shared" si="61"/>
        <v>477662.5</v>
      </c>
      <c r="AM49" s="12">
        <f t="shared" si="61"/>
        <v>554242.5</v>
      </c>
      <c r="AN49" s="12">
        <f t="shared" si="61"/>
        <v>608002.5</v>
      </c>
      <c r="AO49" s="12">
        <f t="shared" si="61"/>
        <v>663040</v>
      </c>
      <c r="AP49" s="12">
        <f t="shared" si="61"/>
        <v>712950</v>
      </c>
      <c r="AQ49" s="12">
        <f t="shared" si="61"/>
        <v>763647.5</v>
      </c>
      <c r="AR49" s="12">
        <f t="shared" si="61"/>
        <v>834207.5</v>
      </c>
      <c r="AS49" s="12">
        <f t="shared" si="61"/>
        <v>896630</v>
      </c>
      <c r="AU49" s="11" t="s">
        <v>31</v>
      </c>
      <c r="AV49" s="12">
        <f>MAX(AH29:AH41)</f>
        <v>249623.33333333334</v>
      </c>
      <c r="AW49" s="12">
        <f t="shared" ref="AW49:BG49" si="62">MAX(AI29:AI41)</f>
        <v>270766.66666666669</v>
      </c>
      <c r="AX49" s="12">
        <f t="shared" si="62"/>
        <v>369418.33333333326</v>
      </c>
      <c r="AY49" s="12">
        <f t="shared" si="62"/>
        <v>376276.26666666666</v>
      </c>
      <c r="AZ49" s="12">
        <f t="shared" si="62"/>
        <v>212150</v>
      </c>
      <c r="BA49" s="12">
        <f t="shared" si="62"/>
        <v>531266.66666666674</v>
      </c>
      <c r="BB49" s="12">
        <f t="shared" si="62"/>
        <v>477900</v>
      </c>
      <c r="BC49" s="12">
        <f t="shared" si="62"/>
        <v>237883.33333333334</v>
      </c>
      <c r="BD49" s="12">
        <f t="shared" si="62"/>
        <v>132043.08333333334</v>
      </c>
      <c r="BE49" s="12">
        <f t="shared" si="62"/>
        <v>112650</v>
      </c>
      <c r="BF49" s="12">
        <f t="shared" si="62"/>
        <v>339800</v>
      </c>
      <c r="BG49" s="12">
        <f t="shared" si="62"/>
        <v>83563.333333333343</v>
      </c>
      <c r="BL49" s="15" t="s">
        <v>15</v>
      </c>
      <c r="BM49" s="12">
        <f t="shared" si="42"/>
        <v>35070</v>
      </c>
      <c r="BN49" s="12">
        <f t="shared" ref="BN49:BX49" si="63">BM49+BN31</f>
        <v>58625.000000000007</v>
      </c>
      <c r="BO49" s="12">
        <f t="shared" si="63"/>
        <v>107100</v>
      </c>
      <c r="BP49" s="12">
        <f t="shared" si="63"/>
        <v>132737.5</v>
      </c>
      <c r="BQ49" s="12">
        <f t="shared" si="63"/>
        <v>174982.5</v>
      </c>
      <c r="BR49" s="12">
        <f t="shared" si="63"/>
        <v>239295</v>
      </c>
      <c r="BS49" s="12">
        <f t="shared" si="63"/>
        <v>301525</v>
      </c>
      <c r="BT49" s="12">
        <f t="shared" si="63"/>
        <v>339150</v>
      </c>
      <c r="BU49" s="12">
        <f t="shared" si="63"/>
        <v>373135</v>
      </c>
      <c r="BV49" s="12">
        <f t="shared" si="63"/>
        <v>410970</v>
      </c>
      <c r="BW49" s="12">
        <f t="shared" si="63"/>
        <v>437342.5</v>
      </c>
      <c r="BX49" s="12">
        <f t="shared" si="63"/>
        <v>484750</v>
      </c>
      <c r="BZ49" s="11" t="s">
        <v>31</v>
      </c>
      <c r="CA49" s="12">
        <f>MAX(BM29:BM41)</f>
        <v>52800.605000000003</v>
      </c>
      <c r="CB49" s="12">
        <f t="shared" ref="CB49:CL49" si="64">MAX(BN29:BN41)</f>
        <v>64979.127499999988</v>
      </c>
      <c r="CC49" s="12">
        <f t="shared" si="64"/>
        <v>70700</v>
      </c>
      <c r="CD49" s="12">
        <f t="shared" si="64"/>
        <v>89559.959999999992</v>
      </c>
      <c r="CE49" s="12">
        <f t="shared" si="64"/>
        <v>136150</v>
      </c>
      <c r="CF49" s="12">
        <f t="shared" si="64"/>
        <v>121403.6083333334</v>
      </c>
      <c r="CG49" s="12">
        <f t="shared" si="64"/>
        <v>86216.666666666672</v>
      </c>
      <c r="CH49" s="12">
        <f t="shared" si="64"/>
        <v>77000.000000000015</v>
      </c>
      <c r="CI49" s="12">
        <f t="shared" si="64"/>
        <v>74690.000000000029</v>
      </c>
      <c r="CJ49" s="12">
        <f t="shared" si="64"/>
        <v>66166.666666666672</v>
      </c>
      <c r="CK49" s="12">
        <f t="shared" si="64"/>
        <v>69960.000000000029</v>
      </c>
      <c r="CL49" s="12">
        <f t="shared" si="64"/>
        <v>47407.499999999993</v>
      </c>
      <c r="CP49" s="15" t="s">
        <v>15</v>
      </c>
      <c r="CQ49" s="12">
        <f t="shared" si="56"/>
        <v>117215</v>
      </c>
      <c r="CR49" s="12">
        <f t="shared" ref="CR49:DB49" si="65">CQ49+CR31</f>
        <v>214900.00000000003</v>
      </c>
      <c r="CS49" s="12">
        <f t="shared" si="65"/>
        <v>427245</v>
      </c>
      <c r="CT49" s="12">
        <f t="shared" si="65"/>
        <v>585725</v>
      </c>
      <c r="CU49" s="12">
        <f t="shared" si="65"/>
        <v>723275</v>
      </c>
      <c r="CV49" s="12">
        <f t="shared" si="65"/>
        <v>884030</v>
      </c>
      <c r="CW49" s="12">
        <f t="shared" si="65"/>
        <v>1016802.5</v>
      </c>
      <c r="CX49" s="12">
        <f t="shared" si="65"/>
        <v>1127140</v>
      </c>
      <c r="CY49" s="12">
        <f t="shared" si="65"/>
        <v>1232630</v>
      </c>
      <c r="CZ49" s="12">
        <f t="shared" si="65"/>
        <v>1342162.5</v>
      </c>
      <c r="DA49" s="12">
        <f t="shared" si="65"/>
        <v>1453620</v>
      </c>
      <c r="DB49" s="12">
        <f t="shared" si="65"/>
        <v>1586392.5</v>
      </c>
      <c r="DD49" s="11" t="s">
        <v>31</v>
      </c>
      <c r="DE49" s="12">
        <f>MAX(CQ29:CQ41)</f>
        <v>320240</v>
      </c>
      <c r="DF49" s="12">
        <f t="shared" ref="DF49:DP49" si="66">MAX(CR29:CR41)</f>
        <v>344275</v>
      </c>
      <c r="DG49" s="12">
        <f t="shared" si="66"/>
        <v>433185.83333333326</v>
      </c>
      <c r="DH49" s="12">
        <f t="shared" si="66"/>
        <v>454009.60000000003</v>
      </c>
      <c r="DI49" s="12">
        <f t="shared" si="66"/>
        <v>354228.3000000001</v>
      </c>
      <c r="DJ49" s="12">
        <f t="shared" si="66"/>
        <v>636833.33333333349</v>
      </c>
      <c r="DK49" s="12">
        <f t="shared" si="66"/>
        <v>604049.05000000005</v>
      </c>
      <c r="DL49" s="12">
        <f t="shared" si="66"/>
        <v>295000</v>
      </c>
      <c r="DM49" s="12">
        <f t="shared" si="66"/>
        <v>205916.66666666669</v>
      </c>
      <c r="DN49" s="12">
        <f t="shared" si="66"/>
        <v>167350</v>
      </c>
      <c r="DO49" s="12">
        <f t="shared" si="66"/>
        <v>393533.33333333337</v>
      </c>
      <c r="DP49" s="12">
        <f t="shared" si="66"/>
        <v>146813.33333333334</v>
      </c>
    </row>
    <row r="50" spans="3:120" x14ac:dyDescent="0.55000000000000004">
      <c r="C50" s="15" t="s">
        <v>16</v>
      </c>
      <c r="D50" s="12">
        <f t="shared" si="35"/>
        <v>21285.000000000004</v>
      </c>
      <c r="E50" s="12">
        <f t="shared" ref="E50:O50" si="67">D50+E32</f>
        <v>41451.666666666672</v>
      </c>
      <c r="F50" s="12">
        <f t="shared" si="67"/>
        <v>57365.000000000007</v>
      </c>
      <c r="G50" s="12">
        <f t="shared" si="67"/>
        <v>71426.666666666672</v>
      </c>
      <c r="H50" s="12">
        <f t="shared" si="67"/>
        <v>79181.666666666672</v>
      </c>
      <c r="I50" s="12">
        <f t="shared" si="67"/>
        <v>94618.333333333343</v>
      </c>
      <c r="J50" s="12">
        <f t="shared" si="67"/>
        <v>112750.00000000001</v>
      </c>
      <c r="K50" s="12">
        <f t="shared" si="67"/>
        <v>127618.33333333334</v>
      </c>
      <c r="L50" s="12">
        <f t="shared" si="67"/>
        <v>163643.33333333334</v>
      </c>
      <c r="M50" s="12">
        <f t="shared" si="67"/>
        <v>194791.66666666669</v>
      </c>
      <c r="N50" s="12">
        <f t="shared" si="67"/>
        <v>216370.00000000003</v>
      </c>
      <c r="O50" s="12">
        <f t="shared" si="67"/>
        <v>239800.00000000003</v>
      </c>
      <c r="Q50" s="11" t="s">
        <v>71</v>
      </c>
      <c r="R50" s="12">
        <f>AVERAGE(D30:D41)</f>
        <v>17252.047200000001</v>
      </c>
      <c r="S50" s="12">
        <f t="shared" ref="S50:AC50" si="68">AVERAGE(E30:E41)</f>
        <v>20097.148127083336</v>
      </c>
      <c r="T50" s="12">
        <f t="shared" si="68"/>
        <v>47005.142777777779</v>
      </c>
      <c r="U50" s="12">
        <f t="shared" si="68"/>
        <v>42884.191527777773</v>
      </c>
      <c r="V50" s="12">
        <f t="shared" si="68"/>
        <v>35731.204000694444</v>
      </c>
      <c r="W50" s="12">
        <f t="shared" si="68"/>
        <v>43100.638819444452</v>
      </c>
      <c r="X50" s="12">
        <f t="shared" si="68"/>
        <v>51759.261283333326</v>
      </c>
      <c r="Y50" s="12">
        <f t="shared" si="68"/>
        <v>32490.796579166668</v>
      </c>
      <c r="Z50" s="12">
        <f t="shared" si="68"/>
        <v>34660.517797916669</v>
      </c>
      <c r="AA50" s="12">
        <f t="shared" si="68"/>
        <v>27980.762425000004</v>
      </c>
      <c r="AB50" s="12">
        <f t="shared" si="68"/>
        <v>21255.922444444444</v>
      </c>
      <c r="AC50" s="12">
        <f t="shared" si="68"/>
        <v>16654.544413888889</v>
      </c>
      <c r="AG50" s="15" t="s">
        <v>16</v>
      </c>
      <c r="AH50" s="12">
        <f t="shared" si="38"/>
        <v>75386.666666666686</v>
      </c>
      <c r="AI50" s="12">
        <f t="shared" si="39"/>
        <v>154091.66666666669</v>
      </c>
      <c r="AJ50" s="12">
        <f t="shared" ref="AJ50:AS50" si="69">AI50+AJ32</f>
        <v>239631.33333333337</v>
      </c>
      <c r="AK50" s="12">
        <f t="shared" si="69"/>
        <v>304018.00000000006</v>
      </c>
      <c r="AL50" s="12">
        <f t="shared" si="69"/>
        <v>403146.33333333343</v>
      </c>
      <c r="AM50" s="12">
        <f t="shared" si="69"/>
        <v>503631.33333333349</v>
      </c>
      <c r="AN50" s="12">
        <f t="shared" si="69"/>
        <v>602796.33333333349</v>
      </c>
      <c r="AO50" s="12">
        <f t="shared" si="69"/>
        <v>669676.33333333349</v>
      </c>
      <c r="AP50" s="12">
        <f t="shared" si="69"/>
        <v>744769.66666666686</v>
      </c>
      <c r="AQ50" s="12">
        <f t="shared" si="69"/>
        <v>807029.66666666686</v>
      </c>
      <c r="AR50" s="12">
        <f t="shared" si="69"/>
        <v>865788.00000000023</v>
      </c>
      <c r="AS50" s="12">
        <f t="shared" si="69"/>
        <v>943594.66666666686</v>
      </c>
      <c r="AU50" s="11" t="s">
        <v>71</v>
      </c>
      <c r="AV50" s="12">
        <f>AVERAGE(AH30:AH41)</f>
        <v>49660.910069444442</v>
      </c>
      <c r="AW50" s="12">
        <f t="shared" ref="AW50:BG50" si="70">AVERAGE(AI30:AI41)</f>
        <v>61297.667694444441</v>
      </c>
      <c r="AX50" s="12">
        <f t="shared" si="70"/>
        <v>123232.94970833334</v>
      </c>
      <c r="AY50" s="12">
        <f t="shared" si="70"/>
        <v>121175.16798611113</v>
      </c>
      <c r="AZ50" s="12">
        <f t="shared" si="70"/>
        <v>123574.34256944449</v>
      </c>
      <c r="BA50" s="12">
        <f t="shared" si="70"/>
        <v>151432.69993055557</v>
      </c>
      <c r="BB50" s="12">
        <f t="shared" si="70"/>
        <v>140515.57822222225</v>
      </c>
      <c r="BC50" s="12">
        <f t="shared" si="70"/>
        <v>94500.547430555569</v>
      </c>
      <c r="BD50" s="12">
        <f t="shared" si="70"/>
        <v>67778.192847222221</v>
      </c>
      <c r="BE50" s="12">
        <f t="shared" si="70"/>
        <v>65647.253402777787</v>
      </c>
      <c r="BF50" s="12">
        <f t="shared" si="70"/>
        <v>85324.866236111106</v>
      </c>
      <c r="BG50" s="12">
        <f t="shared" si="70"/>
        <v>58037.386597222234</v>
      </c>
      <c r="BL50" s="15" t="s">
        <v>16</v>
      </c>
      <c r="BM50" s="12">
        <f t="shared" si="42"/>
        <v>24893.000000000004</v>
      </c>
      <c r="BN50" s="12">
        <f t="shared" ref="BN50:BX50" si="71">BM50+BN32</f>
        <v>43391.333333333343</v>
      </c>
      <c r="BO50" s="12">
        <f t="shared" si="71"/>
        <v>103616.33333333337</v>
      </c>
      <c r="BP50" s="12">
        <f t="shared" si="71"/>
        <v>144609.66666666672</v>
      </c>
      <c r="BQ50" s="12">
        <f t="shared" si="71"/>
        <v>180451.33333333337</v>
      </c>
      <c r="BR50" s="12">
        <f t="shared" si="71"/>
        <v>254224.66666666669</v>
      </c>
      <c r="BS50" s="12">
        <f t="shared" si="71"/>
        <v>319711.33333333337</v>
      </c>
      <c r="BT50" s="12">
        <f t="shared" si="71"/>
        <v>396711.33333333337</v>
      </c>
      <c r="BU50" s="12">
        <f t="shared" si="71"/>
        <v>471401.33333333337</v>
      </c>
      <c r="BV50" s="12">
        <f t="shared" si="71"/>
        <v>488158.00000000006</v>
      </c>
      <c r="BW50" s="12">
        <f t="shared" si="71"/>
        <v>558118.00000000012</v>
      </c>
      <c r="BX50" s="12">
        <f t="shared" si="71"/>
        <v>603694.66666666674</v>
      </c>
      <c r="BZ50" s="11" t="s">
        <v>71</v>
      </c>
      <c r="CA50" s="12">
        <f>AVERAGE(BM30:BM41)</f>
        <v>25881.952395833334</v>
      </c>
      <c r="CB50" s="12">
        <f t="shared" ref="CB50:CL50" si="72">AVERAGE(BN30:BN41)</f>
        <v>28273.143847222218</v>
      </c>
      <c r="CC50" s="12">
        <f t="shared" si="72"/>
        <v>44461.371250000004</v>
      </c>
      <c r="CD50" s="12">
        <f t="shared" si="72"/>
        <v>48680.626666666671</v>
      </c>
      <c r="CE50" s="12">
        <f t="shared" si="72"/>
        <v>55542.597180555553</v>
      </c>
      <c r="CF50" s="12">
        <f t="shared" si="72"/>
        <v>73313.009513888901</v>
      </c>
      <c r="CG50" s="12">
        <f t="shared" si="72"/>
        <v>44487.852430555562</v>
      </c>
      <c r="CH50" s="12">
        <f t="shared" si="72"/>
        <v>45848.938750000001</v>
      </c>
      <c r="CI50" s="12">
        <f t="shared" si="72"/>
        <v>43584.038680555554</v>
      </c>
      <c r="CJ50" s="12">
        <f t="shared" si="72"/>
        <v>33994.603055555555</v>
      </c>
      <c r="CK50" s="12">
        <f t="shared" si="72"/>
        <v>32735.137291666673</v>
      </c>
      <c r="CL50" s="12">
        <f t="shared" si="72"/>
        <v>35500.606614583325</v>
      </c>
      <c r="CP50" s="15" t="s">
        <v>16</v>
      </c>
      <c r="CQ50" s="12">
        <f t="shared" si="56"/>
        <v>121564.66666666669</v>
      </c>
      <c r="CR50" s="12">
        <f t="shared" ref="CR50:DB50" si="73">CQ50+CR32</f>
        <v>238934.66666666672</v>
      </c>
      <c r="CS50" s="12">
        <f t="shared" si="73"/>
        <v>400612.66666666674</v>
      </c>
      <c r="CT50" s="12">
        <f t="shared" si="73"/>
        <v>520054.33333333343</v>
      </c>
      <c r="CU50" s="12">
        <f t="shared" si="73"/>
        <v>662779.33333333349</v>
      </c>
      <c r="CV50" s="12">
        <f t="shared" si="73"/>
        <v>852474.33333333349</v>
      </c>
      <c r="CW50" s="12">
        <f t="shared" si="73"/>
        <v>1035257.6666666669</v>
      </c>
      <c r="CX50" s="12">
        <f t="shared" si="73"/>
        <v>1194006.0000000002</v>
      </c>
      <c r="CY50" s="12">
        <f t="shared" si="73"/>
        <v>1379814.3333333335</v>
      </c>
      <c r="CZ50" s="12">
        <f t="shared" si="73"/>
        <v>1489979.3333333335</v>
      </c>
      <c r="DA50" s="12">
        <f t="shared" si="73"/>
        <v>1640276.0000000002</v>
      </c>
      <c r="DB50" s="12">
        <f t="shared" si="73"/>
        <v>1787089.3333333335</v>
      </c>
      <c r="DD50" s="11" t="s">
        <v>71</v>
      </c>
      <c r="DE50" s="12">
        <f>AVERAGE(CQ30:CQ41)</f>
        <v>92794.909665277766</v>
      </c>
      <c r="DF50" s="12">
        <f t="shared" ref="DF50:DP50" si="74">AVERAGE(CR30:CR41)</f>
        <v>109667.95966875002</v>
      </c>
      <c r="DG50" s="12">
        <f t="shared" si="74"/>
        <v>214699.46373611115</v>
      </c>
      <c r="DH50" s="12">
        <f t="shared" si="74"/>
        <v>212739.98618055557</v>
      </c>
      <c r="DI50" s="12">
        <f t="shared" si="74"/>
        <v>214848.14375069443</v>
      </c>
      <c r="DJ50" s="12">
        <f t="shared" si="74"/>
        <v>267846.34826388891</v>
      </c>
      <c r="DK50" s="12">
        <f t="shared" si="74"/>
        <v>236762.69193611116</v>
      </c>
      <c r="DL50" s="12">
        <f t="shared" si="74"/>
        <v>172840.28275972223</v>
      </c>
      <c r="DM50" s="12">
        <f t="shared" si="74"/>
        <v>146022.74932569449</v>
      </c>
      <c r="DN50" s="12">
        <f t="shared" si="74"/>
        <v>127622.61888333333</v>
      </c>
      <c r="DO50" s="12">
        <f t="shared" si="74"/>
        <v>139315.92597222221</v>
      </c>
      <c r="DP50" s="12">
        <f t="shared" si="74"/>
        <v>110192.53762569446</v>
      </c>
    </row>
    <row r="51" spans="3:120" x14ac:dyDescent="0.55000000000000004">
      <c r="C51" s="15" t="s">
        <v>17</v>
      </c>
      <c r="D51" s="12">
        <f t="shared" si="35"/>
        <v>22156.666666666664</v>
      </c>
      <c r="E51" s="12">
        <f t="shared" ref="E51:O51" si="75">D51+E33</f>
        <v>46690</v>
      </c>
      <c r="F51" s="12">
        <f t="shared" si="75"/>
        <v>85253.333333333328</v>
      </c>
      <c r="G51" s="12">
        <f t="shared" si="75"/>
        <v>103404.16666666666</v>
      </c>
      <c r="H51" s="12">
        <f t="shared" si="75"/>
        <v>123260.83333333333</v>
      </c>
      <c r="I51" s="12">
        <f t="shared" si="75"/>
        <v>138766.66666666666</v>
      </c>
      <c r="J51" s="12">
        <f t="shared" si="75"/>
        <v>162226.66666666666</v>
      </c>
      <c r="K51" s="12">
        <f t="shared" si="75"/>
        <v>185035</v>
      </c>
      <c r="L51" s="12">
        <f t="shared" si="75"/>
        <v>207900.83333333334</v>
      </c>
      <c r="M51" s="12">
        <f t="shared" si="75"/>
        <v>223955.21666666667</v>
      </c>
      <c r="N51" s="12">
        <f t="shared" si="75"/>
        <v>235178.64166666666</v>
      </c>
      <c r="O51" s="12">
        <f t="shared" si="75"/>
        <v>243964.06666666665</v>
      </c>
      <c r="AG51" s="15" t="s">
        <v>17</v>
      </c>
      <c r="AH51" s="12">
        <f t="shared" si="38"/>
        <v>56349.999999999985</v>
      </c>
      <c r="AI51" s="12">
        <f t="shared" si="39"/>
        <v>175988.33333333328</v>
      </c>
      <c r="AJ51" s="12">
        <f t="shared" ref="AJ51:AS51" si="76">AI51+AJ33</f>
        <v>545406.66666666651</v>
      </c>
      <c r="AK51" s="12">
        <f t="shared" si="76"/>
        <v>636927.49999999988</v>
      </c>
      <c r="AL51" s="12">
        <f t="shared" si="76"/>
        <v>796796.66666666651</v>
      </c>
      <c r="AM51" s="12">
        <f t="shared" si="76"/>
        <v>856232.49999999988</v>
      </c>
      <c r="AN51" s="12">
        <f t="shared" si="76"/>
        <v>926229.16666666651</v>
      </c>
      <c r="AO51" s="12">
        <f t="shared" si="76"/>
        <v>977519.16666666651</v>
      </c>
      <c r="AP51" s="12">
        <f t="shared" si="76"/>
        <v>1027754.9999999998</v>
      </c>
      <c r="AQ51" s="12">
        <f t="shared" si="76"/>
        <v>1093940.9499999997</v>
      </c>
      <c r="AR51" s="12">
        <f t="shared" si="76"/>
        <v>1201641.8999999997</v>
      </c>
      <c r="AS51" s="12">
        <f t="shared" si="76"/>
        <v>1259065.8083333331</v>
      </c>
      <c r="BL51" s="15" t="s">
        <v>17</v>
      </c>
      <c r="BM51" s="12">
        <f t="shared" si="42"/>
        <v>30935</v>
      </c>
      <c r="BN51" s="12">
        <f t="shared" ref="BN51:BX51" si="77">BM51+BN33</f>
        <v>54567.5</v>
      </c>
      <c r="BO51" s="12">
        <f t="shared" si="77"/>
        <v>79771.666666666672</v>
      </c>
      <c r="BP51" s="12">
        <f t="shared" si="77"/>
        <v>99149.166666666672</v>
      </c>
      <c r="BQ51" s="12">
        <f t="shared" si="77"/>
        <v>134051.66666666666</v>
      </c>
      <c r="BR51" s="12">
        <f t="shared" si="77"/>
        <v>224230.83333333331</v>
      </c>
      <c r="BS51" s="12">
        <f t="shared" si="77"/>
        <v>264480.83333333331</v>
      </c>
      <c r="BT51" s="12">
        <f t="shared" si="77"/>
        <v>316805.83333333331</v>
      </c>
      <c r="BU51" s="12">
        <f t="shared" si="77"/>
        <v>354775</v>
      </c>
      <c r="BV51" s="12">
        <f t="shared" si="77"/>
        <v>384957.9</v>
      </c>
      <c r="BW51" s="12">
        <f t="shared" si="77"/>
        <v>396053.67500000005</v>
      </c>
      <c r="BX51" s="12">
        <f t="shared" si="77"/>
        <v>425006.1708333334</v>
      </c>
      <c r="CP51" s="15" t="s">
        <v>17</v>
      </c>
      <c r="CQ51" s="12">
        <f t="shared" si="56"/>
        <v>109441.66666666666</v>
      </c>
      <c r="CR51" s="12">
        <f t="shared" ref="CR51:DB51" si="78">CQ51+CR33</f>
        <v>277245.83333333326</v>
      </c>
      <c r="CS51" s="12">
        <f t="shared" si="78"/>
        <v>710431.66666666651</v>
      </c>
      <c r="CT51" s="12">
        <f t="shared" si="78"/>
        <v>839480.83333333326</v>
      </c>
      <c r="CU51" s="12">
        <f t="shared" si="78"/>
        <v>1054109.1666666665</v>
      </c>
      <c r="CV51" s="12">
        <f t="shared" si="78"/>
        <v>1219229.9999999998</v>
      </c>
      <c r="CW51" s="12">
        <f t="shared" si="78"/>
        <v>1352936.6666666665</v>
      </c>
      <c r="CX51" s="12">
        <f t="shared" si="78"/>
        <v>1479359.9999999998</v>
      </c>
      <c r="CY51" s="12">
        <f t="shared" si="78"/>
        <v>1590430.833333333</v>
      </c>
      <c r="CZ51" s="12">
        <f t="shared" si="78"/>
        <v>1702854.0666666664</v>
      </c>
      <c r="DA51" s="12">
        <f t="shared" si="78"/>
        <v>1832874.2166666663</v>
      </c>
      <c r="DB51" s="12">
        <f t="shared" si="78"/>
        <v>1928036.0458333329</v>
      </c>
    </row>
    <row r="52" spans="3:120" x14ac:dyDescent="0.55000000000000004">
      <c r="C52" s="15" t="s">
        <v>18</v>
      </c>
      <c r="D52" s="12">
        <f t="shared" si="35"/>
        <v>12265.0514</v>
      </c>
      <c r="E52" s="12">
        <f t="shared" ref="E52:O52" si="79">D52+E34</f>
        <v>17935.0514</v>
      </c>
      <c r="F52" s="12">
        <f t="shared" si="79"/>
        <v>32593.0514</v>
      </c>
      <c r="G52" s="12">
        <f t="shared" si="79"/>
        <v>47012.176399999997</v>
      </c>
      <c r="H52" s="12">
        <f t="shared" si="79"/>
        <v>53913.501075</v>
      </c>
      <c r="I52" s="12">
        <f t="shared" si="79"/>
        <v>71048.853575000001</v>
      </c>
      <c r="J52" s="12">
        <f t="shared" si="79"/>
        <v>87249.948975000007</v>
      </c>
      <c r="K52" s="12">
        <f t="shared" si="79"/>
        <v>114461.74897500001</v>
      </c>
      <c r="L52" s="12">
        <f t="shared" si="79"/>
        <v>135218.49897499999</v>
      </c>
      <c r="M52" s="12">
        <f t="shared" si="79"/>
        <v>149157.07397500001</v>
      </c>
      <c r="N52" s="12">
        <f t="shared" si="79"/>
        <v>161573.848975</v>
      </c>
      <c r="O52" s="12">
        <f t="shared" si="79"/>
        <v>169564.687775</v>
      </c>
      <c r="AG52" s="15" t="s">
        <v>18</v>
      </c>
      <c r="AH52" s="12">
        <f t="shared" si="38"/>
        <v>36809.027500000004</v>
      </c>
      <c r="AI52" s="12">
        <f t="shared" si="39"/>
        <v>85645.717500000013</v>
      </c>
      <c r="AJ52" s="12">
        <f t="shared" ref="AJ52:AS52" si="80">AI52+AJ34</f>
        <v>141897.80499999999</v>
      </c>
      <c r="AK52" s="12">
        <f t="shared" si="80"/>
        <v>258446.03749999995</v>
      </c>
      <c r="AL52" s="12">
        <f t="shared" si="80"/>
        <v>347218.09499999991</v>
      </c>
      <c r="AM52" s="12">
        <f t="shared" si="80"/>
        <v>475264.03749999998</v>
      </c>
      <c r="AN52" s="12">
        <f t="shared" si="80"/>
        <v>556995.17999999993</v>
      </c>
      <c r="AO52" s="12">
        <f t="shared" si="80"/>
        <v>649838.85749999993</v>
      </c>
      <c r="AP52" s="12">
        <f t="shared" si="80"/>
        <v>709877.40249999997</v>
      </c>
      <c r="AQ52" s="12">
        <f t="shared" si="80"/>
        <v>788379.44499999995</v>
      </c>
      <c r="AR52" s="12">
        <f t="shared" si="80"/>
        <v>868743.15499999991</v>
      </c>
      <c r="AS52" s="12">
        <f t="shared" si="80"/>
        <v>907372.30499999993</v>
      </c>
      <c r="BL52" s="15" t="s">
        <v>18</v>
      </c>
      <c r="BM52" s="12">
        <f t="shared" si="42"/>
        <v>15334.480000000001</v>
      </c>
      <c r="BN52" s="12">
        <f t="shared" ref="BN52:BX52" si="81">BM52+BN34</f>
        <v>31284.662500000006</v>
      </c>
      <c r="BO52" s="12">
        <f t="shared" si="81"/>
        <v>89706.662500000006</v>
      </c>
      <c r="BP52" s="12">
        <f t="shared" si="81"/>
        <v>150640.15750000003</v>
      </c>
      <c r="BQ52" s="12">
        <f t="shared" si="81"/>
        <v>207184.33750000005</v>
      </c>
      <c r="BR52" s="12">
        <f t="shared" si="81"/>
        <v>275221.18750000006</v>
      </c>
      <c r="BS52" s="12">
        <f t="shared" si="81"/>
        <v>302522.76250000007</v>
      </c>
      <c r="BT52" s="12">
        <f t="shared" si="81"/>
        <v>353792.68750000006</v>
      </c>
      <c r="BU52" s="12">
        <f t="shared" si="81"/>
        <v>408467.30750000005</v>
      </c>
      <c r="BV52" s="12">
        <f t="shared" si="81"/>
        <v>452912.75750000007</v>
      </c>
      <c r="BW52" s="12">
        <f t="shared" si="81"/>
        <v>492514.03250000009</v>
      </c>
      <c r="BX52" s="12">
        <f t="shared" si="81"/>
        <v>539447.28687500011</v>
      </c>
      <c r="CP52" s="15" t="s">
        <v>18</v>
      </c>
      <c r="CQ52" s="12">
        <f t="shared" si="56"/>
        <v>64408.558900000004</v>
      </c>
      <c r="CR52" s="12">
        <f t="shared" ref="CR52:DB52" si="82">CQ52+CR34</f>
        <v>134865.4314</v>
      </c>
      <c r="CS52" s="12">
        <f t="shared" si="82"/>
        <v>264197.51889999997</v>
      </c>
      <c r="CT52" s="12">
        <f t="shared" si="82"/>
        <v>456098.37139999995</v>
      </c>
      <c r="CU52" s="12">
        <f t="shared" si="82"/>
        <v>608315.93357499992</v>
      </c>
      <c r="CV52" s="12">
        <f t="shared" si="82"/>
        <v>821534.07857499993</v>
      </c>
      <c r="CW52" s="12">
        <f t="shared" si="82"/>
        <v>946767.89147499995</v>
      </c>
      <c r="CX52" s="12">
        <f t="shared" si="82"/>
        <v>1118093.293975</v>
      </c>
      <c r="CY52" s="12">
        <f t="shared" si="82"/>
        <v>1253563.2089750001</v>
      </c>
      <c r="CZ52" s="12">
        <f t="shared" si="82"/>
        <v>1390449.2764750002</v>
      </c>
      <c r="DA52" s="12">
        <f t="shared" si="82"/>
        <v>1522831.0364750002</v>
      </c>
      <c r="DB52" s="12">
        <f t="shared" si="82"/>
        <v>1616384.2796500002</v>
      </c>
    </row>
    <row r="53" spans="3:120" x14ac:dyDescent="0.55000000000000004">
      <c r="C53" s="15" t="s">
        <v>19</v>
      </c>
      <c r="D53" s="12">
        <f t="shared" si="35"/>
        <v>11708.724999999999</v>
      </c>
      <c r="E53" s="12">
        <f t="shared" ref="E53:O53" si="83">D53+E35</f>
        <v>21006.902525000001</v>
      </c>
      <c r="F53" s="12">
        <f t="shared" si="83"/>
        <v>26676.902525000001</v>
      </c>
      <c r="G53" s="12">
        <f t="shared" si="83"/>
        <v>45954.832525000005</v>
      </c>
      <c r="H53" s="12">
        <f t="shared" si="83"/>
        <v>57247.932525000004</v>
      </c>
      <c r="I53" s="12">
        <f t="shared" si="83"/>
        <v>70276.08752500001</v>
      </c>
      <c r="J53" s="12">
        <f t="shared" si="83"/>
        <v>80667.552525000006</v>
      </c>
      <c r="K53" s="12">
        <f t="shared" si="83"/>
        <v>96483.071475000004</v>
      </c>
      <c r="L53" s="12">
        <f t="shared" si="83"/>
        <v>135372.52505</v>
      </c>
      <c r="M53" s="12">
        <f t="shared" si="83"/>
        <v>147127.95615000001</v>
      </c>
      <c r="N53" s="12">
        <f t="shared" si="83"/>
        <v>158354.90615000002</v>
      </c>
      <c r="O53" s="12">
        <f t="shared" si="83"/>
        <v>170257.75865000003</v>
      </c>
      <c r="AG53" s="15" t="s">
        <v>19</v>
      </c>
      <c r="AH53" s="12">
        <f t="shared" si="38"/>
        <v>42444.535000000011</v>
      </c>
      <c r="AI53" s="12">
        <f t="shared" si="39"/>
        <v>116820.06000000003</v>
      </c>
      <c r="AJ53" s="12">
        <f t="shared" ref="AJ53:AS53" si="84">AI53+AJ35</f>
        <v>234875.28750000003</v>
      </c>
      <c r="AK53" s="12">
        <f t="shared" si="84"/>
        <v>384975.4825000001</v>
      </c>
      <c r="AL53" s="12">
        <f t="shared" si="84"/>
        <v>460505.06250000012</v>
      </c>
      <c r="AM53" s="12">
        <f t="shared" si="84"/>
        <v>574771.4175000001</v>
      </c>
      <c r="AN53" s="12">
        <f t="shared" si="84"/>
        <v>628390.38500000013</v>
      </c>
      <c r="AO53" s="12">
        <f t="shared" si="84"/>
        <v>692034.31500000018</v>
      </c>
      <c r="AP53" s="12">
        <f t="shared" si="84"/>
        <v>745500.71750000014</v>
      </c>
      <c r="AQ53" s="12">
        <f t="shared" si="84"/>
        <v>815494.66250000009</v>
      </c>
      <c r="AR53" s="12">
        <f t="shared" si="84"/>
        <v>888563.93500000006</v>
      </c>
      <c r="AS53" s="12">
        <f t="shared" si="84"/>
        <v>947442.00250000006</v>
      </c>
      <c r="BL53" s="15" t="s">
        <v>19</v>
      </c>
      <c r="BM53" s="12">
        <f t="shared" si="42"/>
        <v>50016.050000000017</v>
      </c>
      <c r="BN53" s="12">
        <f t="shared" ref="BN53:BX53" si="85">BM53+BN35</f>
        <v>114995.17750000001</v>
      </c>
      <c r="BO53" s="12">
        <f t="shared" si="85"/>
        <v>153866.8075</v>
      </c>
      <c r="BP53" s="12">
        <f t="shared" si="85"/>
        <v>243426.76749999999</v>
      </c>
      <c r="BQ53" s="12">
        <f t="shared" si="85"/>
        <v>283685.11499999999</v>
      </c>
      <c r="BR53" s="12">
        <f t="shared" si="85"/>
        <v>336731.09749999997</v>
      </c>
      <c r="BS53" s="12">
        <f t="shared" si="85"/>
        <v>367902.95499999996</v>
      </c>
      <c r="BT53" s="12">
        <f t="shared" si="85"/>
        <v>411282.26999999996</v>
      </c>
      <c r="BU53" s="12">
        <f t="shared" si="85"/>
        <v>461775.50999999995</v>
      </c>
      <c r="BV53" s="12">
        <f t="shared" si="85"/>
        <v>515602.28999999992</v>
      </c>
      <c r="BW53" s="12">
        <f t="shared" si="85"/>
        <v>556183.40749999997</v>
      </c>
      <c r="BX53" s="12">
        <f t="shared" si="85"/>
        <v>590952.14500000002</v>
      </c>
      <c r="CP53" s="15" t="s">
        <v>19</v>
      </c>
      <c r="CQ53" s="12">
        <f t="shared" si="56"/>
        <v>104169.31000000003</v>
      </c>
      <c r="CR53" s="12">
        <f t="shared" ref="CR53:DB53" si="86">CQ53+CR35</f>
        <v>252822.14002500003</v>
      </c>
      <c r="CS53" s="12">
        <f t="shared" si="86"/>
        <v>415418.99752500001</v>
      </c>
      <c r="CT53" s="12">
        <f t="shared" si="86"/>
        <v>674357.08252500009</v>
      </c>
      <c r="CU53" s="12">
        <f t="shared" si="86"/>
        <v>801438.11002500006</v>
      </c>
      <c r="CV53" s="12">
        <f t="shared" si="86"/>
        <v>981778.60252499999</v>
      </c>
      <c r="CW53" s="12">
        <f t="shared" si="86"/>
        <v>1076960.892525</v>
      </c>
      <c r="CX53" s="12">
        <f t="shared" si="86"/>
        <v>1199799.6564750001</v>
      </c>
      <c r="CY53" s="12">
        <f t="shared" si="86"/>
        <v>1342648.7525500001</v>
      </c>
      <c r="CZ53" s="12">
        <f t="shared" si="86"/>
        <v>1478224.9086500001</v>
      </c>
      <c r="DA53" s="12">
        <f t="shared" si="86"/>
        <v>1603102.2486500002</v>
      </c>
      <c r="DB53" s="12">
        <f t="shared" si="86"/>
        <v>1708651.9061500002</v>
      </c>
    </row>
    <row r="54" spans="3:120" x14ac:dyDescent="0.55000000000000004">
      <c r="C54" s="15" t="s">
        <v>20</v>
      </c>
      <c r="D54" s="12">
        <f t="shared" si="35"/>
        <v>20079.62</v>
      </c>
      <c r="E54" s="12">
        <f t="shared" ref="E54:O54" si="87">D54+E36</f>
        <v>27603.62</v>
      </c>
      <c r="F54" s="12">
        <f t="shared" si="87"/>
        <v>35494.25</v>
      </c>
      <c r="G54" s="12">
        <f t="shared" si="87"/>
        <v>60791.06</v>
      </c>
      <c r="H54" s="12">
        <f t="shared" si="87"/>
        <v>76983.316666666666</v>
      </c>
      <c r="I54" s="12">
        <f t="shared" si="87"/>
        <v>108667.99166666667</v>
      </c>
      <c r="J54" s="12">
        <f t="shared" si="87"/>
        <v>127436.1</v>
      </c>
      <c r="K54" s="12">
        <f t="shared" si="87"/>
        <v>140634.34</v>
      </c>
      <c r="L54" s="12">
        <f t="shared" si="87"/>
        <v>150685.51666666666</v>
      </c>
      <c r="M54" s="12">
        <f t="shared" si="87"/>
        <v>157593.02166666667</v>
      </c>
      <c r="N54" s="12">
        <f t="shared" si="87"/>
        <v>166107.20500000002</v>
      </c>
      <c r="O54" s="12">
        <f t="shared" si="87"/>
        <v>177793.78833333336</v>
      </c>
      <c r="AG54" s="15" t="s">
        <v>20</v>
      </c>
      <c r="AH54" s="12">
        <f t="shared" si="38"/>
        <v>44811.066666666651</v>
      </c>
      <c r="AI54" s="12">
        <f t="shared" si="39"/>
        <v>83602.126666666649</v>
      </c>
      <c r="AJ54" s="12">
        <f t="shared" ref="AJ54:AS54" si="88">AI54+AJ36</f>
        <v>156694.68833333335</v>
      </c>
      <c r="AK54" s="12">
        <f t="shared" si="88"/>
        <v>235346.99833333341</v>
      </c>
      <c r="AL54" s="12">
        <f t="shared" si="88"/>
        <v>347578.93500000011</v>
      </c>
      <c r="AM54" s="12">
        <f t="shared" si="88"/>
        <v>452782.03666666674</v>
      </c>
      <c r="AN54" s="12">
        <f t="shared" si="88"/>
        <v>623086.69866666687</v>
      </c>
      <c r="AO54" s="12">
        <f t="shared" si="88"/>
        <v>709152.29366666684</v>
      </c>
      <c r="AP54" s="12">
        <f t="shared" si="88"/>
        <v>779110.8636666669</v>
      </c>
      <c r="AQ54" s="12">
        <f t="shared" si="88"/>
        <v>835022.9836666669</v>
      </c>
      <c r="AR54" s="12">
        <f t="shared" si="88"/>
        <v>901985.54600000032</v>
      </c>
      <c r="AS54" s="12">
        <f t="shared" si="88"/>
        <v>966097.21266666707</v>
      </c>
      <c r="BL54" s="15" t="s">
        <v>20</v>
      </c>
      <c r="BM54" s="12">
        <f t="shared" si="42"/>
        <v>52800.605000000003</v>
      </c>
      <c r="BN54" s="12">
        <f t="shared" ref="BN54:BX54" si="89">BM54+BN36</f>
        <v>97809.066666666651</v>
      </c>
      <c r="BO54" s="12">
        <f t="shared" si="89"/>
        <v>147935.73666666663</v>
      </c>
      <c r="BP54" s="12">
        <f t="shared" si="89"/>
        <v>175155.34666666662</v>
      </c>
      <c r="BQ54" s="12">
        <f t="shared" si="89"/>
        <v>239431.48533333329</v>
      </c>
      <c r="BR54" s="12">
        <f t="shared" si="89"/>
        <v>274615.51699999993</v>
      </c>
      <c r="BS54" s="12">
        <f t="shared" si="89"/>
        <v>306081.89699999994</v>
      </c>
      <c r="BT54" s="12">
        <f t="shared" si="89"/>
        <v>330900.92199999996</v>
      </c>
      <c r="BU54" s="12">
        <f t="shared" si="89"/>
        <v>368404.16433333326</v>
      </c>
      <c r="BV54" s="12">
        <f t="shared" si="89"/>
        <v>404961.27099999995</v>
      </c>
      <c r="BW54" s="12">
        <f t="shared" si="89"/>
        <v>418601.41766666662</v>
      </c>
      <c r="BX54" s="12">
        <f t="shared" si="89"/>
        <v>444805.7533333333</v>
      </c>
      <c r="CP54" s="15" t="s">
        <v>20</v>
      </c>
      <c r="CQ54" s="12">
        <f t="shared" si="56"/>
        <v>117691.29166666666</v>
      </c>
      <c r="CR54" s="12">
        <f t="shared" ref="CR54:DB54" si="90">CQ54+CR36</f>
        <v>209014.81333333332</v>
      </c>
      <c r="CS54" s="12">
        <f t="shared" si="90"/>
        <v>340124.67500000005</v>
      </c>
      <c r="CT54" s="12">
        <f t="shared" si="90"/>
        <v>471293.40500000009</v>
      </c>
      <c r="CU54" s="12">
        <f t="shared" si="90"/>
        <v>663993.73700000008</v>
      </c>
      <c r="CV54" s="12">
        <f t="shared" si="90"/>
        <v>836065.54533333331</v>
      </c>
      <c r="CW54" s="12">
        <f t="shared" si="90"/>
        <v>1056604.6956666668</v>
      </c>
      <c r="CX54" s="12">
        <f t="shared" si="90"/>
        <v>1180687.5556666669</v>
      </c>
      <c r="CY54" s="12">
        <f t="shared" si="90"/>
        <v>1298200.544666667</v>
      </c>
      <c r="CZ54" s="12">
        <f t="shared" si="90"/>
        <v>1397577.2763333337</v>
      </c>
      <c r="DA54" s="12">
        <f t="shared" si="90"/>
        <v>1486694.1686666671</v>
      </c>
      <c r="DB54" s="12">
        <f t="shared" si="90"/>
        <v>1588696.7543333338</v>
      </c>
    </row>
    <row r="55" spans="3:120" x14ac:dyDescent="0.55000000000000004">
      <c r="C55" s="15" t="s">
        <v>21</v>
      </c>
      <c r="D55" s="12">
        <f t="shared" si="35"/>
        <v>6093.2666666666682</v>
      </c>
      <c r="E55" s="12">
        <f t="shared" ref="E55:O55" si="91">D55+E37</f>
        <v>16386.700000000004</v>
      </c>
      <c r="F55" s="12">
        <f t="shared" si="91"/>
        <v>32053.450000000004</v>
      </c>
      <c r="G55" s="12">
        <f t="shared" si="91"/>
        <v>50877.383333333331</v>
      </c>
      <c r="H55" s="12">
        <f t="shared" si="91"/>
        <v>58276.35</v>
      </c>
      <c r="I55" s="12">
        <f t="shared" si="91"/>
        <v>78272.516666666663</v>
      </c>
      <c r="J55" s="12">
        <f t="shared" si="91"/>
        <v>97606.483333333337</v>
      </c>
      <c r="K55" s="12">
        <f t="shared" si="91"/>
        <v>108940.15000000001</v>
      </c>
      <c r="L55" s="12">
        <f t="shared" si="91"/>
        <v>117564.15000000001</v>
      </c>
      <c r="M55" s="12">
        <f t="shared" si="91"/>
        <v>128890.48333333334</v>
      </c>
      <c r="N55" s="12">
        <f t="shared" si="91"/>
        <v>146831.48333333334</v>
      </c>
      <c r="O55" s="12">
        <f t="shared" si="91"/>
        <v>166965.15</v>
      </c>
      <c r="AG55" s="15" t="s">
        <v>21</v>
      </c>
      <c r="AH55" s="12">
        <f t="shared" si="38"/>
        <v>66644.508333333346</v>
      </c>
      <c r="AI55" s="12">
        <f t="shared" si="39"/>
        <v>108397.36233333335</v>
      </c>
      <c r="AJ55" s="12">
        <f t="shared" ref="AJ55:AS55" si="92">AI55+AJ37</f>
        <v>156556.69883333336</v>
      </c>
      <c r="AK55" s="12">
        <f t="shared" si="92"/>
        <v>197543.37716666667</v>
      </c>
      <c r="AL55" s="12">
        <f t="shared" si="92"/>
        <v>255181.58050000001</v>
      </c>
      <c r="AM55" s="12">
        <f t="shared" si="92"/>
        <v>353713.3471666667</v>
      </c>
      <c r="AN55" s="12">
        <f t="shared" si="92"/>
        <v>433326.21383333334</v>
      </c>
      <c r="AO55" s="12">
        <f t="shared" si="92"/>
        <v>528781.09716666676</v>
      </c>
      <c r="AP55" s="12">
        <f t="shared" si="92"/>
        <v>592673.64383333339</v>
      </c>
      <c r="AQ55" s="12">
        <f t="shared" si="92"/>
        <v>668528.54383333342</v>
      </c>
      <c r="AR55" s="12">
        <f t="shared" si="92"/>
        <v>734593.44383333344</v>
      </c>
      <c r="AS55" s="12">
        <f t="shared" si="92"/>
        <v>817155.19050000014</v>
      </c>
      <c r="BL55" s="15" t="s">
        <v>21</v>
      </c>
      <c r="BM55" s="12">
        <f t="shared" si="42"/>
        <v>4614.2937500000007</v>
      </c>
      <c r="BN55" s="12">
        <f t="shared" ref="BN55:BX55" si="93">BM55+BN37</f>
        <v>21470.431583333335</v>
      </c>
      <c r="BO55" s="12">
        <f t="shared" si="93"/>
        <v>43356.63658333334</v>
      </c>
      <c r="BP55" s="12">
        <f t="shared" si="93"/>
        <v>78121.091583333342</v>
      </c>
      <c r="BQ55" s="12">
        <f t="shared" si="93"/>
        <v>121681.09158333336</v>
      </c>
      <c r="BR55" s="12">
        <f t="shared" si="93"/>
        <v>207518.39991666676</v>
      </c>
      <c r="BS55" s="12">
        <f t="shared" si="93"/>
        <v>231190.39991666676</v>
      </c>
      <c r="BT55" s="12">
        <f t="shared" si="93"/>
        <v>261447.73325000011</v>
      </c>
      <c r="BU55" s="12">
        <f t="shared" si="93"/>
        <v>278087.06658333342</v>
      </c>
      <c r="BV55" s="12">
        <f t="shared" si="93"/>
        <v>305304.73325000011</v>
      </c>
      <c r="BW55" s="12">
        <f t="shared" si="93"/>
        <v>327183.73325000011</v>
      </c>
      <c r="BX55" s="12">
        <f t="shared" si="93"/>
        <v>349611.26658333343</v>
      </c>
      <c r="CP55" s="15" t="s">
        <v>21</v>
      </c>
      <c r="CQ55" s="12">
        <f t="shared" si="56"/>
        <v>77352.068750000006</v>
      </c>
      <c r="CR55" s="12">
        <f t="shared" ref="CR55:DB55" si="94">CQ55+CR37</f>
        <v>146254.49391666666</v>
      </c>
      <c r="CS55" s="12">
        <f t="shared" si="94"/>
        <v>231966.78541666665</v>
      </c>
      <c r="CT55" s="12">
        <f t="shared" si="94"/>
        <v>326541.8520833333</v>
      </c>
      <c r="CU55" s="12">
        <f t="shared" si="94"/>
        <v>435139.02208333329</v>
      </c>
      <c r="CV55" s="12">
        <f t="shared" si="94"/>
        <v>639504.26375000004</v>
      </c>
      <c r="CW55" s="12">
        <f t="shared" si="94"/>
        <v>762123.09708333341</v>
      </c>
      <c r="CX55" s="12">
        <f t="shared" si="94"/>
        <v>899168.98041666672</v>
      </c>
      <c r="CY55" s="12">
        <f t="shared" si="94"/>
        <v>988324.86041666672</v>
      </c>
      <c r="CZ55" s="12">
        <f t="shared" si="94"/>
        <v>1102723.7604166667</v>
      </c>
      <c r="DA55" s="12">
        <f t="shared" si="94"/>
        <v>1208608.6604166667</v>
      </c>
      <c r="DB55" s="12">
        <f t="shared" si="94"/>
        <v>1333731.6070833334</v>
      </c>
    </row>
    <row r="56" spans="3:120" x14ac:dyDescent="0.55000000000000004">
      <c r="C56" s="15" t="s">
        <v>22</v>
      </c>
      <c r="D56" s="12">
        <f t="shared" si="35"/>
        <v>11436.33333333333</v>
      </c>
      <c r="E56" s="12">
        <f t="shared" ref="E56:O56" si="95">D56+E38</f>
        <v>30521.333333333328</v>
      </c>
      <c r="F56" s="12">
        <f t="shared" si="95"/>
        <v>46394.333333333328</v>
      </c>
      <c r="G56" s="12">
        <f t="shared" si="95"/>
        <v>62545.999999999993</v>
      </c>
      <c r="H56" s="12">
        <f t="shared" si="95"/>
        <v>119699.79999999999</v>
      </c>
      <c r="I56" s="12">
        <f t="shared" si="95"/>
        <v>208141.45000000007</v>
      </c>
      <c r="J56" s="12">
        <f t="shared" si="95"/>
        <v>420467.11666666676</v>
      </c>
      <c r="K56" s="12">
        <f t="shared" si="95"/>
        <v>451087.45000000007</v>
      </c>
      <c r="L56" s="12">
        <f t="shared" si="95"/>
        <v>478906.45000000007</v>
      </c>
      <c r="M56" s="12">
        <f t="shared" si="95"/>
        <v>510111.70466666674</v>
      </c>
      <c r="N56" s="12">
        <f t="shared" si="95"/>
        <v>531990.44066666672</v>
      </c>
      <c r="O56" s="12">
        <f t="shared" si="95"/>
        <v>533156.44066666672</v>
      </c>
      <c r="AG56" s="15" t="s">
        <v>22</v>
      </c>
      <c r="AH56" s="12">
        <f t="shared" si="38"/>
        <v>64406.283333333347</v>
      </c>
      <c r="AI56" s="12">
        <f t="shared" si="39"/>
        <v>136458.66666666669</v>
      </c>
      <c r="AJ56" s="12">
        <f t="shared" ref="AJ56:AS56" si="96">AI56+AJ38</f>
        <v>294800.18333333352</v>
      </c>
      <c r="AK56" s="12">
        <f t="shared" si="96"/>
        <v>671076.45000000019</v>
      </c>
      <c r="AL56" s="12">
        <f t="shared" si="96"/>
        <v>832000.9500000003</v>
      </c>
      <c r="AM56" s="12">
        <f t="shared" si="96"/>
        <v>1091678.6833333338</v>
      </c>
      <c r="AN56" s="12">
        <f t="shared" si="96"/>
        <v>1450109.6500000006</v>
      </c>
      <c r="AO56" s="12">
        <f t="shared" si="96"/>
        <v>1553467.3000000005</v>
      </c>
      <c r="AP56" s="12">
        <f t="shared" si="96"/>
        <v>1685510.3833333338</v>
      </c>
      <c r="AQ56" s="12">
        <f t="shared" si="96"/>
        <v>1752295.966666667</v>
      </c>
      <c r="AR56" s="12">
        <f t="shared" si="96"/>
        <v>1809114.6333333338</v>
      </c>
      <c r="AS56" s="12">
        <f t="shared" si="96"/>
        <v>1871949.5666666671</v>
      </c>
      <c r="BL56" s="15" t="s">
        <v>22</v>
      </c>
      <c r="BM56" s="12">
        <f t="shared" si="42"/>
        <v>9401.3333333333339</v>
      </c>
      <c r="BN56" s="12">
        <f t="shared" ref="BN56:BX56" si="97">BM56+BN38</f>
        <v>23156.833333333336</v>
      </c>
      <c r="BO56" s="12">
        <f t="shared" si="97"/>
        <v>59232.616666666661</v>
      </c>
      <c r="BP56" s="12">
        <f t="shared" si="97"/>
        <v>120814.28333333333</v>
      </c>
      <c r="BQ56" s="12">
        <f t="shared" si="97"/>
        <v>256964.28333333333</v>
      </c>
      <c r="BR56" s="12">
        <f t="shared" si="97"/>
        <v>378367.89166666672</v>
      </c>
      <c r="BS56" s="12">
        <f t="shared" si="97"/>
        <v>411660.30833333341</v>
      </c>
      <c r="BT56" s="12">
        <f t="shared" si="97"/>
        <v>473388.64166666672</v>
      </c>
      <c r="BU56" s="12">
        <f t="shared" si="97"/>
        <v>496575.83683333342</v>
      </c>
      <c r="BV56" s="12">
        <f t="shared" si="97"/>
        <v>508331.17016666674</v>
      </c>
      <c r="BW56" s="12">
        <f t="shared" si="97"/>
        <v>519589.67016666674</v>
      </c>
      <c r="BX56" s="12">
        <f t="shared" si="97"/>
        <v>536626.42616666679</v>
      </c>
      <c r="CP56" s="15" t="s">
        <v>22</v>
      </c>
      <c r="CQ56" s="12">
        <f t="shared" si="56"/>
        <v>85243.950000000012</v>
      </c>
      <c r="CR56" s="12">
        <f t="shared" ref="CR56:DB56" si="98">CQ56+CR38</f>
        <v>190136.83333333337</v>
      </c>
      <c r="CS56" s="12">
        <f t="shared" si="98"/>
        <v>400427.13333333354</v>
      </c>
      <c r="CT56" s="12">
        <f t="shared" si="98"/>
        <v>854436.73333333363</v>
      </c>
      <c r="CU56" s="12">
        <f t="shared" si="98"/>
        <v>1208665.0333333337</v>
      </c>
      <c r="CV56" s="12">
        <f t="shared" si="98"/>
        <v>1678188.0250000006</v>
      </c>
      <c r="CW56" s="12">
        <f t="shared" si="98"/>
        <v>2282237.0750000007</v>
      </c>
      <c r="CX56" s="12">
        <f t="shared" si="98"/>
        <v>2477943.3916666675</v>
      </c>
      <c r="CY56" s="12">
        <f t="shared" si="98"/>
        <v>2660992.6701666676</v>
      </c>
      <c r="CZ56" s="12">
        <f t="shared" si="98"/>
        <v>2770738.841500001</v>
      </c>
      <c r="DA56" s="12">
        <f t="shared" si="98"/>
        <v>2860694.7441666676</v>
      </c>
      <c r="DB56" s="12">
        <f t="shared" si="98"/>
        <v>2941732.4335000007</v>
      </c>
    </row>
    <row r="57" spans="3:120" x14ac:dyDescent="0.55000000000000004">
      <c r="C57" s="15" t="s">
        <v>23</v>
      </c>
      <c r="D57" s="12">
        <f t="shared" si="35"/>
        <v>8070.7366666666685</v>
      </c>
      <c r="E57" s="12">
        <f t="shared" ref="E57:O57" si="99">D57+E39</f>
        <v>34243.403333333343</v>
      </c>
      <c r="F57" s="12">
        <f t="shared" si="99"/>
        <v>105610.07</v>
      </c>
      <c r="G57" s="12">
        <f t="shared" si="99"/>
        <v>160810.07</v>
      </c>
      <c r="H57" s="12">
        <f t="shared" si="99"/>
        <v>229293.40333333335</v>
      </c>
      <c r="I57" s="12">
        <f t="shared" si="99"/>
        <v>321160.07</v>
      </c>
      <c r="J57" s="12">
        <f t="shared" si="99"/>
        <v>380843.40333333332</v>
      </c>
      <c r="K57" s="12">
        <f t="shared" si="99"/>
        <v>440093.40333333332</v>
      </c>
      <c r="L57" s="12">
        <f t="shared" si="99"/>
        <v>517660.07</v>
      </c>
      <c r="M57" s="12">
        <f t="shared" si="99"/>
        <v>580793.40333333332</v>
      </c>
      <c r="N57" s="12">
        <f t="shared" si="99"/>
        <v>616476.73666666669</v>
      </c>
      <c r="O57" s="12">
        <f t="shared" si="99"/>
        <v>632810.07000000007</v>
      </c>
      <c r="AG57" s="15" t="s">
        <v>23</v>
      </c>
      <c r="AH57" s="12">
        <f t="shared" si="38"/>
        <v>67829.666666666657</v>
      </c>
      <c r="AI57" s="12">
        <f t="shared" si="39"/>
        <v>146508.99999999997</v>
      </c>
      <c r="AJ57" s="12">
        <f t="shared" ref="AJ57:AS57" si="100">AI57+AJ39</f>
        <v>333609</v>
      </c>
      <c r="AK57" s="12">
        <f t="shared" si="100"/>
        <v>488309</v>
      </c>
      <c r="AL57" s="12">
        <f t="shared" si="100"/>
        <v>682059</v>
      </c>
      <c r="AM57" s="12">
        <f t="shared" si="100"/>
        <v>799009</v>
      </c>
      <c r="AN57" s="12">
        <f t="shared" si="100"/>
        <v>885642.33333333337</v>
      </c>
      <c r="AO57" s="12">
        <f t="shared" si="100"/>
        <v>1018475.6666666667</v>
      </c>
      <c r="AP57" s="12">
        <f t="shared" si="100"/>
        <v>1063175.6666666667</v>
      </c>
      <c r="AQ57" s="12">
        <f t="shared" si="100"/>
        <v>1123559</v>
      </c>
      <c r="AR57" s="12">
        <f t="shared" si="100"/>
        <v>1148725.6666666667</v>
      </c>
      <c r="AS57" s="12">
        <f t="shared" si="100"/>
        <v>1167275.6666666667</v>
      </c>
      <c r="BL57" s="15" t="s">
        <v>23</v>
      </c>
      <c r="BM57" s="12">
        <f t="shared" si="42"/>
        <v>12085.333333333336</v>
      </c>
      <c r="BN57" s="12">
        <f t="shared" ref="BN57:BX57" si="101">BM57+BN39</f>
        <v>34261.150000000009</v>
      </c>
      <c r="BO57" s="12">
        <f t="shared" si="101"/>
        <v>70161.150000000009</v>
      </c>
      <c r="BP57" s="12">
        <f t="shared" si="101"/>
        <v>110461.15000000001</v>
      </c>
      <c r="BQ57" s="12">
        <f t="shared" si="101"/>
        <v>173127.81666666668</v>
      </c>
      <c r="BR57" s="12">
        <f t="shared" si="101"/>
        <v>230611.15000000002</v>
      </c>
      <c r="BS57" s="12">
        <f t="shared" si="101"/>
        <v>316827.81666666671</v>
      </c>
      <c r="BT57" s="12">
        <f t="shared" si="101"/>
        <v>361794.4833333334</v>
      </c>
      <c r="BU57" s="12">
        <f t="shared" si="101"/>
        <v>427444.4833333334</v>
      </c>
      <c r="BV57" s="12">
        <f t="shared" si="101"/>
        <v>465611.15000000008</v>
      </c>
      <c r="BW57" s="12">
        <f t="shared" si="101"/>
        <v>522594.4833333334</v>
      </c>
      <c r="BX57" s="12">
        <f t="shared" si="101"/>
        <v>562677.81666666677</v>
      </c>
      <c r="CP57" s="15" t="s">
        <v>23</v>
      </c>
      <c r="CQ57" s="12">
        <f t="shared" si="56"/>
        <v>87985.736666666664</v>
      </c>
      <c r="CR57" s="12">
        <f t="shared" ref="CR57:DB57" si="102">CQ57+CR39</f>
        <v>215013.55333333334</v>
      </c>
      <c r="CS57" s="12">
        <f t="shared" si="102"/>
        <v>509380.22000000003</v>
      </c>
      <c r="CT57" s="12">
        <f t="shared" si="102"/>
        <v>759580.22</v>
      </c>
      <c r="CU57" s="12">
        <f t="shared" si="102"/>
        <v>1084480.22</v>
      </c>
      <c r="CV57" s="12">
        <f t="shared" si="102"/>
        <v>1350780.22</v>
      </c>
      <c r="CW57" s="12">
        <f t="shared" si="102"/>
        <v>1583313.5533333332</v>
      </c>
      <c r="CX57" s="12">
        <f t="shared" si="102"/>
        <v>1820363.5533333332</v>
      </c>
      <c r="CY57" s="12">
        <f t="shared" si="102"/>
        <v>2008280.22</v>
      </c>
      <c r="CZ57" s="12">
        <f t="shared" si="102"/>
        <v>2169963.5533333332</v>
      </c>
      <c r="DA57" s="12">
        <f t="shared" si="102"/>
        <v>2287796.8866666667</v>
      </c>
      <c r="DB57" s="12">
        <f t="shared" si="102"/>
        <v>2362763.5533333332</v>
      </c>
    </row>
    <row r="58" spans="3:120" x14ac:dyDescent="0.55000000000000004">
      <c r="C58" s="15" t="s">
        <v>24</v>
      </c>
      <c r="D58" s="12">
        <f t="shared" si="35"/>
        <v>18183.333333333336</v>
      </c>
      <c r="E58" s="12">
        <f t="shared" ref="E58:O58" si="103">D58+E40</f>
        <v>54750.000000000007</v>
      </c>
      <c r="F58" s="12">
        <f t="shared" si="103"/>
        <v>211800</v>
      </c>
      <c r="G58" s="12">
        <f t="shared" si="103"/>
        <v>348050</v>
      </c>
      <c r="H58" s="12">
        <f t="shared" si="103"/>
        <v>452533.33333333337</v>
      </c>
      <c r="I58" s="12">
        <f t="shared" si="103"/>
        <v>565100</v>
      </c>
      <c r="J58" s="12">
        <f t="shared" si="103"/>
        <v>653533.33333333337</v>
      </c>
      <c r="K58" s="12">
        <f t="shared" si="103"/>
        <v>716208.33333333337</v>
      </c>
      <c r="L58" s="12">
        <f t="shared" si="103"/>
        <v>753125</v>
      </c>
      <c r="M58" s="12">
        <f t="shared" si="103"/>
        <v>789175</v>
      </c>
      <c r="N58" s="12">
        <f t="shared" si="103"/>
        <v>808841.66666666663</v>
      </c>
      <c r="O58" s="12">
        <f t="shared" si="103"/>
        <v>828158.33333333326</v>
      </c>
      <c r="AG58" s="15" t="s">
        <v>24</v>
      </c>
      <c r="AH58" s="12">
        <f t="shared" si="38"/>
        <v>24566.666666666668</v>
      </c>
      <c r="AI58" s="12">
        <f t="shared" si="39"/>
        <v>86733.333333333343</v>
      </c>
      <c r="AJ58" s="12">
        <f t="shared" ref="AJ58:AS58" si="104">AI58+AJ40</f>
        <v>171966.66666666669</v>
      </c>
      <c r="AK58" s="12">
        <f t="shared" si="104"/>
        <v>270233.33333333337</v>
      </c>
      <c r="AL58" s="12">
        <f t="shared" si="104"/>
        <v>360250.00000000006</v>
      </c>
      <c r="AM58" s="12">
        <f t="shared" si="104"/>
        <v>468916.66666666674</v>
      </c>
      <c r="AN58" s="12">
        <f t="shared" si="104"/>
        <v>529933.33333333337</v>
      </c>
      <c r="AO58" s="12">
        <f t="shared" si="104"/>
        <v>576683.33333333337</v>
      </c>
      <c r="AP58" s="12">
        <f t="shared" si="104"/>
        <v>609166.66666666674</v>
      </c>
      <c r="AQ58" s="12">
        <f t="shared" si="104"/>
        <v>651433.33333333337</v>
      </c>
      <c r="AR58" s="12">
        <f t="shared" si="104"/>
        <v>698283.33333333337</v>
      </c>
      <c r="AS58" s="12">
        <f t="shared" si="104"/>
        <v>727016.66666666674</v>
      </c>
      <c r="BL58" s="15" t="s">
        <v>24</v>
      </c>
      <c r="BM58" s="12">
        <f t="shared" si="42"/>
        <v>21233.333333333336</v>
      </c>
      <c r="BN58" s="12">
        <f t="shared" ref="BN58:BX58" si="105">BM58+BN40</f>
        <v>47816.666666666672</v>
      </c>
      <c r="BO58" s="12">
        <f t="shared" si="105"/>
        <v>103833.33333333334</v>
      </c>
      <c r="BP58" s="12">
        <f t="shared" si="105"/>
        <v>169416.66666666669</v>
      </c>
      <c r="BQ58" s="12">
        <f t="shared" si="105"/>
        <v>219666.66666666669</v>
      </c>
      <c r="BR58" s="12">
        <f t="shared" si="105"/>
        <v>267383.33333333337</v>
      </c>
      <c r="BS58" s="12">
        <f t="shared" si="105"/>
        <v>313983.33333333337</v>
      </c>
      <c r="BT58" s="12">
        <f t="shared" si="105"/>
        <v>355458.33333333337</v>
      </c>
      <c r="BU58" s="12">
        <f t="shared" si="105"/>
        <v>391808.33333333337</v>
      </c>
      <c r="BV58" s="12">
        <f t="shared" si="105"/>
        <v>421741.66666666669</v>
      </c>
      <c r="BW58" s="12">
        <f t="shared" si="105"/>
        <v>455408.33333333337</v>
      </c>
      <c r="BX58" s="12">
        <f t="shared" si="105"/>
        <v>493641.66666666669</v>
      </c>
      <c r="CP58" s="15" t="s">
        <v>24</v>
      </c>
      <c r="CQ58" s="12">
        <f t="shared" si="56"/>
        <v>63983.333333333336</v>
      </c>
      <c r="CR58" s="12">
        <f t="shared" ref="CR58:DB58" si="106">CQ58+CR40</f>
        <v>189300</v>
      </c>
      <c r="CS58" s="12">
        <f t="shared" si="106"/>
        <v>487600</v>
      </c>
      <c r="CT58" s="12">
        <f t="shared" si="106"/>
        <v>787700</v>
      </c>
      <c r="CU58" s="12">
        <f t="shared" si="106"/>
        <v>1032450</v>
      </c>
      <c r="CV58" s="12">
        <f t="shared" si="106"/>
        <v>1301400</v>
      </c>
      <c r="CW58" s="12">
        <f t="shared" si="106"/>
        <v>1497450</v>
      </c>
      <c r="CX58" s="12">
        <f t="shared" si="106"/>
        <v>1648350</v>
      </c>
      <c r="CY58" s="12">
        <f t="shared" si="106"/>
        <v>1754100</v>
      </c>
      <c r="CZ58" s="12">
        <f t="shared" si="106"/>
        <v>1862350</v>
      </c>
      <c r="DA58" s="12">
        <f t="shared" si="106"/>
        <v>1962533.3333333333</v>
      </c>
      <c r="DB58" s="12">
        <f t="shared" si="106"/>
        <v>2048816.6666666665</v>
      </c>
    </row>
    <row r="59" spans="3:120" x14ac:dyDescent="0.55000000000000004">
      <c r="C59" s="15" t="s">
        <v>25</v>
      </c>
      <c r="D59" s="12">
        <f t="shared" si="35"/>
        <v>35783.333333333336</v>
      </c>
      <c r="E59" s="12">
        <f t="shared" ref="E59:J60" si="107">D59+E41</f>
        <v>94983.333333333343</v>
      </c>
      <c r="F59" s="12">
        <f t="shared" si="107"/>
        <v>281483.33333333337</v>
      </c>
      <c r="G59" s="12">
        <f t="shared" si="107"/>
        <v>437650.00000000006</v>
      </c>
      <c r="H59" s="12">
        <f t="shared" si="107"/>
        <v>534733.33333333337</v>
      </c>
      <c r="I59" s="12">
        <f t="shared" si="107"/>
        <v>602283.33333333337</v>
      </c>
      <c r="J59" s="12">
        <f t="shared" si="107"/>
        <v>721950</v>
      </c>
      <c r="K59" s="12">
        <f t="shared" ref="K59" si="108">J59+K41</f>
        <v>822350</v>
      </c>
      <c r="L59" s="12">
        <f t="shared" ref="L59" si="109">K59+L41</f>
        <v>919066.66666666663</v>
      </c>
      <c r="M59" s="12">
        <f t="shared" ref="M59" si="110">L59+M41</f>
        <v>998150</v>
      </c>
      <c r="N59" s="12">
        <f t="shared" ref="N59" si="111">M59+N41</f>
        <v>1059600</v>
      </c>
      <c r="O59" s="12">
        <f t="shared" ref="O59" si="112">N59+O41</f>
        <v>1097550</v>
      </c>
      <c r="AG59" s="15" t="s">
        <v>25</v>
      </c>
      <c r="AH59" s="12">
        <f t="shared" si="38"/>
        <v>22166.666666666668</v>
      </c>
      <c r="AI59" s="12">
        <f t="shared" si="39"/>
        <v>41800</v>
      </c>
      <c r="AJ59" s="12">
        <f>AI59+AJ41</f>
        <v>108066.66666666667</v>
      </c>
      <c r="AK59" s="12">
        <f>AJ59+AK41</f>
        <v>158733.33333333334</v>
      </c>
      <c r="AL59" s="12">
        <f>AK59+AL41</f>
        <v>305550</v>
      </c>
      <c r="AM59" s="12">
        <f>AL59+AM41</f>
        <v>423633.33333333337</v>
      </c>
      <c r="AN59" s="12">
        <f>AM59+AN41</f>
        <v>517650.00000000006</v>
      </c>
      <c r="AO59" s="12">
        <f t="shared" ref="AO59" si="113">AN59+AO41</f>
        <v>619616.66666666674</v>
      </c>
      <c r="AP59" s="12">
        <f t="shared" ref="AP59" si="114">AO59+AP41</f>
        <v>680383.33333333337</v>
      </c>
      <c r="AQ59" s="12">
        <f t="shared" ref="AQ59" si="115">AP59+AQ41</f>
        <v>726658.33333333337</v>
      </c>
      <c r="AR59" s="12">
        <f t="shared" ref="AR59" si="116">AQ59+AR41</f>
        <v>758441.66666666674</v>
      </c>
      <c r="AS59" s="12">
        <f t="shared" ref="AS59" si="117">AR59+AS41</f>
        <v>819375.00000000012</v>
      </c>
      <c r="BL59" s="15" t="s">
        <v>25</v>
      </c>
      <c r="BM59" s="12">
        <f t="shared" si="42"/>
        <v>20583.333333333336</v>
      </c>
      <c r="BN59" s="12">
        <f t="shared" ref="BN59:BS60" si="118">BM59+BN41</f>
        <v>55666.666666666672</v>
      </c>
      <c r="BO59" s="12">
        <f t="shared" si="118"/>
        <v>87300</v>
      </c>
      <c r="BP59" s="12">
        <f t="shared" si="118"/>
        <v>140550</v>
      </c>
      <c r="BQ59" s="12">
        <f t="shared" si="118"/>
        <v>201116.66666666669</v>
      </c>
      <c r="BR59" s="12">
        <f t="shared" si="118"/>
        <v>302466.66666666669</v>
      </c>
      <c r="BS59" s="12">
        <f t="shared" si="118"/>
        <v>338550</v>
      </c>
      <c r="BT59" s="12">
        <f t="shared" ref="BT59" si="119">BS59+BT41</f>
        <v>380808.33333333331</v>
      </c>
      <c r="BU59" s="12">
        <f t="shared" ref="BU59" si="120">BT59+BU41</f>
        <v>429241.66666666663</v>
      </c>
      <c r="BV59" s="12">
        <f t="shared" ref="BV59" si="121">BU59+BV41</f>
        <v>469966.66666666663</v>
      </c>
      <c r="BW59" s="12">
        <f t="shared" ref="BW59" si="122">BV59+BW41</f>
        <v>502983.33333333331</v>
      </c>
      <c r="BX59" s="12">
        <f t="shared" ref="BX59" si="123">BW59+BX41</f>
        <v>541083.33333333326</v>
      </c>
      <c r="CP59" s="15" t="s">
        <v>25</v>
      </c>
      <c r="CQ59" s="12">
        <f t="shared" si="56"/>
        <v>78533.333333333343</v>
      </c>
      <c r="CR59" s="12">
        <f t="shared" ref="CR59:DB59" si="124">CQ59+CR41</f>
        <v>192450</v>
      </c>
      <c r="CS59" s="12">
        <f t="shared" si="124"/>
        <v>476850</v>
      </c>
      <c r="CT59" s="12">
        <f t="shared" si="124"/>
        <v>736933.33333333337</v>
      </c>
      <c r="CU59" s="12">
        <f t="shared" si="124"/>
        <v>1041400.0000000001</v>
      </c>
      <c r="CV59" s="12">
        <f t="shared" si="124"/>
        <v>1328383.3333333335</v>
      </c>
      <c r="CW59" s="12">
        <f t="shared" si="124"/>
        <v>1578150.0000000002</v>
      </c>
      <c r="CX59" s="12">
        <f t="shared" si="124"/>
        <v>1822775.0000000002</v>
      </c>
      <c r="CY59" s="12">
        <f t="shared" si="124"/>
        <v>2028691.666666667</v>
      </c>
      <c r="CZ59" s="12">
        <f t="shared" si="124"/>
        <v>2194775.0000000005</v>
      </c>
      <c r="DA59" s="12">
        <f t="shared" si="124"/>
        <v>2321025.0000000005</v>
      </c>
      <c r="DB59" s="12">
        <f t="shared" si="124"/>
        <v>2458008.333333334</v>
      </c>
    </row>
    <row r="60" spans="3:120" x14ac:dyDescent="0.55000000000000004">
      <c r="C60" s="15" t="s">
        <v>26</v>
      </c>
      <c r="D60" s="12">
        <f t="shared" si="35"/>
        <v>33916.666666666672</v>
      </c>
      <c r="E60" s="12">
        <f t="shared" ref="E60" si="125">D60+E42</f>
        <v>89766.666666666672</v>
      </c>
      <c r="F60" s="12">
        <f t="shared" si="107"/>
        <v>253983.33333333337</v>
      </c>
      <c r="AG60" s="15" t="s">
        <v>26</v>
      </c>
      <c r="AH60" s="12">
        <f t="shared" si="38"/>
        <v>20550</v>
      </c>
      <c r="AI60" s="12">
        <f t="shared" ref="AI60" si="126">AH60+AI42</f>
        <v>64583.333333333336</v>
      </c>
      <c r="AJ60" s="12">
        <f>AI60+AJ42</f>
        <v>149233.33333333334</v>
      </c>
      <c r="AK60" s="12"/>
      <c r="AL60" s="12"/>
      <c r="AM60" s="12"/>
      <c r="AN60" s="12"/>
      <c r="AO60" s="12"/>
      <c r="AP60" s="12"/>
      <c r="AQ60" s="12"/>
      <c r="AR60" s="12"/>
      <c r="AS60" s="12"/>
      <c r="BL60" s="11" t="s">
        <v>26</v>
      </c>
      <c r="BM60" s="12">
        <f t="shared" si="42"/>
        <v>19833.333333333336</v>
      </c>
      <c r="BN60" s="12">
        <f t="shared" si="118"/>
        <v>40000</v>
      </c>
      <c r="BO60" s="12">
        <f t="shared" ref="BO60" si="127">BN60+BO42</f>
        <v>86783.333333333343</v>
      </c>
      <c r="BP60" s="12"/>
      <c r="BQ60" s="12"/>
      <c r="BR60" s="12"/>
      <c r="BS60" s="12"/>
      <c r="BT60" s="12"/>
      <c r="BU60" s="12"/>
      <c r="BV60" s="12"/>
      <c r="BW60" s="12"/>
      <c r="BX60" s="12"/>
      <c r="CP60" s="15" t="s">
        <v>26</v>
      </c>
      <c r="CQ60" s="12">
        <f t="shared" si="56"/>
        <v>74300</v>
      </c>
      <c r="CR60" s="12">
        <f t="shared" ref="CR60:CV60" si="128">CQ60+CR42</f>
        <v>194350</v>
      </c>
      <c r="CS60" s="12">
        <f t="shared" si="128"/>
        <v>490000</v>
      </c>
      <c r="CT60" s="12">
        <f t="shared" si="128"/>
        <v>897633.33333333337</v>
      </c>
      <c r="CU60" s="12">
        <f t="shared" si="128"/>
        <v>1148000</v>
      </c>
      <c r="CV60" s="12">
        <f t="shared" si="128"/>
        <v>1536050</v>
      </c>
      <c r="CW60" s="12"/>
      <c r="CX60" s="12"/>
      <c r="CY60" s="12"/>
      <c r="CZ60" s="12"/>
      <c r="DA60" s="12"/>
      <c r="DB60" s="12"/>
    </row>
    <row r="61" spans="3:120" x14ac:dyDescent="0.55000000000000004">
      <c r="D61" s="12"/>
      <c r="E61" s="12"/>
    </row>
    <row r="64" spans="3:120" ht="18.3" x14ac:dyDescent="0.7">
      <c r="C64" s="84" t="s">
        <v>65</v>
      </c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</row>
    <row r="65" spans="3:15" x14ac:dyDescent="0.55000000000000004">
      <c r="C65" s="32"/>
      <c r="D65" s="33" t="s">
        <v>1</v>
      </c>
      <c r="E65" s="33" t="s">
        <v>2</v>
      </c>
      <c r="F65" s="33" t="s">
        <v>3</v>
      </c>
      <c r="G65" s="33" t="s">
        <v>4</v>
      </c>
      <c r="H65" s="33" t="s">
        <v>5</v>
      </c>
      <c r="I65" s="33" t="s">
        <v>6</v>
      </c>
      <c r="J65" s="33" t="s">
        <v>7</v>
      </c>
      <c r="K65" s="33" t="s">
        <v>8</v>
      </c>
      <c r="L65" s="33" t="s">
        <v>9</v>
      </c>
      <c r="M65" s="33" t="s">
        <v>10</v>
      </c>
      <c r="N65" s="33" t="s">
        <v>11</v>
      </c>
      <c r="O65" s="33" t="s">
        <v>12</v>
      </c>
    </row>
    <row r="66" spans="3:15" x14ac:dyDescent="0.55000000000000004">
      <c r="C66" s="35" t="s">
        <v>69</v>
      </c>
      <c r="D66" s="12">
        <f t="shared" ref="D66:O77" si="129">D29+AH29+BM29</f>
        <v>320240</v>
      </c>
      <c r="E66" s="12">
        <f t="shared" si="129"/>
        <v>344275</v>
      </c>
      <c r="F66" s="12">
        <f t="shared" si="129"/>
        <v>203208.33333333334</v>
      </c>
      <c r="G66" s="12">
        <f t="shared" si="129"/>
        <v>240216.66666666669</v>
      </c>
      <c r="H66" s="12">
        <f t="shared" si="129"/>
        <v>183493.33333333334</v>
      </c>
      <c r="I66" s="12">
        <f t="shared" si="129"/>
        <v>324166.66666666669</v>
      </c>
      <c r="J66" s="12">
        <f t="shared" si="129"/>
        <v>130316.66666666667</v>
      </c>
      <c r="K66" s="12">
        <f t="shared" si="129"/>
        <v>153513.33333333334</v>
      </c>
      <c r="L66" s="12">
        <f t="shared" si="129"/>
        <v>127136.66666666669</v>
      </c>
      <c r="M66" s="12">
        <f t="shared" si="129"/>
        <v>140116.66666666669</v>
      </c>
      <c r="N66" s="12">
        <f t="shared" si="129"/>
        <v>114043.33333333334</v>
      </c>
      <c r="O66" s="12">
        <f t="shared" si="129"/>
        <v>101300</v>
      </c>
    </row>
    <row r="67" spans="3:15" x14ac:dyDescent="0.55000000000000004">
      <c r="C67" s="15" t="s">
        <v>70</v>
      </c>
      <c r="D67" s="12">
        <f t="shared" si="129"/>
        <v>85950</v>
      </c>
      <c r="E67" s="12">
        <f t="shared" si="129"/>
        <v>82666.666666666672</v>
      </c>
      <c r="F67" s="12">
        <f t="shared" si="129"/>
        <v>173076.66666666669</v>
      </c>
      <c r="G67" s="12">
        <f t="shared" si="129"/>
        <v>204933.33333333331</v>
      </c>
      <c r="H67" s="12">
        <f t="shared" si="129"/>
        <v>274333.33333333337</v>
      </c>
      <c r="I67" s="12">
        <f t="shared" si="129"/>
        <v>636833.33333333349</v>
      </c>
      <c r="J67" s="12">
        <f t="shared" si="129"/>
        <v>545916.66666666663</v>
      </c>
      <c r="K67" s="12">
        <f t="shared" si="129"/>
        <v>295000</v>
      </c>
      <c r="L67" s="12">
        <f t="shared" si="129"/>
        <v>182283.33333333334</v>
      </c>
      <c r="M67" s="12">
        <f t="shared" si="129"/>
        <v>167350</v>
      </c>
      <c r="N67" s="12">
        <f t="shared" si="129"/>
        <v>393533.33333333337</v>
      </c>
      <c r="O67" s="12">
        <f t="shared" si="129"/>
        <v>142063.33333333334</v>
      </c>
    </row>
    <row r="68" spans="3:15" x14ac:dyDescent="0.55000000000000004">
      <c r="C68" s="15" t="s">
        <v>15</v>
      </c>
      <c r="D68" s="12">
        <f t="shared" si="129"/>
        <v>117215</v>
      </c>
      <c r="E68" s="12">
        <f t="shared" si="129"/>
        <v>97685.000000000029</v>
      </c>
      <c r="F68" s="12">
        <f t="shared" si="129"/>
        <v>212344.99999999997</v>
      </c>
      <c r="G68" s="12">
        <f t="shared" si="129"/>
        <v>158480</v>
      </c>
      <c r="H68" s="12">
        <f t="shared" si="129"/>
        <v>137550</v>
      </c>
      <c r="I68" s="12">
        <f t="shared" si="129"/>
        <v>160755</v>
      </c>
      <c r="J68" s="12">
        <f t="shared" si="129"/>
        <v>132772.5</v>
      </c>
      <c r="K68" s="12">
        <f t="shared" si="129"/>
        <v>110337.50000000003</v>
      </c>
      <c r="L68" s="12">
        <f t="shared" si="129"/>
        <v>105490.00000000001</v>
      </c>
      <c r="M68" s="12">
        <f t="shared" si="129"/>
        <v>109532.5</v>
      </c>
      <c r="N68" s="12">
        <f t="shared" si="129"/>
        <v>111457.50000000004</v>
      </c>
      <c r="O68" s="12">
        <f t="shared" si="129"/>
        <v>132772.5</v>
      </c>
    </row>
    <row r="69" spans="3:15" x14ac:dyDescent="0.55000000000000004">
      <c r="C69" s="15" t="s">
        <v>16</v>
      </c>
      <c r="D69" s="12">
        <f t="shared" si="129"/>
        <v>121564.66666666669</v>
      </c>
      <c r="E69" s="12">
        <f t="shared" si="129"/>
        <v>117370.00000000003</v>
      </c>
      <c r="F69" s="12">
        <f t="shared" si="129"/>
        <v>161678.00000000003</v>
      </c>
      <c r="G69" s="12">
        <f t="shared" si="129"/>
        <v>119441.66666666666</v>
      </c>
      <c r="H69" s="12">
        <f t="shared" si="129"/>
        <v>142725.00000000003</v>
      </c>
      <c r="I69" s="12">
        <f t="shared" si="129"/>
        <v>189695.00000000006</v>
      </c>
      <c r="J69" s="12">
        <f t="shared" si="129"/>
        <v>182783.33333333337</v>
      </c>
      <c r="K69" s="12">
        <f t="shared" si="129"/>
        <v>158748.33333333334</v>
      </c>
      <c r="L69" s="12">
        <f t="shared" si="129"/>
        <v>185808.33333333337</v>
      </c>
      <c r="M69" s="12">
        <f t="shared" si="129"/>
        <v>110165.00000000003</v>
      </c>
      <c r="N69" s="12">
        <f t="shared" si="129"/>
        <v>150296.66666666672</v>
      </c>
      <c r="O69" s="12">
        <f t="shared" si="129"/>
        <v>146813.33333333334</v>
      </c>
    </row>
    <row r="70" spans="3:15" x14ac:dyDescent="0.55000000000000004">
      <c r="C70" s="15" t="s">
        <v>17</v>
      </c>
      <c r="D70" s="12">
        <f t="shared" si="129"/>
        <v>109441.66666666666</v>
      </c>
      <c r="E70" s="12">
        <f t="shared" si="129"/>
        <v>167804.16666666663</v>
      </c>
      <c r="F70" s="12">
        <f t="shared" si="129"/>
        <v>433185.83333333326</v>
      </c>
      <c r="G70" s="12">
        <f t="shared" si="129"/>
        <v>129049.1666666667</v>
      </c>
      <c r="H70" s="12">
        <f t="shared" si="129"/>
        <v>214628.33333333328</v>
      </c>
      <c r="I70" s="12">
        <f t="shared" si="129"/>
        <v>165120.83333333331</v>
      </c>
      <c r="J70" s="12">
        <f t="shared" si="129"/>
        <v>133706.66666666666</v>
      </c>
      <c r="K70" s="12">
        <f t="shared" si="129"/>
        <v>126423.33333333334</v>
      </c>
      <c r="L70" s="12">
        <f t="shared" si="129"/>
        <v>111070.83333333331</v>
      </c>
      <c r="M70" s="12">
        <f t="shared" si="129"/>
        <v>112423.23333333334</v>
      </c>
      <c r="N70" s="12">
        <f t="shared" si="129"/>
        <v>130020.14999999997</v>
      </c>
      <c r="O70" s="12">
        <f t="shared" si="129"/>
        <v>95161.829166666663</v>
      </c>
    </row>
    <row r="71" spans="3:15" x14ac:dyDescent="0.55000000000000004">
      <c r="C71" s="15" t="s">
        <v>18</v>
      </c>
      <c r="D71" s="12">
        <f t="shared" si="129"/>
        <v>64408.558900000011</v>
      </c>
      <c r="E71" s="12">
        <f t="shared" si="129"/>
        <v>70456.872500000012</v>
      </c>
      <c r="F71" s="12">
        <f t="shared" si="129"/>
        <v>129332.08749999999</v>
      </c>
      <c r="G71" s="12">
        <f t="shared" si="129"/>
        <v>191900.85249999998</v>
      </c>
      <c r="H71" s="12">
        <f t="shared" si="129"/>
        <v>152217.562175</v>
      </c>
      <c r="I71" s="12">
        <f t="shared" si="129"/>
        <v>213218.14500000005</v>
      </c>
      <c r="J71" s="12">
        <f t="shared" si="129"/>
        <v>125233.81289999998</v>
      </c>
      <c r="K71" s="12">
        <f t="shared" si="129"/>
        <v>171325.40250000003</v>
      </c>
      <c r="L71" s="12">
        <f t="shared" si="129"/>
        <v>135469.91500000001</v>
      </c>
      <c r="M71" s="12">
        <f t="shared" si="129"/>
        <v>136886.0675</v>
      </c>
      <c r="N71" s="12">
        <f t="shared" si="129"/>
        <v>132381.75999999998</v>
      </c>
      <c r="O71" s="12">
        <f t="shared" si="129"/>
        <v>93553.243174999981</v>
      </c>
    </row>
    <row r="72" spans="3:15" x14ac:dyDescent="0.55000000000000004">
      <c r="C72" s="15" t="s">
        <v>19</v>
      </c>
      <c r="D72" s="12">
        <f t="shared" si="129"/>
        <v>104169.31000000003</v>
      </c>
      <c r="E72" s="12">
        <f t="shared" si="129"/>
        <v>148652.830025</v>
      </c>
      <c r="F72" s="12">
        <f t="shared" si="129"/>
        <v>162596.85750000001</v>
      </c>
      <c r="G72" s="12">
        <f t="shared" si="129"/>
        <v>258938.08500000005</v>
      </c>
      <c r="H72" s="12">
        <f t="shared" si="129"/>
        <v>127081.02750000003</v>
      </c>
      <c r="I72" s="12">
        <f t="shared" si="129"/>
        <v>180340.49249999993</v>
      </c>
      <c r="J72" s="12">
        <f t="shared" si="129"/>
        <v>95182.29</v>
      </c>
      <c r="K72" s="12">
        <f t="shared" si="129"/>
        <v>122838.76395000001</v>
      </c>
      <c r="L72" s="12">
        <f t="shared" si="129"/>
        <v>142849.09607500001</v>
      </c>
      <c r="M72" s="12">
        <f t="shared" si="129"/>
        <v>135576.15609999999</v>
      </c>
      <c r="N72" s="12">
        <f t="shared" si="129"/>
        <v>124877.34000000003</v>
      </c>
      <c r="O72" s="12">
        <f t="shared" si="129"/>
        <v>105549.65750000002</v>
      </c>
    </row>
    <row r="73" spans="3:15" x14ac:dyDescent="0.55000000000000004">
      <c r="C73" s="15" t="s">
        <v>20</v>
      </c>
      <c r="D73" s="12">
        <f t="shared" si="129"/>
        <v>117691.29166666666</v>
      </c>
      <c r="E73" s="12">
        <f t="shared" si="129"/>
        <v>91323.521666666667</v>
      </c>
      <c r="F73" s="12">
        <f t="shared" si="129"/>
        <v>131109.86166666669</v>
      </c>
      <c r="G73" s="12">
        <f t="shared" si="129"/>
        <v>131168.73000000004</v>
      </c>
      <c r="H73" s="12">
        <f t="shared" si="129"/>
        <v>192700.33200000005</v>
      </c>
      <c r="I73" s="12">
        <f t="shared" si="129"/>
        <v>172071.80833333329</v>
      </c>
      <c r="J73" s="12">
        <f t="shared" si="129"/>
        <v>220539.15033333344</v>
      </c>
      <c r="K73" s="12">
        <f t="shared" si="129"/>
        <v>124082.85999999999</v>
      </c>
      <c r="L73" s="12">
        <f t="shared" si="129"/>
        <v>117512.989</v>
      </c>
      <c r="M73" s="12">
        <f t="shared" si="129"/>
        <v>99376.731666666688</v>
      </c>
      <c r="N73" s="12">
        <f t="shared" si="129"/>
        <v>89116.892333333366</v>
      </c>
      <c r="O73" s="12">
        <f t="shared" si="129"/>
        <v>102002.5856666667</v>
      </c>
    </row>
    <row r="74" spans="3:15" x14ac:dyDescent="0.55000000000000004">
      <c r="C74" s="15" t="s">
        <v>21</v>
      </c>
      <c r="D74" s="12">
        <f t="shared" si="129"/>
        <v>77352.068750000006</v>
      </c>
      <c r="E74" s="12">
        <f t="shared" si="129"/>
        <v>68902.425166666668</v>
      </c>
      <c r="F74" s="12">
        <f t="shared" si="129"/>
        <v>85712.291500000007</v>
      </c>
      <c r="G74" s="12">
        <f t="shared" si="129"/>
        <v>94575.066666666651</v>
      </c>
      <c r="H74" s="12">
        <f t="shared" si="129"/>
        <v>108597.17000000001</v>
      </c>
      <c r="I74" s="12">
        <f t="shared" si="129"/>
        <v>204365.24166666679</v>
      </c>
      <c r="J74" s="12">
        <f t="shared" si="129"/>
        <v>122618.83333333331</v>
      </c>
      <c r="K74" s="12">
        <f t="shared" si="129"/>
        <v>137045.88333333336</v>
      </c>
      <c r="L74" s="12">
        <f t="shared" si="129"/>
        <v>89155.88</v>
      </c>
      <c r="M74" s="12">
        <f t="shared" si="129"/>
        <v>114398.90000000005</v>
      </c>
      <c r="N74" s="12">
        <f t="shared" si="129"/>
        <v>105884.90000000001</v>
      </c>
      <c r="O74" s="12">
        <f t="shared" si="129"/>
        <v>125122.94666666668</v>
      </c>
    </row>
    <row r="75" spans="3:15" x14ac:dyDescent="0.55000000000000004">
      <c r="C75" s="15" t="s">
        <v>22</v>
      </c>
      <c r="D75" s="12">
        <f t="shared" si="129"/>
        <v>85243.950000000012</v>
      </c>
      <c r="E75" s="12">
        <f t="shared" si="129"/>
        <v>104892.88333333335</v>
      </c>
      <c r="F75" s="12">
        <f t="shared" si="129"/>
        <v>210290.30000000016</v>
      </c>
      <c r="G75" s="12">
        <f t="shared" si="129"/>
        <v>454009.60000000003</v>
      </c>
      <c r="H75" s="12">
        <f t="shared" si="129"/>
        <v>354228.30000000016</v>
      </c>
      <c r="I75" s="12">
        <f t="shared" si="129"/>
        <v>469522.99166666693</v>
      </c>
      <c r="J75" s="12">
        <f t="shared" si="129"/>
        <v>604049.05000000005</v>
      </c>
      <c r="K75" s="12">
        <f t="shared" si="129"/>
        <v>195706.31666666668</v>
      </c>
      <c r="L75" s="12">
        <f t="shared" si="129"/>
        <v>183049.27850000001</v>
      </c>
      <c r="M75" s="12">
        <f t="shared" si="129"/>
        <v>109746.17133333336</v>
      </c>
      <c r="N75" s="12">
        <f t="shared" si="129"/>
        <v>89955.90266666669</v>
      </c>
      <c r="O75" s="12">
        <f t="shared" si="129"/>
        <v>81037.689333333343</v>
      </c>
    </row>
    <row r="76" spans="3:15" x14ac:dyDescent="0.55000000000000004">
      <c r="C76" s="15" t="s">
        <v>23</v>
      </c>
      <c r="D76" s="12">
        <f t="shared" si="129"/>
        <v>87985.736666666664</v>
      </c>
      <c r="E76" s="12">
        <f t="shared" si="129"/>
        <v>127027.81666666665</v>
      </c>
      <c r="F76" s="12">
        <f t="shared" si="129"/>
        <v>294366.66666666669</v>
      </c>
      <c r="G76" s="12">
        <f t="shared" si="129"/>
        <v>250200</v>
      </c>
      <c r="H76" s="12">
        <f t="shared" si="129"/>
        <v>324900.00000000006</v>
      </c>
      <c r="I76" s="12">
        <f t="shared" si="129"/>
        <v>266300</v>
      </c>
      <c r="J76" s="12">
        <f t="shared" si="129"/>
        <v>232533.33333333337</v>
      </c>
      <c r="K76" s="12">
        <f t="shared" si="129"/>
        <v>237050</v>
      </c>
      <c r="L76" s="12">
        <f t="shared" si="129"/>
        <v>187916.66666666669</v>
      </c>
      <c r="M76" s="12">
        <f t="shared" si="129"/>
        <v>161683.33333333334</v>
      </c>
      <c r="N76" s="12">
        <f t="shared" si="129"/>
        <v>117833.33333333334</v>
      </c>
      <c r="O76" s="12">
        <f t="shared" si="129"/>
        <v>74966.666666666672</v>
      </c>
    </row>
    <row r="77" spans="3:15" x14ac:dyDescent="0.55000000000000004">
      <c r="C77" s="15" t="s">
        <v>24</v>
      </c>
      <c r="D77" s="12">
        <f t="shared" si="129"/>
        <v>63983.333333333336</v>
      </c>
      <c r="E77" s="12">
        <f t="shared" si="129"/>
        <v>125316.66666666669</v>
      </c>
      <c r="F77" s="12">
        <f t="shared" si="129"/>
        <v>298300</v>
      </c>
      <c r="G77" s="12">
        <f t="shared" si="129"/>
        <v>300100</v>
      </c>
      <c r="H77" s="12">
        <f t="shared" si="129"/>
        <v>244750</v>
      </c>
      <c r="I77" s="12">
        <f t="shared" si="129"/>
        <v>268950</v>
      </c>
      <c r="J77" s="12">
        <f t="shared" si="129"/>
        <v>196050</v>
      </c>
      <c r="K77" s="12">
        <f t="shared" si="129"/>
        <v>150900</v>
      </c>
      <c r="L77" s="12">
        <f t="shared" si="129"/>
        <v>105750</v>
      </c>
      <c r="M77" s="12">
        <f t="shared" si="129"/>
        <v>108250</v>
      </c>
      <c r="N77" s="12">
        <f t="shared" si="129"/>
        <v>100183.33333333334</v>
      </c>
      <c r="O77" s="12">
        <f t="shared" si="129"/>
        <v>86283.333333333343</v>
      </c>
    </row>
    <row r="78" spans="3:15" x14ac:dyDescent="0.55000000000000004">
      <c r="C78" s="15" t="s">
        <v>25</v>
      </c>
      <c r="D78" s="12">
        <f t="shared" ref="D78:I78" si="130">D41+AH41+BM41</f>
        <v>78533.333333333343</v>
      </c>
      <c r="E78" s="12">
        <f t="shared" si="130"/>
        <v>113916.66666666669</v>
      </c>
      <c r="F78" s="12">
        <f t="shared" si="130"/>
        <v>284400</v>
      </c>
      <c r="G78" s="12">
        <f t="shared" si="130"/>
        <v>260083.33333333337</v>
      </c>
      <c r="H78" s="12">
        <f t="shared" si="130"/>
        <v>304466.66666666669</v>
      </c>
      <c r="I78" s="12">
        <f t="shared" si="130"/>
        <v>286983.33333333337</v>
      </c>
      <c r="J78" s="12"/>
      <c r="K78" s="12"/>
      <c r="L78" s="12"/>
      <c r="M78" s="12"/>
      <c r="N78" s="12"/>
      <c r="O78" s="12"/>
    </row>
    <row r="79" spans="3:15" x14ac:dyDescent="0.55000000000000004">
      <c r="C79" s="11" t="s">
        <v>28</v>
      </c>
      <c r="D79" s="40">
        <f>D78/D77-1</f>
        <v>0.22740296952331351</v>
      </c>
      <c r="E79" s="40">
        <f>E78/E77-1</f>
        <v>-9.0969543822316812E-2</v>
      </c>
      <c r="F79" s="40">
        <f>F78/F77-1</f>
        <v>-4.6597385182701956E-2</v>
      </c>
      <c r="G79" s="40">
        <f>G78/G77-1</f>
        <v>-0.13334444074197482</v>
      </c>
      <c r="H79" s="40">
        <f>H78/H77-1</f>
        <v>0.24399046646237665</v>
      </c>
    </row>
  </sheetData>
  <mergeCells count="9">
    <mergeCell ref="C64:O64"/>
    <mergeCell ref="H1:S1"/>
    <mergeCell ref="AL1:AW1"/>
    <mergeCell ref="BQ1:CB1"/>
    <mergeCell ref="CU1:DF1"/>
    <mergeCell ref="C27:O27"/>
    <mergeCell ref="AG27:AS27"/>
    <mergeCell ref="BL27:BX27"/>
    <mergeCell ref="CP27:DB27"/>
  </mergeCells>
  <phoneticPr fontId="32" type="noConversion"/>
  <conditionalFormatting sqref="D29:O41 D42:F42 K42:O42">
    <cfRule type="colorScale" priority="8">
      <colorScale>
        <cfvo type="min"/>
        <cfvo type="max"/>
        <color rgb="FFFCFCFF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:O7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max"/>
        <color rgb="FFFCFCFF"/>
        <color rgb="FF63BE7B"/>
      </colorScale>
    </cfRule>
  </conditionalFormatting>
  <conditionalFormatting sqref="G42:J42">
    <cfRule type="colorScale" priority="4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9:R42"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30:S42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{F4F2FD02-3FBF-4D08-B7DB-C2F5C8F14DA8}</x14:id>
        </ext>
      </extLst>
    </cfRule>
  </conditionalFormatting>
  <conditionalFormatting sqref="AH29:AS40 AH41:AP41 AR41:AS42 AH42:AJ42 AO42:AP4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max"/>
        <color rgb="FFFCFCFF"/>
        <color rgb="FF63BE7B"/>
      </colorScale>
    </cfRule>
  </conditionalFormatting>
  <conditionalFormatting sqref="AH29:AS41 AH42:AJ42 AO42:AS4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42:AN42">
    <cfRule type="colorScale" priority="6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1:AQ4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max"/>
        <color rgb="FFFCFCFF"/>
        <color rgb="FF63BE7B"/>
      </colorScale>
    </cfRule>
  </conditionalFormatting>
  <conditionalFormatting sqref="AV29:AV42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30:AW4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{67C10F0F-E69B-4A97-9C1C-E316387D1043}</x14:id>
        </ext>
      </extLst>
    </cfRule>
  </conditionalFormatting>
  <conditionalFormatting sqref="BM29:BX42">
    <cfRule type="colorScale" priority="10">
      <colorScale>
        <cfvo type="min"/>
        <cfvo type="max"/>
        <color rgb="FFFCFCFF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41:BT4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max"/>
        <color rgb="FFFCFCFF"/>
        <color rgb="FF63BE7B"/>
      </colorScale>
    </cfRule>
  </conditionalFormatting>
  <conditionalFormatting sqref="BV41:BV4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max"/>
        <color rgb="FFFCFCFF"/>
        <color rgb="FF63BE7B"/>
      </colorScale>
    </cfRule>
  </conditionalFormatting>
  <conditionalFormatting sqref="CA29:CA42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B30:CB4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{2F8D2D0F-4A85-486E-833F-56EB7DB5A345}</x14:id>
        </ext>
      </extLst>
    </cfRule>
  </conditionalFormatting>
  <conditionalFormatting sqref="CQ29:DB4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max"/>
        <color rgb="FFFCFCFF"/>
        <color rgb="FF63BE7B"/>
      </colorScale>
    </cfRule>
  </conditionalFormatting>
  <conditionalFormatting sqref="CQ47:DB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conditionalFormatting sqref="DE29:DE42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F30:DF4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{C60AEE27-B8A6-40C9-9592-F47F247244AD}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F2FD02-3FBF-4D08-B7DB-C2F5C8F14D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S30:S42</xm:sqref>
        </x14:conditionalFormatting>
        <x14:conditionalFormatting xmlns:xm="http://schemas.microsoft.com/office/excel/2006/main">
          <x14:cfRule type="dataBar" id="{67C10F0F-E69B-4A97-9C1C-E316387D10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AW30:AW42</xm:sqref>
        </x14:conditionalFormatting>
        <x14:conditionalFormatting xmlns:xm="http://schemas.microsoft.com/office/excel/2006/main">
          <x14:cfRule type="dataBar" id="{2F8D2D0F-4A85-486E-833F-56EB7DB5A3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CB30:CB42</xm:sqref>
        </x14:conditionalFormatting>
        <x14:conditionalFormatting xmlns:xm="http://schemas.microsoft.com/office/excel/2006/main">
          <x14:cfRule type="dataBar" id="{C60AEE27-B8A6-40C9-9592-F47F247244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DF30:DF42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17AD-7356-4399-850A-CE1C53CE36CF}">
  <sheetPr codeName="Sheet7"/>
  <dimension ref="A1:AI229"/>
  <sheetViews>
    <sheetView showGridLines="0" zoomScale="115" zoomScaleNormal="115" workbookViewId="0">
      <selection activeCell="B6" sqref="B6:N18"/>
    </sheetView>
  </sheetViews>
  <sheetFormatPr defaultColWidth="8.83984375" defaultRowHeight="14.4" x14ac:dyDescent="0.55000000000000004"/>
  <cols>
    <col min="1" max="16384" width="8.83984375" style="11"/>
  </cols>
  <sheetData>
    <row r="1" spans="1:35" s="17" customFormat="1" ht="25.8" x14ac:dyDescent="0.55000000000000004">
      <c r="A1" s="73" t="s">
        <v>48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Oct-Sep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Brazil : Robusta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Oct-Sep</v>
      </c>
      <c r="T6" s="75"/>
      <c r="U6" s="75"/>
    </row>
    <row r="7" spans="1:35" x14ac:dyDescent="0.55000000000000004">
      <c r="A7" s="14">
        <v>1</v>
      </c>
      <c r="B7" s="6" t="s">
        <v>15</v>
      </c>
      <c r="C7" s="23">
        <v>428747</v>
      </c>
      <c r="D7" s="23">
        <v>386086</v>
      </c>
      <c r="E7" s="23">
        <v>249505</v>
      </c>
      <c r="F7" s="23">
        <v>279538</v>
      </c>
      <c r="G7" s="23">
        <v>450196</v>
      </c>
      <c r="H7" s="23">
        <v>463415</v>
      </c>
      <c r="I7" s="23">
        <v>344794</v>
      </c>
      <c r="J7" s="23">
        <v>254532</v>
      </c>
      <c r="K7" s="23">
        <v>348628</v>
      </c>
      <c r="L7" s="23">
        <v>530599</v>
      </c>
      <c r="M7" s="23">
        <v>413222</v>
      </c>
      <c r="N7" s="23">
        <v>414995</v>
      </c>
      <c r="O7" s="6" t="s">
        <v>15</v>
      </c>
      <c r="P7" s="20">
        <f t="shared" ref="P7:P19" si="0">IF(COUNT(C7:N7)=12,SUM(C7:N7),"")</f>
        <v>4564257</v>
      </c>
      <c r="Q7" s="2"/>
      <c r="R7" s="2"/>
      <c r="S7" s="6" t="s">
        <v>15</v>
      </c>
      <c r="T7" s="20">
        <f ca="1">IFERROR(IF(SUM(OFFSET(C7,0,0,1,$C$56))=0,"",SUM(OFFSET(C7,0,0,1,$C$56))),"")</f>
        <v>4564257</v>
      </c>
      <c r="U7" s="2"/>
    </row>
    <row r="8" spans="1:35" x14ac:dyDescent="0.55000000000000004">
      <c r="A8" s="14">
        <v>2</v>
      </c>
      <c r="B8" s="6" t="s">
        <v>16</v>
      </c>
      <c r="C8" s="23">
        <v>411461</v>
      </c>
      <c r="D8" s="23">
        <v>396050</v>
      </c>
      <c r="E8" s="23">
        <v>335911</v>
      </c>
      <c r="F8" s="23">
        <v>359906</v>
      </c>
      <c r="G8" s="23">
        <v>293859</v>
      </c>
      <c r="H8" s="23">
        <v>109996</v>
      </c>
      <c r="I8" s="23">
        <v>78044</v>
      </c>
      <c r="J8" s="23">
        <v>70205</v>
      </c>
      <c r="K8" s="23">
        <v>61531</v>
      </c>
      <c r="L8" s="23">
        <v>59647</v>
      </c>
      <c r="M8" s="23">
        <v>68141</v>
      </c>
      <c r="N8" s="23">
        <v>83464</v>
      </c>
      <c r="O8" s="6" t="s">
        <v>16</v>
      </c>
      <c r="P8" s="20">
        <f t="shared" si="0"/>
        <v>2328215</v>
      </c>
      <c r="Q8" s="7">
        <f t="shared" ref="Q8:Q16" si="1">IFERROR(P8/P7-1,"")</f>
        <v>-0.4899027377292734</v>
      </c>
      <c r="R8" s="2"/>
      <c r="S8" s="6" t="s">
        <v>16</v>
      </c>
      <c r="T8" s="20">
        <f t="shared" ref="T8:T19" ca="1" si="2">IFERROR(IF(SUM(OFFSET(C8,0,0,1,$C$56))=0,"",SUM(OFFSET(C8,0,0,1,$C$56))),"")</f>
        <v>2328215</v>
      </c>
      <c r="U8" s="7">
        <f t="shared" ref="U8:U17" ca="1" si="3">IFERROR(T8/T7-1,"")</f>
        <v>-0.4899027377292734</v>
      </c>
    </row>
    <row r="9" spans="1:35" x14ac:dyDescent="0.55000000000000004">
      <c r="A9" s="14">
        <v>3</v>
      </c>
      <c r="B9" s="6" t="s">
        <v>17</v>
      </c>
      <c r="C9" s="23">
        <v>38238</v>
      </c>
      <c r="D9" s="23">
        <v>39647</v>
      </c>
      <c r="E9" s="23">
        <v>30486</v>
      </c>
      <c r="F9" s="23">
        <v>11483</v>
      </c>
      <c r="G9" s="23">
        <v>28390</v>
      </c>
      <c r="H9" s="23">
        <v>11037</v>
      </c>
      <c r="I9" s="23">
        <v>22338</v>
      </c>
      <c r="J9" s="23">
        <v>9862</v>
      </c>
      <c r="K9" s="23">
        <v>20626</v>
      </c>
      <c r="L9" s="23">
        <v>26611</v>
      </c>
      <c r="M9" s="23">
        <v>19799</v>
      </c>
      <c r="N9" s="23">
        <v>19908</v>
      </c>
      <c r="O9" s="6" t="s">
        <v>17</v>
      </c>
      <c r="P9" s="20">
        <f t="shared" si="0"/>
        <v>278425</v>
      </c>
      <c r="Q9" s="7">
        <f t="shared" si="1"/>
        <v>-0.88041267666431144</v>
      </c>
      <c r="R9" s="2"/>
      <c r="S9" s="6" t="s">
        <v>17</v>
      </c>
      <c r="T9" s="20">
        <f t="shared" ca="1" si="2"/>
        <v>278425</v>
      </c>
      <c r="U9" s="7">
        <f t="shared" ca="1" si="3"/>
        <v>-0.88041267666431144</v>
      </c>
    </row>
    <row r="10" spans="1:35" x14ac:dyDescent="0.55000000000000004">
      <c r="A10" s="14">
        <v>4</v>
      </c>
      <c r="B10" s="6" t="s">
        <v>18</v>
      </c>
      <c r="C10" s="23">
        <v>20272</v>
      </c>
      <c r="D10" s="23">
        <v>29972</v>
      </c>
      <c r="E10" s="23">
        <v>24475</v>
      </c>
      <c r="F10" s="23">
        <v>19228</v>
      </c>
      <c r="G10" s="23">
        <v>36491</v>
      </c>
      <c r="H10" s="23">
        <v>46487</v>
      </c>
      <c r="I10" s="23">
        <v>12760</v>
      </c>
      <c r="J10" s="23">
        <v>27829</v>
      </c>
      <c r="K10" s="23">
        <v>76542</v>
      </c>
      <c r="L10" s="23">
        <v>58214</v>
      </c>
      <c r="M10" s="23">
        <v>46621</v>
      </c>
      <c r="N10" s="23">
        <v>283940</v>
      </c>
      <c r="O10" s="6" t="s">
        <v>18</v>
      </c>
      <c r="P10" s="20">
        <f t="shared" si="0"/>
        <v>682831</v>
      </c>
      <c r="Q10" s="7">
        <f t="shared" si="1"/>
        <v>1.4524773278261649</v>
      </c>
      <c r="R10" s="2"/>
      <c r="S10" s="6" t="s">
        <v>18</v>
      </c>
      <c r="T10" s="20">
        <f t="shared" ca="1" si="2"/>
        <v>682831</v>
      </c>
      <c r="U10" s="7">
        <f t="shared" ca="1" si="3"/>
        <v>1.4524773278261649</v>
      </c>
    </row>
    <row r="11" spans="1:35" x14ac:dyDescent="0.55000000000000004">
      <c r="A11" s="14">
        <v>5</v>
      </c>
      <c r="B11" s="6" t="s">
        <v>19</v>
      </c>
      <c r="C11" s="23">
        <v>369836</v>
      </c>
      <c r="D11" s="23">
        <v>539627</v>
      </c>
      <c r="E11" s="23">
        <v>292161</v>
      </c>
      <c r="F11" s="23">
        <v>368991</v>
      </c>
      <c r="G11" s="23">
        <v>235423</v>
      </c>
      <c r="H11" s="23">
        <v>168196</v>
      </c>
      <c r="I11" s="23">
        <v>150609</v>
      </c>
      <c r="J11" s="23">
        <v>212003</v>
      </c>
      <c r="K11" s="23">
        <v>190880</v>
      </c>
      <c r="L11" s="23">
        <v>240371</v>
      </c>
      <c r="M11" s="23">
        <v>462472</v>
      </c>
      <c r="N11" s="23">
        <v>383915</v>
      </c>
      <c r="O11" s="6" t="s">
        <v>19</v>
      </c>
      <c r="P11" s="20">
        <f t="shared" si="0"/>
        <v>3614484</v>
      </c>
      <c r="Q11" s="7">
        <f t="shared" si="1"/>
        <v>4.2933800603663279</v>
      </c>
      <c r="R11" s="2"/>
      <c r="S11" s="6" t="s">
        <v>19</v>
      </c>
      <c r="T11" s="20">
        <f t="shared" ca="1" si="2"/>
        <v>3614484</v>
      </c>
      <c r="U11" s="7">
        <f t="shared" ca="1" si="3"/>
        <v>4.2933800603663279</v>
      </c>
    </row>
    <row r="12" spans="1:35" x14ac:dyDescent="0.55000000000000004">
      <c r="A12" s="14">
        <v>6</v>
      </c>
      <c r="B12" s="6" t="s">
        <v>20</v>
      </c>
      <c r="C12" s="23">
        <v>601684</v>
      </c>
      <c r="D12" s="23">
        <v>461635</v>
      </c>
      <c r="E12" s="23">
        <v>346970</v>
      </c>
      <c r="F12" s="23">
        <v>359186</v>
      </c>
      <c r="G12" s="23">
        <v>204055</v>
      </c>
      <c r="H12" s="23">
        <v>345873</v>
      </c>
      <c r="I12" s="23">
        <v>223828</v>
      </c>
      <c r="J12" s="23">
        <v>218905</v>
      </c>
      <c r="K12" s="23">
        <v>253550</v>
      </c>
      <c r="L12" s="23">
        <v>316695</v>
      </c>
      <c r="M12" s="23">
        <v>486571</v>
      </c>
      <c r="N12" s="23">
        <v>638835</v>
      </c>
      <c r="O12" s="6" t="s">
        <v>20</v>
      </c>
      <c r="P12" s="20">
        <f t="shared" si="0"/>
        <v>4457787</v>
      </c>
      <c r="Q12" s="7">
        <f t="shared" si="1"/>
        <v>0.23331214082010043</v>
      </c>
      <c r="R12" s="2"/>
      <c r="S12" s="6" t="s">
        <v>20</v>
      </c>
      <c r="T12" s="20">
        <f t="shared" ca="1" si="2"/>
        <v>4457787</v>
      </c>
      <c r="U12" s="7">
        <f t="shared" ca="1" si="3"/>
        <v>0.23331214082010043</v>
      </c>
    </row>
    <row r="13" spans="1:35" x14ac:dyDescent="0.55000000000000004">
      <c r="A13" s="14">
        <v>7</v>
      </c>
      <c r="B13" s="6" t="s">
        <v>21</v>
      </c>
      <c r="C13" s="23">
        <v>448158</v>
      </c>
      <c r="D13" s="23">
        <v>474827</v>
      </c>
      <c r="E13" s="23">
        <v>676325</v>
      </c>
      <c r="F13" s="23">
        <v>470493</v>
      </c>
      <c r="G13" s="23">
        <v>334632</v>
      </c>
      <c r="H13" s="23">
        <v>384365</v>
      </c>
      <c r="I13" s="23">
        <v>242217</v>
      </c>
      <c r="J13" s="23">
        <v>313689</v>
      </c>
      <c r="K13" s="23">
        <v>348268</v>
      </c>
      <c r="L13" s="23">
        <v>336280</v>
      </c>
      <c r="M13" s="23">
        <v>303723</v>
      </c>
      <c r="N13" s="23">
        <v>398004</v>
      </c>
      <c r="O13" s="6" t="s">
        <v>21</v>
      </c>
      <c r="P13" s="20">
        <f t="shared" si="0"/>
        <v>4730981</v>
      </c>
      <c r="Q13" s="7">
        <f t="shared" si="1"/>
        <v>6.1284668827828792E-2</v>
      </c>
      <c r="R13" s="2"/>
      <c r="S13" s="6" t="s">
        <v>21</v>
      </c>
      <c r="T13" s="20">
        <f t="shared" ca="1" si="2"/>
        <v>4730981</v>
      </c>
      <c r="U13" s="7">
        <f t="shared" ca="1" si="3"/>
        <v>6.1284668827828792E-2</v>
      </c>
    </row>
    <row r="14" spans="1:35" x14ac:dyDescent="0.55000000000000004">
      <c r="A14" s="14">
        <v>8</v>
      </c>
      <c r="B14" s="6" t="s">
        <v>22</v>
      </c>
      <c r="C14" s="23">
        <v>410766</v>
      </c>
      <c r="D14" s="23">
        <v>345711</v>
      </c>
      <c r="E14" s="23">
        <v>390102</v>
      </c>
      <c r="F14" s="23">
        <v>301607</v>
      </c>
      <c r="G14" s="23">
        <v>221353</v>
      </c>
      <c r="H14" s="23">
        <v>131056</v>
      </c>
      <c r="I14" s="23">
        <v>99847</v>
      </c>
      <c r="J14" s="23">
        <v>143956</v>
      </c>
      <c r="K14" s="23">
        <v>135661</v>
      </c>
      <c r="L14" s="23">
        <v>142826</v>
      </c>
      <c r="M14" s="23">
        <v>131486</v>
      </c>
      <c r="N14" s="23">
        <v>143421</v>
      </c>
      <c r="O14" s="6" t="s">
        <v>22</v>
      </c>
      <c r="P14" s="20">
        <f t="shared" si="0"/>
        <v>2597792</v>
      </c>
      <c r="Q14" s="7">
        <f t="shared" si="1"/>
        <v>-0.45089781590752531</v>
      </c>
      <c r="R14" s="2"/>
      <c r="S14" s="6" t="s">
        <v>22</v>
      </c>
      <c r="T14" s="20">
        <f t="shared" ca="1" si="2"/>
        <v>2597792</v>
      </c>
      <c r="U14" s="7">
        <f t="shared" ca="1" si="3"/>
        <v>-0.45089781590752531</v>
      </c>
    </row>
    <row r="15" spans="1:35" x14ac:dyDescent="0.55000000000000004">
      <c r="A15" s="14">
        <v>9</v>
      </c>
      <c r="B15" s="6" t="s">
        <v>23</v>
      </c>
      <c r="C15" s="23">
        <v>113367</v>
      </c>
      <c r="D15" s="23">
        <v>110021</v>
      </c>
      <c r="E15" s="23">
        <v>61991</v>
      </c>
      <c r="F15" s="23">
        <v>75853</v>
      </c>
      <c r="G15" s="23">
        <v>87500</v>
      </c>
      <c r="H15" s="23">
        <v>107267</v>
      </c>
      <c r="I15" s="23">
        <v>124206</v>
      </c>
      <c r="J15" s="23">
        <v>131689</v>
      </c>
      <c r="K15" s="23">
        <v>230653</v>
      </c>
      <c r="L15" s="23">
        <v>494527</v>
      </c>
      <c r="M15" s="23">
        <v>703148</v>
      </c>
      <c r="N15" s="23">
        <v>647088</v>
      </c>
      <c r="O15" s="6" t="s">
        <v>23</v>
      </c>
      <c r="P15" s="20">
        <f t="shared" si="0"/>
        <v>2887310</v>
      </c>
      <c r="Q15" s="7">
        <f t="shared" si="1"/>
        <v>0.11144772175755402</v>
      </c>
      <c r="R15" s="2"/>
      <c r="S15" s="6" t="s">
        <v>23</v>
      </c>
      <c r="T15" s="20">
        <f t="shared" ca="1" si="2"/>
        <v>2887310</v>
      </c>
      <c r="U15" s="7">
        <f t="shared" ca="1" si="3"/>
        <v>0.11144772175755402</v>
      </c>
    </row>
    <row r="16" spans="1:35" x14ac:dyDescent="0.55000000000000004">
      <c r="A16" s="14">
        <v>10</v>
      </c>
      <c r="B16" s="6" t="s">
        <v>24</v>
      </c>
      <c r="C16" s="23">
        <v>679949</v>
      </c>
      <c r="D16" s="23">
        <v>898666</v>
      </c>
      <c r="E16" s="23">
        <v>526974</v>
      </c>
      <c r="F16" s="23">
        <v>459987</v>
      </c>
      <c r="G16" s="23">
        <v>564930</v>
      </c>
      <c r="H16" s="23">
        <v>862569</v>
      </c>
      <c r="I16" s="23">
        <v>685508</v>
      </c>
      <c r="J16" s="23">
        <v>879905</v>
      </c>
      <c r="K16" s="23">
        <v>823727</v>
      </c>
      <c r="L16" s="23">
        <v>902637</v>
      </c>
      <c r="M16" s="23">
        <v>945047</v>
      </c>
      <c r="N16" s="23">
        <v>930992</v>
      </c>
      <c r="O16" s="6" t="s">
        <v>24</v>
      </c>
      <c r="P16" s="20">
        <f t="shared" si="0"/>
        <v>9160891</v>
      </c>
      <c r="Q16" s="7">
        <f t="shared" si="1"/>
        <v>2.1728117174809771</v>
      </c>
      <c r="R16" s="2"/>
      <c r="S16" s="6" t="s">
        <v>24</v>
      </c>
      <c r="T16" s="20">
        <f t="shared" ca="1" si="2"/>
        <v>9160891</v>
      </c>
      <c r="U16" s="7">
        <f t="shared" ca="1" si="3"/>
        <v>2.1728117174809771</v>
      </c>
    </row>
    <row r="17" spans="1:21" x14ac:dyDescent="0.55000000000000004">
      <c r="A17" s="14">
        <v>11</v>
      </c>
      <c r="B17" s="6" t="s">
        <v>25</v>
      </c>
      <c r="C17" s="23">
        <v>922913</v>
      </c>
      <c r="D17" s="23">
        <v>714206</v>
      </c>
      <c r="E17" s="23">
        <v>800000</v>
      </c>
      <c r="F17" s="23">
        <f>'[1]Robusta Exports'!I54</f>
        <v>333801</v>
      </c>
      <c r="G17" s="23">
        <f>'[1]Robusta Exports'!J54</f>
        <v>230785</v>
      </c>
      <c r="H17" s="23">
        <f>'[1]Robusta Exports'!K54</f>
        <v>139002</v>
      </c>
      <c r="I17" s="23">
        <f>'[1]Robusta Exports'!L54</f>
        <v>104837</v>
      </c>
      <c r="J17" s="23">
        <f>'[1]Robusta Exports'!M54</f>
        <v>203686</v>
      </c>
      <c r="K17" s="23">
        <f>'[1]Robusta Exports'!N54</f>
        <v>477200</v>
      </c>
      <c r="L17" s="23">
        <f>'[1]Robusta Exports'!$C$55</f>
        <v>461625</v>
      </c>
      <c r="M17" s="23">
        <f>'[1]Robusta Exports'!D55</f>
        <v>621010</v>
      </c>
      <c r="N17" s="23">
        <f>'[1]Robusta Exports'!E55</f>
        <v>493018</v>
      </c>
      <c r="O17" s="6" t="s">
        <v>25</v>
      </c>
      <c r="P17" s="5">
        <f t="shared" si="0"/>
        <v>5502083</v>
      </c>
      <c r="Q17" s="7"/>
      <c r="R17" s="2"/>
      <c r="S17" s="6" t="s">
        <v>25</v>
      </c>
      <c r="T17" s="20">
        <f t="shared" ca="1" si="2"/>
        <v>5502083</v>
      </c>
      <c r="U17" s="7">
        <f t="shared" ca="1" si="3"/>
        <v>-0.39939433838913707</v>
      </c>
    </row>
    <row r="18" spans="1:21" x14ac:dyDescent="0.55000000000000004">
      <c r="A18" s="14">
        <v>12</v>
      </c>
      <c r="B18" s="6" t="s">
        <v>26</v>
      </c>
      <c r="C18" s="23">
        <f>'[1]Robusta Exports'!F55</f>
        <v>448556</v>
      </c>
      <c r="D18" s="23">
        <f>'[1]Robusta Exports'!G55</f>
        <v>259323</v>
      </c>
      <c r="E18" s="23">
        <f>'[1]Robusta Exports'!H55</f>
        <v>222147</v>
      </c>
      <c r="F18" s="23">
        <f>'[1]Robusta Exports'!I55</f>
        <v>182225</v>
      </c>
      <c r="G18" s="23">
        <f>'[1]Robusta Exports'!J55</f>
        <v>230555</v>
      </c>
      <c r="H18" s="23">
        <f>'[1]Robusta Exports'!K55</f>
        <v>373858</v>
      </c>
      <c r="I18" s="23">
        <f>'[1]Robusta Exports'!L55</f>
        <v>501403</v>
      </c>
      <c r="J18" s="23">
        <f>'[1]Robusta Exports'!M55</f>
        <v>603995</v>
      </c>
      <c r="K18" s="23">
        <f>'[1]Robusta Exports'!N55</f>
        <v>643659</v>
      </c>
      <c r="L18" s="23">
        <f>'[1]Robusta Exports'!$C$55</f>
        <v>461625</v>
      </c>
      <c r="M18" s="23">
        <f>'[1]Robusta Exports'!D56</f>
        <v>962607</v>
      </c>
      <c r="N18" s="23">
        <f>'[1]Robusta Exports'!E56</f>
        <v>813904</v>
      </c>
      <c r="O18" s="6" t="s">
        <v>26</v>
      </c>
      <c r="P18" s="5">
        <f t="shared" si="0"/>
        <v>5703857</v>
      </c>
      <c r="Q18" s="7"/>
      <c r="R18" s="2"/>
      <c r="S18" s="6" t="s">
        <v>26</v>
      </c>
      <c r="T18" s="20">
        <f t="shared" ca="1" si="2"/>
        <v>5703857</v>
      </c>
      <c r="U18" s="7"/>
    </row>
    <row r="19" spans="1:21" x14ac:dyDescent="0.55000000000000004">
      <c r="A19" s="14">
        <v>13</v>
      </c>
      <c r="B19" s="6" t="s">
        <v>27</v>
      </c>
      <c r="C19" s="23" t="e">
        <f>NA()</f>
        <v>#N/A</v>
      </c>
      <c r="D19" s="23" t="e">
        <f>NA()</f>
        <v>#N/A</v>
      </c>
      <c r="E19" s="23" t="e">
        <f>NA()</f>
        <v>#N/A</v>
      </c>
      <c r="F19" s="23" t="e">
        <f>NA()</f>
        <v>#N/A</v>
      </c>
      <c r="G19" s="23" t="e">
        <f>NA()</f>
        <v>#N/A</v>
      </c>
      <c r="H19" s="23" t="e">
        <f>NA()</f>
        <v>#N/A</v>
      </c>
      <c r="I19" s="23" t="e">
        <f>NA()</f>
        <v>#N/A</v>
      </c>
      <c r="J19" s="23" t="e">
        <f>NA()</f>
        <v>#N/A</v>
      </c>
      <c r="K19" s="23" t="e">
        <f>NA()</f>
        <v>#N/A</v>
      </c>
      <c r="L19" s="23" t="e">
        <f>NA()</f>
        <v>#N/A</v>
      </c>
      <c r="M19" s="23" t="e">
        <f>NA()</f>
        <v>#N/A</v>
      </c>
      <c r="N19" s="23" t="e">
        <f>NA()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t="shared" ca="1" si="2"/>
        <v/>
      </c>
      <c r="U19" s="7"/>
    </row>
    <row r="20" spans="1:21" x14ac:dyDescent="0.55000000000000004">
      <c r="B20" s="8" t="s">
        <v>28</v>
      </c>
      <c r="C20" s="22">
        <f>-C18/C17-1</f>
        <v>-1.4860219760692503</v>
      </c>
      <c r="D20" s="22">
        <f t="shared" ref="D20:N20" si="4">-D18/D17-1</f>
        <v>-1.3630927211476802</v>
      </c>
      <c r="E20" s="22">
        <f t="shared" si="4"/>
        <v>-1.27768375</v>
      </c>
      <c r="F20" s="22">
        <f t="shared" si="4"/>
        <v>-1.5459090895473651</v>
      </c>
      <c r="G20" s="22">
        <f t="shared" si="4"/>
        <v>-1.9990034014342353</v>
      </c>
      <c r="H20" s="22">
        <f t="shared" si="4"/>
        <v>-3.6895872001841701</v>
      </c>
      <c r="I20" s="22">
        <f t="shared" si="4"/>
        <v>-5.782691225426138</v>
      </c>
      <c r="J20" s="22">
        <f t="shared" si="4"/>
        <v>-3.9653240772561689</v>
      </c>
      <c r="K20" s="22">
        <f t="shared" si="4"/>
        <v>-2.3488243922883489</v>
      </c>
      <c r="L20" s="22">
        <f t="shared" si="4"/>
        <v>-2</v>
      </c>
      <c r="M20" s="22">
        <f t="shared" si="4"/>
        <v>-2.5500668266211495</v>
      </c>
      <c r="N20" s="22">
        <f t="shared" si="4"/>
        <v>-2.6508606176650753</v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Brazil : Robusta Exports | YTD : Oct-Sep</v>
      </c>
      <c r="Q27" s="13" t="str">
        <f>_xlfn.CONCAT(A1," | ","Cumulative")</f>
        <v>Brazil : Robusta Exports | Cumulative</v>
      </c>
    </row>
    <row r="56" spans="2:6" x14ac:dyDescent="0.55000000000000004">
      <c r="B56" s="9" t="s">
        <v>29</v>
      </c>
      <c r="C56" s="9">
        <f>COUNT(C18:N18)</f>
        <v>12</v>
      </c>
      <c r="D56" s="25" t="str">
        <f ca="1">OFFSET(B6,0,$C$56,1,1)</f>
        <v>Sep</v>
      </c>
      <c r="E56" s="11" t="str">
        <f>B18</f>
        <v>25/26</v>
      </c>
      <c r="F56" s="11" t="str">
        <f ca="1">_xlfn.CONCAT(D56,"'",E56)</f>
        <v>Sep'25/26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448556</v>
      </c>
      <c r="C66" s="12">
        <f t="shared" ref="C66:M66" si="5">D18</f>
        <v>259323</v>
      </c>
      <c r="D66" s="12">
        <f t="shared" si="5"/>
        <v>222147</v>
      </c>
      <c r="E66" s="12">
        <f t="shared" si="5"/>
        <v>182225</v>
      </c>
      <c r="F66" s="12">
        <f t="shared" si="5"/>
        <v>230555</v>
      </c>
      <c r="G66" s="12">
        <f t="shared" si="5"/>
        <v>373858</v>
      </c>
      <c r="H66" s="12">
        <f t="shared" si="5"/>
        <v>501403</v>
      </c>
      <c r="I66" s="12">
        <f t="shared" si="5"/>
        <v>603995</v>
      </c>
      <c r="J66" s="12">
        <f t="shared" si="5"/>
        <v>643659</v>
      </c>
      <c r="K66" s="12">
        <f t="shared" si="5"/>
        <v>461625</v>
      </c>
      <c r="L66" s="12">
        <f t="shared" si="5"/>
        <v>962607</v>
      </c>
      <c r="M66" s="12">
        <f t="shared" si="5"/>
        <v>813904</v>
      </c>
    </row>
    <row r="67" spans="1:25" x14ac:dyDescent="0.55000000000000004">
      <c r="A67" s="11" t="s">
        <v>30</v>
      </c>
      <c r="B67" s="12">
        <f>MIN(C7:C17)</f>
        <v>20272</v>
      </c>
      <c r="C67" s="12">
        <f t="shared" ref="C67:M67" si="6">MIN(D7:D17)</f>
        <v>29972</v>
      </c>
      <c r="D67" s="12">
        <f t="shared" si="6"/>
        <v>24475</v>
      </c>
      <c r="E67" s="12">
        <f t="shared" si="6"/>
        <v>11483</v>
      </c>
      <c r="F67" s="12">
        <f t="shared" si="6"/>
        <v>28390</v>
      </c>
      <c r="G67" s="12">
        <f t="shared" si="6"/>
        <v>11037</v>
      </c>
      <c r="H67" s="12">
        <f t="shared" si="6"/>
        <v>12760</v>
      </c>
      <c r="I67" s="12">
        <f t="shared" si="6"/>
        <v>9862</v>
      </c>
      <c r="J67" s="12">
        <f t="shared" si="6"/>
        <v>20626</v>
      </c>
      <c r="K67" s="12">
        <f t="shared" si="6"/>
        <v>26611</v>
      </c>
      <c r="L67" s="12">
        <f t="shared" si="6"/>
        <v>19799</v>
      </c>
      <c r="M67" s="12">
        <f t="shared" si="6"/>
        <v>19908</v>
      </c>
      <c r="N67" s="12"/>
    </row>
    <row r="68" spans="1:25" x14ac:dyDescent="0.55000000000000004">
      <c r="A68" s="11" t="s">
        <v>31</v>
      </c>
      <c r="B68" s="12">
        <f>MAX(C7:C17)</f>
        <v>922913</v>
      </c>
      <c r="C68" s="12">
        <f t="shared" ref="C68:M68" si="7">MAX(D7:D17)</f>
        <v>898666</v>
      </c>
      <c r="D68" s="12">
        <f t="shared" si="7"/>
        <v>800000</v>
      </c>
      <c r="E68" s="12">
        <f t="shared" si="7"/>
        <v>470493</v>
      </c>
      <c r="F68" s="12">
        <f t="shared" si="7"/>
        <v>564930</v>
      </c>
      <c r="G68" s="12">
        <f t="shared" si="7"/>
        <v>862569</v>
      </c>
      <c r="H68" s="12">
        <f t="shared" si="7"/>
        <v>685508</v>
      </c>
      <c r="I68" s="12">
        <f t="shared" si="7"/>
        <v>879905</v>
      </c>
      <c r="J68" s="12">
        <f t="shared" si="7"/>
        <v>823727</v>
      </c>
      <c r="K68" s="12">
        <f t="shared" si="7"/>
        <v>902637</v>
      </c>
      <c r="L68" s="12">
        <f t="shared" si="7"/>
        <v>945047</v>
      </c>
      <c r="M68" s="12">
        <f t="shared" si="7"/>
        <v>930992</v>
      </c>
      <c r="N68" s="12"/>
    </row>
    <row r="69" spans="1:25" x14ac:dyDescent="0.55000000000000004">
      <c r="A69" s="11" t="s">
        <v>32</v>
      </c>
      <c r="B69" s="12">
        <f>AVERAGE(C13:C17)</f>
        <v>515030.6</v>
      </c>
      <c r="C69" s="12">
        <f t="shared" ref="C69:M69" si="8">AVERAGE(D13:D17)</f>
        <v>508686.2</v>
      </c>
      <c r="D69" s="12">
        <f t="shared" si="8"/>
        <v>491078.40000000002</v>
      </c>
      <c r="E69" s="12">
        <f t="shared" si="8"/>
        <v>328348.2</v>
      </c>
      <c r="F69" s="12">
        <f t="shared" si="8"/>
        <v>287840</v>
      </c>
      <c r="G69" s="12">
        <f t="shared" si="8"/>
        <v>324851.8</v>
      </c>
      <c r="H69" s="12">
        <f t="shared" si="8"/>
        <v>251323</v>
      </c>
      <c r="I69" s="12">
        <f t="shared" si="8"/>
        <v>334585</v>
      </c>
      <c r="J69" s="12">
        <f t="shared" si="8"/>
        <v>403101.8</v>
      </c>
      <c r="K69" s="12">
        <f t="shared" si="8"/>
        <v>467579</v>
      </c>
      <c r="L69" s="12">
        <f t="shared" si="8"/>
        <v>540882.80000000005</v>
      </c>
      <c r="M69" s="12">
        <f t="shared" si="8"/>
        <v>522504.6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428747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9">INDEX($C$7:$N$19,MATCH(B75,$A$7:$A$19),MATCH(C75,$C$4:$N$4))</f>
        <v>386086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9"/>
        <v>249505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>
        <f>C7</f>
        <v>428747</v>
      </c>
      <c r="O76" s="5">
        <f t="shared" ref="O76:O88" si="13">N76+D7</f>
        <v>814833</v>
      </c>
      <c r="P76" s="5">
        <f t="shared" ref="P76:P88" si="14">O76+E7</f>
        <v>1064338</v>
      </c>
      <c r="Q76" s="5">
        <f t="shared" ref="Q76:Q88" si="15">P76+F7</f>
        <v>1343876</v>
      </c>
      <c r="R76" s="5">
        <f t="shared" ref="R76:R88" si="16">Q76+G7</f>
        <v>1794072</v>
      </c>
      <c r="S76" s="5">
        <f t="shared" ref="S76:S88" si="17">R76+H7</f>
        <v>2257487</v>
      </c>
      <c r="T76" s="5">
        <f t="shared" ref="T76:T88" si="18">S76+I7</f>
        <v>2602281</v>
      </c>
      <c r="U76" s="5">
        <f t="shared" ref="U76:U88" si="19">T76+J7</f>
        <v>2856813</v>
      </c>
      <c r="V76" s="5">
        <f t="shared" ref="V76:V88" si="20">U76+K7</f>
        <v>3205441</v>
      </c>
      <c r="W76" s="5">
        <f t="shared" ref="W76:W88" si="21">V76+L7</f>
        <v>3736040</v>
      </c>
      <c r="X76" s="5">
        <f t="shared" ref="X76:X88" si="22">W76+M7</f>
        <v>4149262</v>
      </c>
      <c r="Y76" s="5">
        <f t="shared" ref="Y76:Y88" si="23">X76+N7</f>
        <v>4564257</v>
      </c>
    </row>
    <row r="77" spans="1:25" x14ac:dyDescent="0.55000000000000004">
      <c r="B77" s="11">
        <v>1</v>
      </c>
      <c r="C77" s="11">
        <v>4</v>
      </c>
      <c r="D77" s="12">
        <f t="shared" si="9"/>
        <v>279538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24">C8</f>
        <v>411461</v>
      </c>
      <c r="O77" s="5">
        <f t="shared" si="13"/>
        <v>807511</v>
      </c>
      <c r="P77" s="5">
        <f t="shared" si="14"/>
        <v>1143422</v>
      </c>
      <c r="Q77" s="5">
        <f t="shared" si="15"/>
        <v>1503328</v>
      </c>
      <c r="R77" s="5">
        <f t="shared" si="16"/>
        <v>1797187</v>
      </c>
      <c r="S77" s="5">
        <f t="shared" si="17"/>
        <v>1907183</v>
      </c>
      <c r="T77" s="5">
        <f t="shared" si="18"/>
        <v>1985227</v>
      </c>
      <c r="U77" s="5">
        <f t="shared" si="19"/>
        <v>2055432</v>
      </c>
      <c r="V77" s="5">
        <f t="shared" si="20"/>
        <v>2116963</v>
      </c>
      <c r="W77" s="5">
        <f t="shared" si="21"/>
        <v>2176610</v>
      </c>
      <c r="X77" s="5">
        <f t="shared" si="22"/>
        <v>2244751</v>
      </c>
      <c r="Y77" s="5">
        <f t="shared" si="23"/>
        <v>2328215</v>
      </c>
    </row>
    <row r="78" spans="1:25" x14ac:dyDescent="0.55000000000000004">
      <c r="B78" s="11">
        <v>1</v>
      </c>
      <c r="C78" s="11">
        <v>5</v>
      </c>
      <c r="D78" s="12">
        <f t="shared" si="9"/>
        <v>450196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24"/>
        <v>38238</v>
      </c>
      <c r="O78" s="5">
        <f t="shared" si="13"/>
        <v>77885</v>
      </c>
      <c r="P78" s="5">
        <f t="shared" si="14"/>
        <v>108371</v>
      </c>
      <c r="Q78" s="5">
        <f t="shared" si="15"/>
        <v>119854</v>
      </c>
      <c r="R78" s="5">
        <f t="shared" si="16"/>
        <v>148244</v>
      </c>
      <c r="S78" s="5">
        <f t="shared" si="17"/>
        <v>159281</v>
      </c>
      <c r="T78" s="5">
        <f t="shared" si="18"/>
        <v>181619</v>
      </c>
      <c r="U78" s="5">
        <f t="shared" si="19"/>
        <v>191481</v>
      </c>
      <c r="V78" s="5">
        <f t="shared" si="20"/>
        <v>212107</v>
      </c>
      <c r="W78" s="5">
        <f t="shared" si="21"/>
        <v>238718</v>
      </c>
      <c r="X78" s="5">
        <f t="shared" si="22"/>
        <v>258517</v>
      </c>
      <c r="Y78" s="5">
        <f t="shared" si="23"/>
        <v>278425</v>
      </c>
    </row>
    <row r="79" spans="1:25" x14ac:dyDescent="0.55000000000000004">
      <c r="B79" s="11">
        <v>1</v>
      </c>
      <c r="C79" s="11">
        <v>6</v>
      </c>
      <c r="D79" s="12">
        <f t="shared" si="9"/>
        <v>463415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24"/>
        <v>20272</v>
      </c>
      <c r="O79" s="5">
        <f t="shared" si="13"/>
        <v>50244</v>
      </c>
      <c r="P79" s="5">
        <f t="shared" si="14"/>
        <v>74719</v>
      </c>
      <c r="Q79" s="5">
        <f t="shared" si="15"/>
        <v>93947</v>
      </c>
      <c r="R79" s="5">
        <f t="shared" si="16"/>
        <v>130438</v>
      </c>
      <c r="S79" s="5">
        <f t="shared" si="17"/>
        <v>176925</v>
      </c>
      <c r="T79" s="5">
        <f t="shared" si="18"/>
        <v>189685</v>
      </c>
      <c r="U79" s="5">
        <f t="shared" si="19"/>
        <v>217514</v>
      </c>
      <c r="V79" s="5">
        <f t="shared" si="20"/>
        <v>294056</v>
      </c>
      <c r="W79" s="5">
        <f t="shared" si="21"/>
        <v>352270</v>
      </c>
      <c r="X79" s="5">
        <f t="shared" si="22"/>
        <v>398891</v>
      </c>
      <c r="Y79" s="5">
        <f t="shared" si="23"/>
        <v>682831</v>
      </c>
    </row>
    <row r="80" spans="1:25" x14ac:dyDescent="0.55000000000000004">
      <c r="B80" s="11">
        <v>1</v>
      </c>
      <c r="C80" s="11">
        <v>7</v>
      </c>
      <c r="D80" s="12">
        <f t="shared" si="9"/>
        <v>344794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24"/>
        <v>369836</v>
      </c>
      <c r="O80" s="5">
        <f t="shared" si="13"/>
        <v>909463</v>
      </c>
      <c r="P80" s="5">
        <f t="shared" si="14"/>
        <v>1201624</v>
      </c>
      <c r="Q80" s="5">
        <f t="shared" si="15"/>
        <v>1570615</v>
      </c>
      <c r="R80" s="5">
        <f t="shared" si="16"/>
        <v>1806038</v>
      </c>
      <c r="S80" s="5">
        <f t="shared" si="17"/>
        <v>1974234</v>
      </c>
      <c r="T80" s="5">
        <f t="shared" si="18"/>
        <v>2124843</v>
      </c>
      <c r="U80" s="5">
        <f t="shared" si="19"/>
        <v>2336846</v>
      </c>
      <c r="V80" s="5">
        <f t="shared" si="20"/>
        <v>2527726</v>
      </c>
      <c r="W80" s="5">
        <f t="shared" si="21"/>
        <v>2768097</v>
      </c>
      <c r="X80" s="5">
        <f t="shared" si="22"/>
        <v>3230569</v>
      </c>
      <c r="Y80" s="5">
        <f t="shared" si="23"/>
        <v>3614484</v>
      </c>
    </row>
    <row r="81" spans="2:25" x14ac:dyDescent="0.55000000000000004">
      <c r="B81" s="11">
        <v>1</v>
      </c>
      <c r="C81" s="11">
        <v>8</v>
      </c>
      <c r="D81" s="12">
        <f t="shared" si="9"/>
        <v>254532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24"/>
        <v>601684</v>
      </c>
      <c r="O81" s="5">
        <f t="shared" si="13"/>
        <v>1063319</v>
      </c>
      <c r="P81" s="5">
        <f t="shared" si="14"/>
        <v>1410289</v>
      </c>
      <c r="Q81" s="5">
        <f t="shared" si="15"/>
        <v>1769475</v>
      </c>
      <c r="R81" s="5">
        <f t="shared" si="16"/>
        <v>1973530</v>
      </c>
      <c r="S81" s="5">
        <f t="shared" si="17"/>
        <v>2319403</v>
      </c>
      <c r="T81" s="5">
        <f t="shared" si="18"/>
        <v>2543231</v>
      </c>
      <c r="U81" s="5">
        <f t="shared" si="19"/>
        <v>2762136</v>
      </c>
      <c r="V81" s="5">
        <f t="shared" si="20"/>
        <v>3015686</v>
      </c>
      <c r="W81" s="5">
        <f t="shared" si="21"/>
        <v>3332381</v>
      </c>
      <c r="X81" s="5">
        <f t="shared" si="22"/>
        <v>3818952</v>
      </c>
      <c r="Y81" s="5">
        <f t="shared" si="23"/>
        <v>4457787</v>
      </c>
    </row>
    <row r="82" spans="2:25" x14ac:dyDescent="0.55000000000000004">
      <c r="B82" s="11">
        <v>1</v>
      </c>
      <c r="C82" s="11">
        <v>9</v>
      </c>
      <c r="D82" s="12">
        <f t="shared" si="9"/>
        <v>348628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24"/>
        <v>448158</v>
      </c>
      <c r="O82" s="5">
        <f t="shared" si="13"/>
        <v>922985</v>
      </c>
      <c r="P82" s="5">
        <f t="shared" si="14"/>
        <v>1599310</v>
      </c>
      <c r="Q82" s="5">
        <f t="shared" si="15"/>
        <v>2069803</v>
      </c>
      <c r="R82" s="5">
        <f t="shared" si="16"/>
        <v>2404435</v>
      </c>
      <c r="S82" s="5">
        <f t="shared" si="17"/>
        <v>2788800</v>
      </c>
      <c r="T82" s="5">
        <f t="shared" si="18"/>
        <v>3031017</v>
      </c>
      <c r="U82" s="5">
        <f t="shared" si="19"/>
        <v>3344706</v>
      </c>
      <c r="V82" s="5">
        <f t="shared" si="20"/>
        <v>3692974</v>
      </c>
      <c r="W82" s="5">
        <f t="shared" si="21"/>
        <v>4029254</v>
      </c>
      <c r="X82" s="5">
        <f t="shared" si="22"/>
        <v>4332977</v>
      </c>
      <c r="Y82" s="5">
        <f t="shared" si="23"/>
        <v>4730981</v>
      </c>
    </row>
    <row r="83" spans="2:25" x14ac:dyDescent="0.55000000000000004">
      <c r="B83" s="11">
        <v>1</v>
      </c>
      <c r="C83" s="11">
        <v>10</v>
      </c>
      <c r="D83" s="12">
        <f t="shared" si="9"/>
        <v>530599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24"/>
        <v>410766</v>
      </c>
      <c r="O83" s="5">
        <f t="shared" si="13"/>
        <v>756477</v>
      </c>
      <c r="P83" s="5">
        <f t="shared" si="14"/>
        <v>1146579</v>
      </c>
      <c r="Q83" s="5">
        <f t="shared" si="15"/>
        <v>1448186</v>
      </c>
      <c r="R83" s="5">
        <f t="shared" si="16"/>
        <v>1669539</v>
      </c>
      <c r="S83" s="5">
        <f t="shared" si="17"/>
        <v>1800595</v>
      </c>
      <c r="T83" s="5">
        <f t="shared" si="18"/>
        <v>1900442</v>
      </c>
      <c r="U83" s="5">
        <f t="shared" si="19"/>
        <v>2044398</v>
      </c>
      <c r="V83" s="5">
        <f t="shared" si="20"/>
        <v>2180059</v>
      </c>
      <c r="W83" s="5">
        <f t="shared" si="21"/>
        <v>2322885</v>
      </c>
      <c r="X83" s="5">
        <f t="shared" si="22"/>
        <v>2454371</v>
      </c>
      <c r="Y83" s="5">
        <f t="shared" si="23"/>
        <v>2597792</v>
      </c>
    </row>
    <row r="84" spans="2:25" x14ac:dyDescent="0.55000000000000004">
      <c r="B84" s="11">
        <v>1</v>
      </c>
      <c r="C84" s="11">
        <v>11</v>
      </c>
      <c r="D84" s="12">
        <f t="shared" si="9"/>
        <v>413222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24"/>
        <v>113367</v>
      </c>
      <c r="O84" s="5">
        <f t="shared" si="13"/>
        <v>223388</v>
      </c>
      <c r="P84" s="5">
        <f t="shared" si="14"/>
        <v>285379</v>
      </c>
      <c r="Q84" s="5">
        <f t="shared" si="15"/>
        <v>361232</v>
      </c>
      <c r="R84" s="5">
        <f t="shared" si="16"/>
        <v>448732</v>
      </c>
      <c r="S84" s="5">
        <f t="shared" si="17"/>
        <v>555999</v>
      </c>
      <c r="T84" s="5">
        <f t="shared" si="18"/>
        <v>680205</v>
      </c>
      <c r="U84" s="5">
        <f t="shared" si="19"/>
        <v>811894</v>
      </c>
      <c r="V84" s="5">
        <f t="shared" si="20"/>
        <v>1042547</v>
      </c>
      <c r="W84" s="5">
        <f t="shared" si="21"/>
        <v>1537074</v>
      </c>
      <c r="X84" s="5">
        <f t="shared" si="22"/>
        <v>2240222</v>
      </c>
      <c r="Y84" s="5">
        <f t="shared" si="23"/>
        <v>2887310</v>
      </c>
    </row>
    <row r="85" spans="2:25" x14ac:dyDescent="0.55000000000000004">
      <c r="B85" s="11">
        <v>1</v>
      </c>
      <c r="C85" s="11">
        <v>12</v>
      </c>
      <c r="D85" s="12">
        <f t="shared" si="9"/>
        <v>414995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>
        <f>SUM(D74:D85)/1000000</f>
        <v>4.5642569999999996</v>
      </c>
      <c r="M85" s="6" t="s">
        <v>24</v>
      </c>
      <c r="N85" s="5">
        <f t="shared" si="24"/>
        <v>679949</v>
      </c>
      <c r="O85" s="5">
        <f t="shared" si="13"/>
        <v>1578615</v>
      </c>
      <c r="P85" s="5">
        <f t="shared" si="14"/>
        <v>2105589</v>
      </c>
      <c r="Q85" s="5">
        <f t="shared" si="15"/>
        <v>2565576</v>
      </c>
      <c r="R85" s="5">
        <f t="shared" si="16"/>
        <v>3130506</v>
      </c>
      <c r="S85" s="5">
        <f t="shared" si="17"/>
        <v>3993075</v>
      </c>
      <c r="T85" s="5">
        <f t="shared" si="18"/>
        <v>4678583</v>
      </c>
      <c r="U85" s="5">
        <f t="shared" si="19"/>
        <v>5558488</v>
      </c>
      <c r="V85" s="5">
        <f t="shared" si="20"/>
        <v>6382215</v>
      </c>
      <c r="W85" s="5">
        <f t="shared" si="21"/>
        <v>7284852</v>
      </c>
      <c r="X85" s="5">
        <f t="shared" si="22"/>
        <v>8229899</v>
      </c>
      <c r="Y85" s="5">
        <f t="shared" si="23"/>
        <v>9160891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411461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25">G86</f>
        <v>Oct'15/16</v>
      </c>
      <c r="I86" s="11">
        <f t="shared" ref="I86:I149" si="26">SUM(D75:D86)/1000000</f>
        <v>4.5469710000000001</v>
      </c>
      <c r="M86" s="6" t="s">
        <v>25</v>
      </c>
      <c r="N86" s="5">
        <f t="shared" si="24"/>
        <v>922913</v>
      </c>
      <c r="O86" s="5">
        <f t="shared" si="13"/>
        <v>1637119</v>
      </c>
      <c r="P86" s="5">
        <f t="shared" si="14"/>
        <v>2437119</v>
      </c>
      <c r="Q86" s="5">
        <f t="shared" si="15"/>
        <v>2770920</v>
      </c>
      <c r="R86" s="5">
        <f t="shared" si="16"/>
        <v>3001705</v>
      </c>
      <c r="S86" s="5">
        <f t="shared" si="17"/>
        <v>3140707</v>
      </c>
      <c r="T86" s="5">
        <f t="shared" si="18"/>
        <v>3245544</v>
      </c>
      <c r="U86" s="5">
        <f t="shared" si="19"/>
        <v>3449230</v>
      </c>
      <c r="V86" s="5">
        <f t="shared" si="20"/>
        <v>3926430</v>
      </c>
      <c r="W86" s="5">
        <f t="shared" si="21"/>
        <v>4388055</v>
      </c>
      <c r="X86" s="5">
        <f t="shared" si="22"/>
        <v>5009065</v>
      </c>
      <c r="Y86" s="5">
        <f t="shared" si="23"/>
        <v>5502083</v>
      </c>
    </row>
    <row r="87" spans="2:25" x14ac:dyDescent="0.55000000000000004">
      <c r="B87" s="11">
        <f t="shared" ref="B87:B150" si="27">B75+1</f>
        <v>2</v>
      </c>
      <c r="C87" s="11">
        <f t="shared" ref="C87:C150" si="28">C75</f>
        <v>2</v>
      </c>
      <c r="D87" s="12">
        <f t="shared" si="9"/>
        <v>396050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25"/>
        <v>Nov'15/16</v>
      </c>
      <c r="I87" s="11">
        <f t="shared" si="26"/>
        <v>4.5569350000000002</v>
      </c>
      <c r="M87" s="6" t="s">
        <v>26</v>
      </c>
      <c r="N87" s="5">
        <f t="shared" si="24"/>
        <v>448556</v>
      </c>
      <c r="O87" s="5">
        <f t="shared" si="13"/>
        <v>707879</v>
      </c>
      <c r="P87" s="5">
        <f t="shared" si="14"/>
        <v>930026</v>
      </c>
      <c r="Q87" s="5">
        <f t="shared" si="15"/>
        <v>1112251</v>
      </c>
      <c r="R87" s="5">
        <f t="shared" si="16"/>
        <v>1342806</v>
      </c>
      <c r="S87" s="5">
        <f t="shared" si="17"/>
        <v>1716664</v>
      </c>
      <c r="T87" s="5">
        <f t="shared" si="18"/>
        <v>2218067</v>
      </c>
      <c r="U87" s="5">
        <f t="shared" si="19"/>
        <v>2822062</v>
      </c>
      <c r="V87" s="5">
        <f t="shared" si="20"/>
        <v>3465721</v>
      </c>
      <c r="W87" s="5">
        <f t="shared" si="21"/>
        <v>3927346</v>
      </c>
      <c r="X87" s="5">
        <f t="shared" si="22"/>
        <v>4889953</v>
      </c>
      <c r="Y87" s="5">
        <f t="shared" si="23"/>
        <v>5703857</v>
      </c>
    </row>
    <row r="88" spans="2:25" x14ac:dyDescent="0.55000000000000004">
      <c r="B88" s="11">
        <f t="shared" si="27"/>
        <v>2</v>
      </c>
      <c r="C88" s="11">
        <f t="shared" si="28"/>
        <v>3</v>
      </c>
      <c r="D88" s="12">
        <f t="shared" si="9"/>
        <v>335911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25"/>
        <v>Dec'15/16</v>
      </c>
      <c r="I88" s="11">
        <f t="shared" si="26"/>
        <v>4.6433410000000004</v>
      </c>
      <c r="M88" s="6" t="s">
        <v>27</v>
      </c>
      <c r="N88" s="5" t="e">
        <f t="shared" si="24"/>
        <v>#N/A</v>
      </c>
      <c r="O88" s="5" t="e">
        <f t="shared" si="13"/>
        <v>#N/A</v>
      </c>
      <c r="P88" s="5" t="e">
        <f t="shared" si="14"/>
        <v>#N/A</v>
      </c>
      <c r="Q88" s="5" t="e">
        <f t="shared" si="15"/>
        <v>#N/A</v>
      </c>
      <c r="R88" s="5" t="e">
        <f t="shared" si="16"/>
        <v>#N/A</v>
      </c>
      <c r="S88" s="5" t="e">
        <f t="shared" si="17"/>
        <v>#N/A</v>
      </c>
      <c r="T88" s="5" t="e">
        <f t="shared" si="18"/>
        <v>#N/A</v>
      </c>
      <c r="U88" s="5" t="e">
        <f t="shared" si="19"/>
        <v>#N/A</v>
      </c>
      <c r="V88" s="5" t="e">
        <f t="shared" si="20"/>
        <v>#N/A</v>
      </c>
      <c r="W88" s="5" t="e">
        <f t="shared" si="21"/>
        <v>#N/A</v>
      </c>
      <c r="X88" s="5" t="e">
        <f t="shared" si="22"/>
        <v>#N/A</v>
      </c>
      <c r="Y88" s="5" t="e">
        <f t="shared" si="23"/>
        <v>#N/A</v>
      </c>
    </row>
    <row r="89" spans="2:25" x14ac:dyDescent="0.55000000000000004">
      <c r="B89" s="11">
        <f t="shared" si="27"/>
        <v>2</v>
      </c>
      <c r="C89" s="11">
        <f t="shared" si="28"/>
        <v>4</v>
      </c>
      <c r="D89" s="12">
        <f t="shared" si="9"/>
        <v>359906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25"/>
        <v>Jan'15/16</v>
      </c>
      <c r="I89" s="11">
        <f t="shared" si="26"/>
        <v>4.7237090000000004</v>
      </c>
    </row>
    <row r="90" spans="2:25" x14ac:dyDescent="0.55000000000000004">
      <c r="B90" s="11">
        <f t="shared" si="27"/>
        <v>2</v>
      </c>
      <c r="C90" s="11">
        <f t="shared" si="28"/>
        <v>5</v>
      </c>
      <c r="D90" s="12">
        <f t="shared" si="9"/>
        <v>293859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25"/>
        <v>Feb'15/16</v>
      </c>
      <c r="I90" s="11">
        <f t="shared" si="26"/>
        <v>4.5673719999999998</v>
      </c>
    </row>
    <row r="91" spans="2:25" x14ac:dyDescent="0.55000000000000004">
      <c r="B91" s="11">
        <f t="shared" si="27"/>
        <v>2</v>
      </c>
      <c r="C91" s="11">
        <f t="shared" si="28"/>
        <v>6</v>
      </c>
      <c r="D91" s="12">
        <f t="shared" si="9"/>
        <v>109996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25"/>
        <v>Mar'15/16</v>
      </c>
      <c r="I91" s="11">
        <f t="shared" si="26"/>
        <v>4.2139530000000001</v>
      </c>
    </row>
    <row r="92" spans="2:25" x14ac:dyDescent="0.55000000000000004">
      <c r="B92" s="11">
        <f t="shared" si="27"/>
        <v>2</v>
      </c>
      <c r="C92" s="11">
        <f t="shared" si="28"/>
        <v>7</v>
      </c>
      <c r="D92" s="12">
        <f t="shared" si="9"/>
        <v>78044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25"/>
        <v>Apr'15/16</v>
      </c>
      <c r="I92" s="11">
        <f t="shared" si="26"/>
        <v>3.947203</v>
      </c>
    </row>
    <row r="93" spans="2:25" x14ac:dyDescent="0.55000000000000004">
      <c r="B93" s="11">
        <f t="shared" si="27"/>
        <v>2</v>
      </c>
      <c r="C93" s="11">
        <f t="shared" si="28"/>
        <v>8</v>
      </c>
      <c r="D93" s="12">
        <f t="shared" si="9"/>
        <v>70205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25"/>
        <v>May'15/16</v>
      </c>
      <c r="I93" s="11">
        <f t="shared" si="26"/>
        <v>3.7628759999999999</v>
      </c>
    </row>
    <row r="94" spans="2:25" x14ac:dyDescent="0.55000000000000004">
      <c r="B94" s="11">
        <f t="shared" si="27"/>
        <v>2</v>
      </c>
      <c r="C94" s="11">
        <f t="shared" si="28"/>
        <v>9</v>
      </c>
      <c r="D94" s="12">
        <f t="shared" si="9"/>
        <v>61531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25"/>
        <v>Jun'15/16</v>
      </c>
      <c r="I94" s="11">
        <f t="shared" si="26"/>
        <v>3.4757790000000002</v>
      </c>
    </row>
    <row r="95" spans="2:25" x14ac:dyDescent="0.55000000000000004">
      <c r="B95" s="11">
        <f t="shared" si="27"/>
        <v>2</v>
      </c>
      <c r="C95" s="11">
        <f t="shared" si="28"/>
        <v>10</v>
      </c>
      <c r="D95" s="12">
        <f t="shared" si="9"/>
        <v>59647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25"/>
        <v>Jul'15/16</v>
      </c>
      <c r="I95" s="11">
        <f t="shared" si="26"/>
        <v>3.0048270000000001</v>
      </c>
    </row>
    <row r="96" spans="2:25" x14ac:dyDescent="0.55000000000000004">
      <c r="B96" s="11">
        <f t="shared" si="27"/>
        <v>2</v>
      </c>
      <c r="C96" s="11">
        <f t="shared" si="28"/>
        <v>11</v>
      </c>
      <c r="D96" s="12">
        <f t="shared" si="9"/>
        <v>68141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25"/>
        <v>Aug'15/16</v>
      </c>
      <c r="I96" s="11">
        <f t="shared" si="26"/>
        <v>2.6597460000000002</v>
      </c>
    </row>
    <row r="97" spans="2:9" x14ac:dyDescent="0.55000000000000004">
      <c r="B97" s="11">
        <f t="shared" si="27"/>
        <v>2</v>
      </c>
      <c r="C97" s="11">
        <f t="shared" si="28"/>
        <v>12</v>
      </c>
      <c r="D97" s="12">
        <f t="shared" si="9"/>
        <v>83464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25"/>
        <v>Sep'15/16</v>
      </c>
      <c r="I97" s="11">
        <f t="shared" si="26"/>
        <v>2.3282150000000001</v>
      </c>
    </row>
    <row r="98" spans="2:9" x14ac:dyDescent="0.55000000000000004">
      <c r="B98" s="11">
        <f t="shared" si="27"/>
        <v>3</v>
      </c>
      <c r="C98" s="11">
        <f t="shared" si="28"/>
        <v>1</v>
      </c>
      <c r="D98" s="12">
        <f t="shared" si="9"/>
        <v>38238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25"/>
        <v>Oct'16/17</v>
      </c>
      <c r="I98" s="11">
        <f t="shared" si="26"/>
        <v>1.9549920000000001</v>
      </c>
    </row>
    <row r="99" spans="2:9" x14ac:dyDescent="0.55000000000000004">
      <c r="B99" s="11">
        <f t="shared" si="27"/>
        <v>3</v>
      </c>
      <c r="C99" s="11">
        <f t="shared" si="28"/>
        <v>2</v>
      </c>
      <c r="D99" s="12">
        <f t="shared" si="9"/>
        <v>39647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25"/>
        <v>Nov'16/17</v>
      </c>
      <c r="I99" s="11">
        <f t="shared" si="26"/>
        <v>1.598589</v>
      </c>
    </row>
    <row r="100" spans="2:9" x14ac:dyDescent="0.55000000000000004">
      <c r="B100" s="11">
        <f t="shared" si="27"/>
        <v>3</v>
      </c>
      <c r="C100" s="11">
        <f t="shared" si="28"/>
        <v>3</v>
      </c>
      <c r="D100" s="12">
        <f t="shared" si="9"/>
        <v>30486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25"/>
        <v>Dec'16/17</v>
      </c>
      <c r="I100" s="11">
        <f t="shared" si="26"/>
        <v>1.293164</v>
      </c>
    </row>
    <row r="101" spans="2:9" x14ac:dyDescent="0.55000000000000004">
      <c r="B101" s="11">
        <f t="shared" si="27"/>
        <v>3</v>
      </c>
      <c r="C101" s="11">
        <f t="shared" si="28"/>
        <v>4</v>
      </c>
      <c r="D101" s="12">
        <f t="shared" si="9"/>
        <v>11483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25"/>
        <v>Jan'16/17</v>
      </c>
      <c r="I101" s="11">
        <f t="shared" si="26"/>
        <v>0.94474100000000005</v>
      </c>
    </row>
    <row r="102" spans="2:9" x14ac:dyDescent="0.55000000000000004">
      <c r="B102" s="11">
        <f t="shared" si="27"/>
        <v>3</v>
      </c>
      <c r="C102" s="11">
        <f t="shared" si="28"/>
        <v>5</v>
      </c>
      <c r="D102" s="12">
        <f t="shared" si="9"/>
        <v>28390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25"/>
        <v>Feb'16/17</v>
      </c>
      <c r="I102" s="11">
        <f t="shared" si="26"/>
        <v>0.67927199999999999</v>
      </c>
    </row>
    <row r="103" spans="2:9" x14ac:dyDescent="0.55000000000000004">
      <c r="B103" s="11">
        <f t="shared" si="27"/>
        <v>3</v>
      </c>
      <c r="C103" s="11">
        <f t="shared" si="28"/>
        <v>6</v>
      </c>
      <c r="D103" s="12">
        <f t="shared" si="9"/>
        <v>11037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25"/>
        <v>Mar'16/17</v>
      </c>
      <c r="I103" s="11">
        <f t="shared" si="26"/>
        <v>0.58031299999999997</v>
      </c>
    </row>
    <row r="104" spans="2:9" x14ac:dyDescent="0.55000000000000004">
      <c r="B104" s="11">
        <f t="shared" si="27"/>
        <v>3</v>
      </c>
      <c r="C104" s="11">
        <f t="shared" si="28"/>
        <v>7</v>
      </c>
      <c r="D104" s="12">
        <f t="shared" si="9"/>
        <v>22338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25"/>
        <v>Apr'16/17</v>
      </c>
      <c r="I104" s="11">
        <f t="shared" si="26"/>
        <v>0.52460700000000005</v>
      </c>
    </row>
    <row r="105" spans="2:9" x14ac:dyDescent="0.55000000000000004">
      <c r="B105" s="11">
        <f t="shared" si="27"/>
        <v>3</v>
      </c>
      <c r="C105" s="11">
        <f t="shared" si="28"/>
        <v>8</v>
      </c>
      <c r="D105" s="12">
        <f t="shared" si="9"/>
        <v>9862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25"/>
        <v>May'16/17</v>
      </c>
      <c r="I105" s="11">
        <f t="shared" si="26"/>
        <v>0.46426400000000001</v>
      </c>
    </row>
    <row r="106" spans="2:9" x14ac:dyDescent="0.55000000000000004">
      <c r="B106" s="11">
        <f t="shared" si="27"/>
        <v>3</v>
      </c>
      <c r="C106" s="11">
        <f t="shared" si="28"/>
        <v>9</v>
      </c>
      <c r="D106" s="12">
        <f t="shared" si="9"/>
        <v>20626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25"/>
        <v>Jun'16/17</v>
      </c>
      <c r="I106" s="11">
        <f t="shared" si="26"/>
        <v>0.42335899999999999</v>
      </c>
    </row>
    <row r="107" spans="2:9" x14ac:dyDescent="0.55000000000000004">
      <c r="B107" s="11">
        <f t="shared" si="27"/>
        <v>3</v>
      </c>
      <c r="C107" s="11">
        <f t="shared" si="28"/>
        <v>10</v>
      </c>
      <c r="D107" s="12">
        <f t="shared" si="9"/>
        <v>26611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25"/>
        <v>Jul'16/17</v>
      </c>
      <c r="I107" s="11">
        <f t="shared" si="26"/>
        <v>0.39032299999999998</v>
      </c>
    </row>
    <row r="108" spans="2:9" x14ac:dyDescent="0.55000000000000004">
      <c r="B108" s="11">
        <f t="shared" si="27"/>
        <v>3</v>
      </c>
      <c r="C108" s="11">
        <f t="shared" si="28"/>
        <v>11</v>
      </c>
      <c r="D108" s="12">
        <f t="shared" si="9"/>
        <v>19799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25"/>
        <v>Aug'16/17</v>
      </c>
      <c r="I108" s="11">
        <f t="shared" si="26"/>
        <v>0.34198099999999998</v>
      </c>
    </row>
    <row r="109" spans="2:9" x14ac:dyDescent="0.55000000000000004">
      <c r="B109" s="11">
        <f t="shared" si="27"/>
        <v>3</v>
      </c>
      <c r="C109" s="11">
        <f t="shared" si="28"/>
        <v>12</v>
      </c>
      <c r="D109" s="12">
        <f t="shared" si="9"/>
        <v>19908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25"/>
        <v>Sep'16/17</v>
      </c>
      <c r="I109" s="11">
        <f t="shared" si="26"/>
        <v>0.27842499999999998</v>
      </c>
    </row>
    <row r="110" spans="2:9" x14ac:dyDescent="0.55000000000000004">
      <c r="B110" s="11">
        <f t="shared" si="27"/>
        <v>4</v>
      </c>
      <c r="C110" s="11">
        <f t="shared" si="28"/>
        <v>1</v>
      </c>
      <c r="D110" s="12">
        <f t="shared" si="9"/>
        <v>20272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25"/>
        <v>Oct'17/18</v>
      </c>
      <c r="I110" s="11">
        <f t="shared" si="26"/>
        <v>0.260459</v>
      </c>
    </row>
    <row r="111" spans="2:9" x14ac:dyDescent="0.55000000000000004">
      <c r="B111" s="11">
        <f t="shared" si="27"/>
        <v>4</v>
      </c>
      <c r="C111" s="11">
        <f t="shared" si="28"/>
        <v>2</v>
      </c>
      <c r="D111" s="12">
        <f t="shared" si="9"/>
        <v>29972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25"/>
        <v>Nov'17/18</v>
      </c>
      <c r="I111" s="11">
        <f t="shared" si="26"/>
        <v>0.25078400000000001</v>
      </c>
    </row>
    <row r="112" spans="2:9" x14ac:dyDescent="0.55000000000000004">
      <c r="B112" s="11">
        <f t="shared" si="27"/>
        <v>4</v>
      </c>
      <c r="C112" s="11">
        <f t="shared" si="28"/>
        <v>3</v>
      </c>
      <c r="D112" s="12">
        <f t="shared" si="9"/>
        <v>24475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25"/>
        <v>Dec'17/18</v>
      </c>
      <c r="I112" s="11">
        <f t="shared" si="26"/>
        <v>0.24477299999999999</v>
      </c>
    </row>
    <row r="113" spans="2:9" x14ac:dyDescent="0.55000000000000004">
      <c r="B113" s="11">
        <f t="shared" si="27"/>
        <v>4</v>
      </c>
      <c r="C113" s="11">
        <f t="shared" si="28"/>
        <v>4</v>
      </c>
      <c r="D113" s="12">
        <f t="shared" si="9"/>
        <v>19228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25"/>
        <v>Jan'17/18</v>
      </c>
      <c r="I113" s="11">
        <f t="shared" si="26"/>
        <v>0.25251800000000002</v>
      </c>
    </row>
    <row r="114" spans="2:9" x14ac:dyDescent="0.55000000000000004">
      <c r="B114" s="11">
        <f t="shared" si="27"/>
        <v>4</v>
      </c>
      <c r="C114" s="11">
        <f t="shared" si="28"/>
        <v>5</v>
      </c>
      <c r="D114" s="12">
        <f t="shared" si="9"/>
        <v>36491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25"/>
        <v>Feb'17/18</v>
      </c>
      <c r="I114" s="11">
        <f t="shared" si="26"/>
        <v>0.26061899999999999</v>
      </c>
    </row>
    <row r="115" spans="2:9" x14ac:dyDescent="0.55000000000000004">
      <c r="B115" s="11">
        <f t="shared" si="27"/>
        <v>4</v>
      </c>
      <c r="C115" s="11">
        <f t="shared" si="28"/>
        <v>6</v>
      </c>
      <c r="D115" s="12">
        <f t="shared" si="9"/>
        <v>46487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25"/>
        <v>Mar'17/18</v>
      </c>
      <c r="I115" s="11">
        <f t="shared" si="26"/>
        <v>0.29606900000000003</v>
      </c>
    </row>
    <row r="116" spans="2:9" x14ac:dyDescent="0.55000000000000004">
      <c r="B116" s="11">
        <f t="shared" si="27"/>
        <v>4</v>
      </c>
      <c r="C116" s="11">
        <f t="shared" si="28"/>
        <v>7</v>
      </c>
      <c r="D116" s="12">
        <f t="shared" si="9"/>
        <v>12760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25"/>
        <v>Apr'17/18</v>
      </c>
      <c r="I116" s="11">
        <f t="shared" si="26"/>
        <v>0.286491</v>
      </c>
    </row>
    <row r="117" spans="2:9" x14ac:dyDescent="0.55000000000000004">
      <c r="B117" s="11">
        <f t="shared" si="27"/>
        <v>4</v>
      </c>
      <c r="C117" s="11">
        <f t="shared" si="28"/>
        <v>8</v>
      </c>
      <c r="D117" s="12">
        <f t="shared" si="9"/>
        <v>27829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25"/>
        <v>May'17/18</v>
      </c>
      <c r="I117" s="11">
        <f t="shared" si="26"/>
        <v>0.30445800000000001</v>
      </c>
    </row>
    <row r="118" spans="2:9" x14ac:dyDescent="0.55000000000000004">
      <c r="B118" s="11">
        <f t="shared" si="27"/>
        <v>4</v>
      </c>
      <c r="C118" s="11">
        <f t="shared" si="28"/>
        <v>9</v>
      </c>
      <c r="D118" s="12">
        <f t="shared" si="9"/>
        <v>76542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25"/>
        <v>Jun'17/18</v>
      </c>
      <c r="I118" s="11">
        <f t="shared" si="26"/>
        <v>0.36037400000000003</v>
      </c>
    </row>
    <row r="119" spans="2:9" x14ac:dyDescent="0.55000000000000004">
      <c r="B119" s="11">
        <f t="shared" si="27"/>
        <v>4</v>
      </c>
      <c r="C119" s="11">
        <f t="shared" si="28"/>
        <v>10</v>
      </c>
      <c r="D119" s="12">
        <f t="shared" si="9"/>
        <v>58214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25"/>
        <v>Jul'17/18</v>
      </c>
      <c r="I119" s="11">
        <f t="shared" si="26"/>
        <v>0.39197700000000002</v>
      </c>
    </row>
    <row r="120" spans="2:9" x14ac:dyDescent="0.55000000000000004">
      <c r="B120" s="11">
        <f t="shared" si="27"/>
        <v>4</v>
      </c>
      <c r="C120" s="11">
        <f t="shared" si="28"/>
        <v>11</v>
      </c>
      <c r="D120" s="12">
        <f t="shared" si="9"/>
        <v>46621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25"/>
        <v>Aug'17/18</v>
      </c>
      <c r="I120" s="11">
        <f t="shared" si="26"/>
        <v>0.41879899999999998</v>
      </c>
    </row>
    <row r="121" spans="2:9" x14ac:dyDescent="0.55000000000000004">
      <c r="B121" s="11">
        <f t="shared" si="27"/>
        <v>4</v>
      </c>
      <c r="C121" s="11">
        <f t="shared" si="28"/>
        <v>12</v>
      </c>
      <c r="D121" s="12">
        <f t="shared" si="9"/>
        <v>283940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25"/>
        <v>Sep'17/18</v>
      </c>
      <c r="I121" s="11">
        <f t="shared" si="26"/>
        <v>0.68283099999999997</v>
      </c>
    </row>
    <row r="122" spans="2:9" x14ac:dyDescent="0.55000000000000004">
      <c r="B122" s="11">
        <f t="shared" si="27"/>
        <v>5</v>
      </c>
      <c r="C122" s="11">
        <f t="shared" si="28"/>
        <v>1</v>
      </c>
      <c r="D122" s="12">
        <f t="shared" si="9"/>
        <v>369836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25"/>
        <v>Oct'18/19</v>
      </c>
      <c r="I122" s="11">
        <f t="shared" si="26"/>
        <v>1.032395</v>
      </c>
    </row>
    <row r="123" spans="2:9" x14ac:dyDescent="0.55000000000000004">
      <c r="B123" s="11">
        <f t="shared" si="27"/>
        <v>5</v>
      </c>
      <c r="C123" s="11">
        <f t="shared" si="28"/>
        <v>2</v>
      </c>
      <c r="D123" s="12">
        <f t="shared" si="9"/>
        <v>539627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25"/>
        <v>Nov'18/19</v>
      </c>
      <c r="I123" s="11">
        <f t="shared" si="26"/>
        <v>1.5420499999999999</v>
      </c>
    </row>
    <row r="124" spans="2:9" x14ac:dyDescent="0.55000000000000004">
      <c r="B124" s="11">
        <f t="shared" si="27"/>
        <v>5</v>
      </c>
      <c r="C124" s="11">
        <f t="shared" si="28"/>
        <v>3</v>
      </c>
      <c r="D124" s="12">
        <f t="shared" si="9"/>
        <v>292161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25"/>
        <v>Dec'18/19</v>
      </c>
      <c r="I124" s="11">
        <f t="shared" si="26"/>
        <v>1.809736</v>
      </c>
    </row>
    <row r="125" spans="2:9" x14ac:dyDescent="0.55000000000000004">
      <c r="B125" s="11">
        <f t="shared" si="27"/>
        <v>5</v>
      </c>
      <c r="C125" s="11">
        <f t="shared" si="28"/>
        <v>4</v>
      </c>
      <c r="D125" s="12">
        <f t="shared" si="9"/>
        <v>368991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25"/>
        <v>Jan'18/19</v>
      </c>
      <c r="I125" s="11">
        <f t="shared" si="26"/>
        <v>2.1594989999999998</v>
      </c>
    </row>
    <row r="126" spans="2:9" x14ac:dyDescent="0.55000000000000004">
      <c r="B126" s="11">
        <f t="shared" si="27"/>
        <v>5</v>
      </c>
      <c r="C126" s="11">
        <f t="shared" si="28"/>
        <v>5</v>
      </c>
      <c r="D126" s="12">
        <f t="shared" si="9"/>
        <v>235423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25"/>
        <v>Feb'18/19</v>
      </c>
      <c r="I126" s="11">
        <f t="shared" si="26"/>
        <v>2.3584309999999999</v>
      </c>
    </row>
    <row r="127" spans="2:9" x14ac:dyDescent="0.55000000000000004">
      <c r="B127" s="11">
        <f t="shared" si="27"/>
        <v>5</v>
      </c>
      <c r="C127" s="11">
        <f t="shared" si="28"/>
        <v>6</v>
      </c>
      <c r="D127" s="12">
        <f t="shared" si="9"/>
        <v>168196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25"/>
        <v>Mar'18/19</v>
      </c>
      <c r="I127" s="11">
        <f t="shared" si="26"/>
        <v>2.48014</v>
      </c>
    </row>
    <row r="128" spans="2:9" x14ac:dyDescent="0.55000000000000004">
      <c r="B128" s="11">
        <f t="shared" si="27"/>
        <v>5</v>
      </c>
      <c r="C128" s="11">
        <f t="shared" si="28"/>
        <v>7</v>
      </c>
      <c r="D128" s="12">
        <f t="shared" si="9"/>
        <v>150609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25"/>
        <v>Apr'18/19</v>
      </c>
      <c r="I128" s="11">
        <f t="shared" si="26"/>
        <v>2.6179890000000001</v>
      </c>
    </row>
    <row r="129" spans="2:9" x14ac:dyDescent="0.55000000000000004">
      <c r="B129" s="11">
        <f t="shared" si="27"/>
        <v>5</v>
      </c>
      <c r="C129" s="11">
        <f t="shared" si="28"/>
        <v>8</v>
      </c>
      <c r="D129" s="12">
        <f t="shared" si="9"/>
        <v>212003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25"/>
        <v>May'18/19</v>
      </c>
      <c r="I129" s="11">
        <f t="shared" si="26"/>
        <v>2.8021630000000002</v>
      </c>
    </row>
    <row r="130" spans="2:9" x14ac:dyDescent="0.55000000000000004">
      <c r="B130" s="11">
        <f t="shared" si="27"/>
        <v>5</v>
      </c>
      <c r="C130" s="11">
        <f t="shared" si="28"/>
        <v>9</v>
      </c>
      <c r="D130" s="12">
        <f t="shared" si="9"/>
        <v>190880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25"/>
        <v>Jun'18/19</v>
      </c>
      <c r="I130" s="11">
        <f t="shared" si="26"/>
        <v>2.9165009999999998</v>
      </c>
    </row>
    <row r="131" spans="2:9" x14ac:dyDescent="0.55000000000000004">
      <c r="B131" s="11">
        <f t="shared" si="27"/>
        <v>5</v>
      </c>
      <c r="C131" s="11">
        <f t="shared" si="28"/>
        <v>10</v>
      </c>
      <c r="D131" s="12">
        <f t="shared" si="9"/>
        <v>240371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25"/>
        <v>Jul'18/19</v>
      </c>
      <c r="I131" s="11">
        <f t="shared" si="26"/>
        <v>3.0986579999999999</v>
      </c>
    </row>
    <row r="132" spans="2:9" x14ac:dyDescent="0.55000000000000004">
      <c r="B132" s="11">
        <f t="shared" si="27"/>
        <v>5</v>
      </c>
      <c r="C132" s="11">
        <f t="shared" si="28"/>
        <v>11</v>
      </c>
      <c r="D132" s="12">
        <f t="shared" si="9"/>
        <v>462472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25"/>
        <v>Aug'18/19</v>
      </c>
      <c r="I132" s="11">
        <f t="shared" si="26"/>
        <v>3.5145089999999999</v>
      </c>
    </row>
    <row r="133" spans="2:9" x14ac:dyDescent="0.55000000000000004">
      <c r="B133" s="11">
        <f t="shared" si="27"/>
        <v>5</v>
      </c>
      <c r="C133" s="11">
        <f t="shared" si="28"/>
        <v>12</v>
      </c>
      <c r="D133" s="12">
        <f t="shared" si="9"/>
        <v>383915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25"/>
        <v>Sep'18/19</v>
      </c>
      <c r="I133" s="11">
        <f t="shared" si="26"/>
        <v>3.614484</v>
      </c>
    </row>
    <row r="134" spans="2:9" x14ac:dyDescent="0.55000000000000004">
      <c r="B134" s="11">
        <f t="shared" si="27"/>
        <v>6</v>
      </c>
      <c r="C134" s="11">
        <f t="shared" si="28"/>
        <v>1</v>
      </c>
      <c r="D134" s="12">
        <f t="shared" si="9"/>
        <v>601684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25"/>
        <v>Oct'19/20</v>
      </c>
      <c r="I134" s="11">
        <f t="shared" si="26"/>
        <v>3.8463319999999999</v>
      </c>
    </row>
    <row r="135" spans="2:9" x14ac:dyDescent="0.55000000000000004">
      <c r="B135" s="11">
        <f t="shared" si="27"/>
        <v>6</v>
      </c>
      <c r="C135" s="11">
        <f t="shared" si="28"/>
        <v>2</v>
      </c>
      <c r="D135" s="12">
        <f t="shared" si="9"/>
        <v>461635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25"/>
        <v>Nov'19/20</v>
      </c>
      <c r="I135" s="11">
        <f t="shared" si="26"/>
        <v>3.7683399999999998</v>
      </c>
    </row>
    <row r="136" spans="2:9" x14ac:dyDescent="0.55000000000000004">
      <c r="B136" s="11">
        <f t="shared" si="27"/>
        <v>6</v>
      </c>
      <c r="C136" s="11">
        <f t="shared" si="28"/>
        <v>3</v>
      </c>
      <c r="D136" s="12">
        <f t="shared" si="9"/>
        <v>346970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25"/>
        <v>Dec'19/20</v>
      </c>
      <c r="I136" s="11">
        <f t="shared" si="26"/>
        <v>3.8231489999999999</v>
      </c>
    </row>
    <row r="137" spans="2:9" x14ac:dyDescent="0.55000000000000004">
      <c r="B137" s="11">
        <f t="shared" si="27"/>
        <v>6</v>
      </c>
      <c r="C137" s="11">
        <f t="shared" si="28"/>
        <v>4</v>
      </c>
      <c r="D137" s="12">
        <f t="shared" si="9"/>
        <v>359186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25"/>
        <v>Jan'19/20</v>
      </c>
      <c r="I137" s="11">
        <f t="shared" si="26"/>
        <v>3.8133439999999998</v>
      </c>
    </row>
    <row r="138" spans="2:9" x14ac:dyDescent="0.55000000000000004">
      <c r="B138" s="11">
        <f t="shared" si="27"/>
        <v>6</v>
      </c>
      <c r="C138" s="11">
        <f t="shared" si="28"/>
        <v>5</v>
      </c>
      <c r="D138" s="12">
        <f t="shared" si="9"/>
        <v>204055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25"/>
        <v>Feb'19/20</v>
      </c>
      <c r="I138" s="11">
        <f t="shared" si="26"/>
        <v>3.7819759999999998</v>
      </c>
    </row>
    <row r="139" spans="2:9" x14ac:dyDescent="0.55000000000000004">
      <c r="B139" s="11">
        <f t="shared" si="27"/>
        <v>6</v>
      </c>
      <c r="C139" s="11">
        <f t="shared" si="28"/>
        <v>6</v>
      </c>
      <c r="D139" s="12">
        <f t="shared" ref="D139:D202" si="29">INDEX($C$7:$N$19,MATCH(B139,$A$7:$A$19),MATCH(C139,$C$4:$N$4))</f>
        <v>345873</v>
      </c>
      <c r="E139" s="11" t="str">
        <f t="shared" ref="E139:E202" si="30">_xlfn.XLOOKUP(B139,$A$7:$A$19,$B$7:$B$19)</f>
        <v>19/20</v>
      </c>
      <c r="F139" s="11" t="str">
        <f t="shared" ref="F139:F202" si="31">_xlfn.XLOOKUP(C139,$C$4:$N$4,$C$6:$N$6)</f>
        <v>Mar</v>
      </c>
      <c r="G139" s="11" t="str">
        <f t="shared" ref="G139:G202" si="32">_xlfn.CONCAT(F139,"'",E139)</f>
        <v>Mar'19/20</v>
      </c>
      <c r="H139" s="11" t="str">
        <f t="shared" si="25"/>
        <v>Mar'19/20</v>
      </c>
      <c r="I139" s="11">
        <f t="shared" si="26"/>
        <v>3.9596529999999999</v>
      </c>
    </row>
    <row r="140" spans="2:9" x14ac:dyDescent="0.55000000000000004">
      <c r="B140" s="11">
        <f t="shared" si="27"/>
        <v>6</v>
      </c>
      <c r="C140" s="11">
        <f t="shared" si="28"/>
        <v>7</v>
      </c>
      <c r="D140" s="12">
        <f t="shared" si="29"/>
        <v>223828</v>
      </c>
      <c r="E140" s="11" t="str">
        <f t="shared" si="30"/>
        <v>19/20</v>
      </c>
      <c r="F140" s="11" t="str">
        <f t="shared" si="31"/>
        <v>Apr</v>
      </c>
      <c r="G140" s="11" t="str">
        <f t="shared" si="32"/>
        <v>Apr'19/20</v>
      </c>
      <c r="H140" s="11" t="str">
        <f t="shared" si="25"/>
        <v>Apr'19/20</v>
      </c>
      <c r="I140" s="11">
        <f t="shared" si="26"/>
        <v>4.0328720000000002</v>
      </c>
    </row>
    <row r="141" spans="2:9" x14ac:dyDescent="0.55000000000000004">
      <c r="B141" s="11">
        <f t="shared" si="27"/>
        <v>6</v>
      </c>
      <c r="C141" s="11">
        <f t="shared" si="28"/>
        <v>8</v>
      </c>
      <c r="D141" s="12">
        <f t="shared" si="29"/>
        <v>218905</v>
      </c>
      <c r="E141" s="11" t="str">
        <f t="shared" si="30"/>
        <v>19/20</v>
      </c>
      <c r="F141" s="11" t="str">
        <f t="shared" si="31"/>
        <v>May</v>
      </c>
      <c r="G141" s="11" t="str">
        <f t="shared" si="32"/>
        <v>May'19/20</v>
      </c>
      <c r="H141" s="11" t="str">
        <f t="shared" si="25"/>
        <v>May'19/20</v>
      </c>
      <c r="I141" s="11">
        <f t="shared" si="26"/>
        <v>4.0397740000000004</v>
      </c>
    </row>
    <row r="142" spans="2:9" x14ac:dyDescent="0.55000000000000004">
      <c r="B142" s="11">
        <f t="shared" si="27"/>
        <v>6</v>
      </c>
      <c r="C142" s="11">
        <f t="shared" si="28"/>
        <v>9</v>
      </c>
      <c r="D142" s="12">
        <f t="shared" si="29"/>
        <v>253550</v>
      </c>
      <c r="E142" s="11" t="str">
        <f t="shared" si="30"/>
        <v>19/20</v>
      </c>
      <c r="F142" s="11" t="str">
        <f t="shared" si="31"/>
        <v>Jun</v>
      </c>
      <c r="G142" s="11" t="str">
        <f t="shared" si="32"/>
        <v>Jun'19/20</v>
      </c>
      <c r="H142" s="11" t="str">
        <f t="shared" si="25"/>
        <v>Jun'19/20</v>
      </c>
      <c r="I142" s="11">
        <f t="shared" si="26"/>
        <v>4.1024440000000002</v>
      </c>
    </row>
    <row r="143" spans="2:9" x14ac:dyDescent="0.55000000000000004">
      <c r="B143" s="11">
        <f t="shared" si="27"/>
        <v>6</v>
      </c>
      <c r="C143" s="11">
        <f t="shared" si="28"/>
        <v>10</v>
      </c>
      <c r="D143" s="12">
        <f t="shared" si="29"/>
        <v>316695</v>
      </c>
      <c r="E143" s="11" t="str">
        <f t="shared" si="30"/>
        <v>19/20</v>
      </c>
      <c r="F143" s="11" t="str">
        <f t="shared" si="31"/>
        <v>Jul</v>
      </c>
      <c r="G143" s="11" t="str">
        <f t="shared" si="32"/>
        <v>Jul'19/20</v>
      </c>
      <c r="H143" s="11" t="str">
        <f t="shared" si="25"/>
        <v>Jul'19/20</v>
      </c>
      <c r="I143" s="11">
        <f t="shared" si="26"/>
        <v>4.1787679999999998</v>
      </c>
    </row>
    <row r="144" spans="2:9" x14ac:dyDescent="0.55000000000000004">
      <c r="B144" s="11">
        <f t="shared" si="27"/>
        <v>6</v>
      </c>
      <c r="C144" s="11">
        <f t="shared" si="28"/>
        <v>11</v>
      </c>
      <c r="D144" s="12">
        <f t="shared" si="29"/>
        <v>486571</v>
      </c>
      <c r="E144" s="11" t="str">
        <f t="shared" si="30"/>
        <v>19/20</v>
      </c>
      <c r="F144" s="11" t="str">
        <f t="shared" si="31"/>
        <v>Aug</v>
      </c>
      <c r="G144" s="11" t="str">
        <f t="shared" si="32"/>
        <v>Aug'19/20</v>
      </c>
      <c r="H144" s="11" t="str">
        <f t="shared" si="25"/>
        <v>Aug'19/20</v>
      </c>
      <c r="I144" s="11">
        <f t="shared" si="26"/>
        <v>4.2028670000000004</v>
      </c>
    </row>
    <row r="145" spans="2:9" x14ac:dyDescent="0.55000000000000004">
      <c r="B145" s="11">
        <f t="shared" si="27"/>
        <v>6</v>
      </c>
      <c r="C145" s="11">
        <f t="shared" si="28"/>
        <v>12</v>
      </c>
      <c r="D145" s="12">
        <f t="shared" si="29"/>
        <v>638835</v>
      </c>
      <c r="E145" s="11" t="str">
        <f t="shared" si="30"/>
        <v>19/20</v>
      </c>
      <c r="F145" s="11" t="str">
        <f t="shared" si="31"/>
        <v>Sep</v>
      </c>
      <c r="G145" s="11" t="str">
        <f t="shared" si="32"/>
        <v>Sep'19/20</v>
      </c>
      <c r="H145" s="11" t="str">
        <f t="shared" si="25"/>
        <v>Sep'19/20</v>
      </c>
      <c r="I145" s="11">
        <f t="shared" si="26"/>
        <v>4.4577869999999997</v>
      </c>
    </row>
    <row r="146" spans="2:9" x14ac:dyDescent="0.55000000000000004">
      <c r="B146" s="11">
        <f t="shared" si="27"/>
        <v>7</v>
      </c>
      <c r="C146" s="11">
        <f t="shared" si="28"/>
        <v>1</v>
      </c>
      <c r="D146" s="12">
        <f t="shared" si="29"/>
        <v>448158</v>
      </c>
      <c r="E146" s="11" t="str">
        <f t="shared" si="30"/>
        <v>20/21</v>
      </c>
      <c r="F146" s="11" t="str">
        <f t="shared" si="31"/>
        <v>Oct</v>
      </c>
      <c r="G146" s="11" t="str">
        <f t="shared" si="32"/>
        <v>Oct'20/21</v>
      </c>
      <c r="H146" s="11" t="str">
        <f t="shared" si="25"/>
        <v>Oct'20/21</v>
      </c>
      <c r="I146" s="11">
        <f t="shared" si="26"/>
        <v>4.3042610000000003</v>
      </c>
    </row>
    <row r="147" spans="2:9" x14ac:dyDescent="0.55000000000000004">
      <c r="B147" s="11">
        <f t="shared" si="27"/>
        <v>7</v>
      </c>
      <c r="C147" s="11">
        <f t="shared" si="28"/>
        <v>2</v>
      </c>
      <c r="D147" s="12">
        <f t="shared" si="29"/>
        <v>474827</v>
      </c>
      <c r="E147" s="11" t="str">
        <f t="shared" si="30"/>
        <v>20/21</v>
      </c>
      <c r="F147" s="11" t="str">
        <f t="shared" si="31"/>
        <v>Nov</v>
      </c>
      <c r="G147" s="11" t="str">
        <f t="shared" si="32"/>
        <v>Nov'20/21</v>
      </c>
      <c r="H147" s="11" t="str">
        <f t="shared" si="25"/>
        <v>Nov'20/21</v>
      </c>
      <c r="I147" s="11">
        <f t="shared" si="26"/>
        <v>4.3174530000000004</v>
      </c>
    </row>
    <row r="148" spans="2:9" x14ac:dyDescent="0.55000000000000004">
      <c r="B148" s="11">
        <f t="shared" si="27"/>
        <v>7</v>
      </c>
      <c r="C148" s="11">
        <f t="shared" si="28"/>
        <v>3</v>
      </c>
      <c r="D148" s="12">
        <f t="shared" si="29"/>
        <v>676325</v>
      </c>
      <c r="E148" s="11" t="str">
        <f t="shared" si="30"/>
        <v>20/21</v>
      </c>
      <c r="F148" s="11" t="str">
        <f t="shared" si="31"/>
        <v>Dec</v>
      </c>
      <c r="G148" s="11" t="str">
        <f t="shared" si="32"/>
        <v>Dec'20/21</v>
      </c>
      <c r="H148" s="11" t="str">
        <f t="shared" si="25"/>
        <v>Dec'20/21</v>
      </c>
      <c r="I148" s="11">
        <f t="shared" si="26"/>
        <v>4.646808</v>
      </c>
    </row>
    <row r="149" spans="2:9" x14ac:dyDescent="0.55000000000000004">
      <c r="B149" s="11">
        <f t="shared" si="27"/>
        <v>7</v>
      </c>
      <c r="C149" s="11">
        <f t="shared" si="28"/>
        <v>4</v>
      </c>
      <c r="D149" s="12">
        <f t="shared" si="29"/>
        <v>470493</v>
      </c>
      <c r="E149" s="11" t="str">
        <f t="shared" si="30"/>
        <v>20/21</v>
      </c>
      <c r="F149" s="11" t="str">
        <f t="shared" si="31"/>
        <v>Jan</v>
      </c>
      <c r="G149" s="11" t="str">
        <f t="shared" si="32"/>
        <v>Jan'20/21</v>
      </c>
      <c r="H149" s="11" t="str">
        <f t="shared" si="25"/>
        <v>Jan'20/21</v>
      </c>
      <c r="I149" s="11">
        <f t="shared" si="26"/>
        <v>4.7581150000000001</v>
      </c>
    </row>
    <row r="150" spans="2:9" x14ac:dyDescent="0.55000000000000004">
      <c r="B150" s="11">
        <f t="shared" si="27"/>
        <v>7</v>
      </c>
      <c r="C150" s="11">
        <f t="shared" si="28"/>
        <v>5</v>
      </c>
      <c r="D150" s="12">
        <f t="shared" si="29"/>
        <v>334632</v>
      </c>
      <c r="E150" s="11" t="str">
        <f t="shared" si="30"/>
        <v>20/21</v>
      </c>
      <c r="F150" s="11" t="str">
        <f t="shared" si="31"/>
        <v>Feb</v>
      </c>
      <c r="G150" s="11" t="str">
        <f t="shared" si="32"/>
        <v>Feb'20/21</v>
      </c>
      <c r="H150" s="11" t="str">
        <f t="shared" ref="H150:H213" si="33">G150</f>
        <v>Feb'20/21</v>
      </c>
      <c r="I150" s="11">
        <f t="shared" ref="I150:I213" si="34">SUM(D139:D150)/1000000</f>
        <v>4.8886919999999998</v>
      </c>
    </row>
    <row r="151" spans="2:9" x14ac:dyDescent="0.55000000000000004">
      <c r="B151" s="11">
        <f t="shared" ref="B151:B214" si="35">B139+1</f>
        <v>7</v>
      </c>
      <c r="C151" s="11">
        <f t="shared" ref="C151:C214" si="36">C139</f>
        <v>6</v>
      </c>
      <c r="D151" s="12">
        <f t="shared" si="29"/>
        <v>384365</v>
      </c>
      <c r="E151" s="11" t="str">
        <f t="shared" si="30"/>
        <v>20/21</v>
      </c>
      <c r="F151" s="11" t="str">
        <f t="shared" si="31"/>
        <v>Mar</v>
      </c>
      <c r="G151" s="11" t="str">
        <f t="shared" si="32"/>
        <v>Mar'20/21</v>
      </c>
      <c r="H151" s="11" t="str">
        <f t="shared" si="33"/>
        <v>Mar'20/21</v>
      </c>
      <c r="I151" s="11">
        <f t="shared" si="34"/>
        <v>4.9271839999999996</v>
      </c>
    </row>
    <row r="152" spans="2:9" x14ac:dyDescent="0.55000000000000004">
      <c r="B152" s="11">
        <f t="shared" si="35"/>
        <v>7</v>
      </c>
      <c r="C152" s="11">
        <f t="shared" si="36"/>
        <v>7</v>
      </c>
      <c r="D152" s="12">
        <f t="shared" si="29"/>
        <v>242217</v>
      </c>
      <c r="E152" s="11" t="str">
        <f t="shared" si="30"/>
        <v>20/21</v>
      </c>
      <c r="F152" s="11" t="str">
        <f t="shared" si="31"/>
        <v>Apr</v>
      </c>
      <c r="G152" s="11" t="str">
        <f t="shared" si="32"/>
        <v>Apr'20/21</v>
      </c>
      <c r="H152" s="11" t="str">
        <f t="shared" si="33"/>
        <v>Apr'20/21</v>
      </c>
      <c r="I152" s="11">
        <f t="shared" si="34"/>
        <v>4.9455730000000004</v>
      </c>
    </row>
    <row r="153" spans="2:9" x14ac:dyDescent="0.55000000000000004">
      <c r="B153" s="11">
        <f t="shared" si="35"/>
        <v>7</v>
      </c>
      <c r="C153" s="11">
        <f t="shared" si="36"/>
        <v>8</v>
      </c>
      <c r="D153" s="12">
        <f t="shared" si="29"/>
        <v>313689</v>
      </c>
      <c r="E153" s="11" t="str">
        <f t="shared" si="30"/>
        <v>20/21</v>
      </c>
      <c r="F153" s="11" t="str">
        <f t="shared" si="31"/>
        <v>May</v>
      </c>
      <c r="G153" s="11" t="str">
        <f t="shared" si="32"/>
        <v>May'20/21</v>
      </c>
      <c r="H153" s="11" t="str">
        <f t="shared" si="33"/>
        <v>May'20/21</v>
      </c>
      <c r="I153" s="11">
        <f t="shared" si="34"/>
        <v>5.0403570000000002</v>
      </c>
    </row>
    <row r="154" spans="2:9" x14ac:dyDescent="0.55000000000000004">
      <c r="B154" s="11">
        <f t="shared" si="35"/>
        <v>7</v>
      </c>
      <c r="C154" s="11">
        <f t="shared" si="36"/>
        <v>9</v>
      </c>
      <c r="D154" s="12">
        <f t="shared" si="29"/>
        <v>348268</v>
      </c>
      <c r="E154" s="11" t="str">
        <f t="shared" si="30"/>
        <v>20/21</v>
      </c>
      <c r="F154" s="11" t="str">
        <f t="shared" si="31"/>
        <v>Jun</v>
      </c>
      <c r="G154" s="11" t="str">
        <f t="shared" si="32"/>
        <v>Jun'20/21</v>
      </c>
      <c r="H154" s="11" t="str">
        <f t="shared" si="33"/>
        <v>Jun'20/21</v>
      </c>
      <c r="I154" s="11">
        <f t="shared" si="34"/>
        <v>5.1350749999999996</v>
      </c>
    </row>
    <row r="155" spans="2:9" x14ac:dyDescent="0.55000000000000004">
      <c r="B155" s="11">
        <f t="shared" si="35"/>
        <v>7</v>
      </c>
      <c r="C155" s="11">
        <f t="shared" si="36"/>
        <v>10</v>
      </c>
      <c r="D155" s="12">
        <f t="shared" si="29"/>
        <v>336280</v>
      </c>
      <c r="E155" s="11" t="str">
        <f t="shared" si="30"/>
        <v>20/21</v>
      </c>
      <c r="F155" s="11" t="str">
        <f t="shared" si="31"/>
        <v>Jul</v>
      </c>
      <c r="G155" s="11" t="str">
        <f t="shared" si="32"/>
        <v>Jul'20/21</v>
      </c>
      <c r="H155" s="11" t="str">
        <f t="shared" si="33"/>
        <v>Jul'20/21</v>
      </c>
      <c r="I155" s="11">
        <f t="shared" si="34"/>
        <v>5.1546599999999998</v>
      </c>
    </row>
    <row r="156" spans="2:9" x14ac:dyDescent="0.55000000000000004">
      <c r="B156" s="11">
        <f t="shared" si="35"/>
        <v>7</v>
      </c>
      <c r="C156" s="11">
        <f t="shared" si="36"/>
        <v>11</v>
      </c>
      <c r="D156" s="12">
        <f t="shared" si="29"/>
        <v>303723</v>
      </c>
      <c r="E156" s="11" t="str">
        <f t="shared" si="30"/>
        <v>20/21</v>
      </c>
      <c r="F156" s="11" t="str">
        <f t="shared" si="31"/>
        <v>Aug</v>
      </c>
      <c r="G156" s="11" t="str">
        <f t="shared" si="32"/>
        <v>Aug'20/21</v>
      </c>
      <c r="H156" s="11" t="str">
        <f t="shared" si="33"/>
        <v>Aug'20/21</v>
      </c>
      <c r="I156" s="11">
        <f t="shared" si="34"/>
        <v>4.9718119999999999</v>
      </c>
    </row>
    <row r="157" spans="2:9" x14ac:dyDescent="0.55000000000000004">
      <c r="B157" s="11">
        <f t="shared" si="35"/>
        <v>7</v>
      </c>
      <c r="C157" s="11">
        <f t="shared" si="36"/>
        <v>12</v>
      </c>
      <c r="D157" s="12">
        <f t="shared" si="29"/>
        <v>398004</v>
      </c>
      <c r="E157" s="11" t="str">
        <f t="shared" si="30"/>
        <v>20/21</v>
      </c>
      <c r="F157" s="11" t="str">
        <f t="shared" si="31"/>
        <v>Sep</v>
      </c>
      <c r="G157" s="11" t="str">
        <f t="shared" si="32"/>
        <v>Sep'20/21</v>
      </c>
      <c r="H157" s="11" t="str">
        <f t="shared" si="33"/>
        <v>Sep'20/21</v>
      </c>
      <c r="I157" s="11">
        <f t="shared" si="34"/>
        <v>4.7309809999999999</v>
      </c>
    </row>
    <row r="158" spans="2:9" x14ac:dyDescent="0.55000000000000004">
      <c r="B158" s="11">
        <f t="shared" si="35"/>
        <v>8</v>
      </c>
      <c r="C158" s="11">
        <f t="shared" si="36"/>
        <v>1</v>
      </c>
      <c r="D158" s="12">
        <f t="shared" si="29"/>
        <v>410766</v>
      </c>
      <c r="E158" s="11" t="str">
        <f t="shared" si="30"/>
        <v>21/22</v>
      </c>
      <c r="F158" s="11" t="str">
        <f t="shared" si="31"/>
        <v>Oct</v>
      </c>
      <c r="G158" s="11" t="str">
        <f t="shared" si="32"/>
        <v>Oct'21/22</v>
      </c>
      <c r="H158" s="11" t="str">
        <f t="shared" si="33"/>
        <v>Oct'21/22</v>
      </c>
      <c r="I158" s="11">
        <f t="shared" si="34"/>
        <v>4.6935890000000002</v>
      </c>
    </row>
    <row r="159" spans="2:9" x14ac:dyDescent="0.55000000000000004">
      <c r="B159" s="11">
        <f t="shared" si="35"/>
        <v>8</v>
      </c>
      <c r="C159" s="11">
        <f t="shared" si="36"/>
        <v>2</v>
      </c>
      <c r="D159" s="12">
        <f t="shared" si="29"/>
        <v>345711</v>
      </c>
      <c r="E159" s="11" t="str">
        <f t="shared" si="30"/>
        <v>21/22</v>
      </c>
      <c r="F159" s="11" t="str">
        <f t="shared" si="31"/>
        <v>Nov</v>
      </c>
      <c r="G159" s="11" t="str">
        <f t="shared" si="32"/>
        <v>Nov'21/22</v>
      </c>
      <c r="H159" s="11" t="str">
        <f t="shared" si="33"/>
        <v>Nov'21/22</v>
      </c>
      <c r="I159" s="11">
        <f t="shared" si="34"/>
        <v>4.5644729999999996</v>
      </c>
    </row>
    <row r="160" spans="2:9" x14ac:dyDescent="0.55000000000000004">
      <c r="B160" s="11">
        <f t="shared" si="35"/>
        <v>8</v>
      </c>
      <c r="C160" s="11">
        <f t="shared" si="36"/>
        <v>3</v>
      </c>
      <c r="D160" s="12">
        <f t="shared" si="29"/>
        <v>390102</v>
      </c>
      <c r="E160" s="11" t="str">
        <f t="shared" si="30"/>
        <v>21/22</v>
      </c>
      <c r="F160" s="11" t="str">
        <f t="shared" si="31"/>
        <v>Dec</v>
      </c>
      <c r="G160" s="11" t="str">
        <f t="shared" si="32"/>
        <v>Dec'21/22</v>
      </c>
      <c r="H160" s="11" t="str">
        <f t="shared" si="33"/>
        <v>Dec'21/22</v>
      </c>
      <c r="I160" s="11">
        <f t="shared" si="34"/>
        <v>4.2782499999999999</v>
      </c>
    </row>
    <row r="161" spans="2:9" x14ac:dyDescent="0.55000000000000004">
      <c r="B161" s="11">
        <f t="shared" si="35"/>
        <v>8</v>
      </c>
      <c r="C161" s="11">
        <f t="shared" si="36"/>
        <v>4</v>
      </c>
      <c r="D161" s="12">
        <f t="shared" si="29"/>
        <v>301607</v>
      </c>
      <c r="E161" s="11" t="str">
        <f t="shared" si="30"/>
        <v>21/22</v>
      </c>
      <c r="F161" s="11" t="str">
        <f t="shared" si="31"/>
        <v>Jan</v>
      </c>
      <c r="G161" s="11" t="str">
        <f t="shared" si="32"/>
        <v>Jan'21/22</v>
      </c>
      <c r="H161" s="11" t="str">
        <f t="shared" si="33"/>
        <v>Jan'21/22</v>
      </c>
      <c r="I161" s="11">
        <f t="shared" si="34"/>
        <v>4.1093640000000002</v>
      </c>
    </row>
    <row r="162" spans="2:9" x14ac:dyDescent="0.55000000000000004">
      <c r="B162" s="11">
        <f t="shared" si="35"/>
        <v>8</v>
      </c>
      <c r="C162" s="11">
        <f t="shared" si="36"/>
        <v>5</v>
      </c>
      <c r="D162" s="12">
        <f t="shared" si="29"/>
        <v>221353</v>
      </c>
      <c r="E162" s="11" t="str">
        <f t="shared" si="30"/>
        <v>21/22</v>
      </c>
      <c r="F162" s="11" t="str">
        <f t="shared" si="31"/>
        <v>Feb</v>
      </c>
      <c r="G162" s="11" t="str">
        <f t="shared" si="32"/>
        <v>Feb'21/22</v>
      </c>
      <c r="H162" s="11" t="str">
        <f t="shared" si="33"/>
        <v>Feb'21/22</v>
      </c>
      <c r="I162" s="11">
        <f t="shared" si="34"/>
        <v>3.9960849999999999</v>
      </c>
    </row>
    <row r="163" spans="2:9" x14ac:dyDescent="0.55000000000000004">
      <c r="B163" s="11">
        <f t="shared" si="35"/>
        <v>8</v>
      </c>
      <c r="C163" s="11">
        <f t="shared" si="36"/>
        <v>6</v>
      </c>
      <c r="D163" s="12">
        <f t="shared" si="29"/>
        <v>131056</v>
      </c>
      <c r="E163" s="11" t="str">
        <f t="shared" si="30"/>
        <v>21/22</v>
      </c>
      <c r="F163" s="11" t="str">
        <f t="shared" si="31"/>
        <v>Mar</v>
      </c>
      <c r="G163" s="11" t="str">
        <f t="shared" si="32"/>
        <v>Mar'21/22</v>
      </c>
      <c r="H163" s="11" t="str">
        <f t="shared" si="33"/>
        <v>Mar'21/22</v>
      </c>
      <c r="I163" s="11">
        <f t="shared" si="34"/>
        <v>3.7427760000000001</v>
      </c>
    </row>
    <row r="164" spans="2:9" x14ac:dyDescent="0.55000000000000004">
      <c r="B164" s="11">
        <f t="shared" si="35"/>
        <v>8</v>
      </c>
      <c r="C164" s="11">
        <f t="shared" si="36"/>
        <v>7</v>
      </c>
      <c r="D164" s="12">
        <f t="shared" si="29"/>
        <v>99847</v>
      </c>
      <c r="E164" s="11" t="str">
        <f t="shared" si="30"/>
        <v>21/22</v>
      </c>
      <c r="F164" s="11" t="str">
        <f t="shared" si="31"/>
        <v>Apr</v>
      </c>
      <c r="G164" s="11" t="str">
        <f t="shared" si="32"/>
        <v>Apr'21/22</v>
      </c>
      <c r="H164" s="11" t="str">
        <f t="shared" si="33"/>
        <v>Apr'21/22</v>
      </c>
      <c r="I164" s="11">
        <f t="shared" si="34"/>
        <v>3.600406</v>
      </c>
    </row>
    <row r="165" spans="2:9" x14ac:dyDescent="0.55000000000000004">
      <c r="B165" s="11">
        <f t="shared" si="35"/>
        <v>8</v>
      </c>
      <c r="C165" s="11">
        <f t="shared" si="36"/>
        <v>8</v>
      </c>
      <c r="D165" s="12">
        <f t="shared" si="29"/>
        <v>143956</v>
      </c>
      <c r="E165" s="11" t="str">
        <f t="shared" si="30"/>
        <v>21/22</v>
      </c>
      <c r="F165" s="11" t="str">
        <f t="shared" si="31"/>
        <v>May</v>
      </c>
      <c r="G165" s="11" t="str">
        <f t="shared" si="32"/>
        <v>May'21/22</v>
      </c>
      <c r="H165" s="11" t="str">
        <f t="shared" si="33"/>
        <v>May'21/22</v>
      </c>
      <c r="I165" s="11">
        <f t="shared" si="34"/>
        <v>3.4306730000000001</v>
      </c>
    </row>
    <row r="166" spans="2:9" x14ac:dyDescent="0.55000000000000004">
      <c r="B166" s="11">
        <f t="shared" si="35"/>
        <v>8</v>
      </c>
      <c r="C166" s="11">
        <f t="shared" si="36"/>
        <v>9</v>
      </c>
      <c r="D166" s="12">
        <f t="shared" si="29"/>
        <v>135661</v>
      </c>
      <c r="E166" s="11" t="str">
        <f t="shared" si="30"/>
        <v>21/22</v>
      </c>
      <c r="F166" s="11" t="str">
        <f t="shared" si="31"/>
        <v>Jun</v>
      </c>
      <c r="G166" s="11" t="str">
        <f t="shared" si="32"/>
        <v>Jun'21/22</v>
      </c>
      <c r="H166" s="11" t="str">
        <f t="shared" si="33"/>
        <v>Jun'21/22</v>
      </c>
      <c r="I166" s="11">
        <f t="shared" si="34"/>
        <v>3.2180659999999999</v>
      </c>
    </row>
    <row r="167" spans="2:9" x14ac:dyDescent="0.55000000000000004">
      <c r="B167" s="11">
        <f t="shared" si="35"/>
        <v>8</v>
      </c>
      <c r="C167" s="11">
        <f t="shared" si="36"/>
        <v>10</v>
      </c>
      <c r="D167" s="12">
        <f t="shared" si="29"/>
        <v>142826</v>
      </c>
      <c r="E167" s="11" t="str">
        <f t="shared" si="30"/>
        <v>21/22</v>
      </c>
      <c r="F167" s="11" t="str">
        <f t="shared" si="31"/>
        <v>Jul</v>
      </c>
      <c r="G167" s="11" t="str">
        <f t="shared" si="32"/>
        <v>Jul'21/22</v>
      </c>
      <c r="H167" s="11" t="str">
        <f t="shared" si="33"/>
        <v>Jul'21/22</v>
      </c>
      <c r="I167" s="11">
        <f t="shared" si="34"/>
        <v>3.0246119999999999</v>
      </c>
    </row>
    <row r="168" spans="2:9" x14ac:dyDescent="0.55000000000000004">
      <c r="B168" s="11">
        <f t="shared" si="35"/>
        <v>8</v>
      </c>
      <c r="C168" s="11">
        <f t="shared" si="36"/>
        <v>11</v>
      </c>
      <c r="D168" s="12">
        <f t="shared" si="29"/>
        <v>131486</v>
      </c>
      <c r="E168" s="11" t="str">
        <f t="shared" si="30"/>
        <v>21/22</v>
      </c>
      <c r="F168" s="11" t="str">
        <f t="shared" si="31"/>
        <v>Aug</v>
      </c>
      <c r="G168" s="11" t="str">
        <f t="shared" si="32"/>
        <v>Aug'21/22</v>
      </c>
      <c r="H168" s="11" t="str">
        <f t="shared" si="33"/>
        <v>Aug'21/22</v>
      </c>
      <c r="I168" s="11">
        <f t="shared" si="34"/>
        <v>2.8523749999999999</v>
      </c>
    </row>
    <row r="169" spans="2:9" x14ac:dyDescent="0.55000000000000004">
      <c r="B169" s="11">
        <f t="shared" si="35"/>
        <v>8</v>
      </c>
      <c r="C169" s="11">
        <f t="shared" si="36"/>
        <v>12</v>
      </c>
      <c r="D169" s="12">
        <f t="shared" si="29"/>
        <v>143421</v>
      </c>
      <c r="E169" s="11" t="str">
        <f t="shared" si="30"/>
        <v>21/22</v>
      </c>
      <c r="F169" s="11" t="str">
        <f t="shared" si="31"/>
        <v>Sep</v>
      </c>
      <c r="G169" s="11" t="str">
        <f t="shared" si="32"/>
        <v>Sep'21/22</v>
      </c>
      <c r="H169" s="11" t="str">
        <f t="shared" si="33"/>
        <v>Sep'21/22</v>
      </c>
      <c r="I169" s="11">
        <f t="shared" si="34"/>
        <v>2.5977920000000001</v>
      </c>
    </row>
    <row r="170" spans="2:9" x14ac:dyDescent="0.55000000000000004">
      <c r="B170" s="11">
        <f t="shared" si="35"/>
        <v>9</v>
      </c>
      <c r="C170" s="11">
        <f t="shared" si="36"/>
        <v>1</v>
      </c>
      <c r="D170" s="12">
        <f t="shared" si="29"/>
        <v>113367</v>
      </c>
      <c r="E170" s="11" t="str">
        <f t="shared" si="30"/>
        <v>22/23</v>
      </c>
      <c r="F170" s="11" t="str">
        <f t="shared" si="31"/>
        <v>Oct</v>
      </c>
      <c r="G170" s="11" t="str">
        <f t="shared" si="32"/>
        <v>Oct'22/23</v>
      </c>
      <c r="H170" s="11" t="str">
        <f t="shared" si="33"/>
        <v>Oct'22/23</v>
      </c>
      <c r="I170" s="11">
        <f t="shared" si="34"/>
        <v>2.3003930000000001</v>
      </c>
    </row>
    <row r="171" spans="2:9" x14ac:dyDescent="0.55000000000000004">
      <c r="B171" s="11">
        <f t="shared" si="35"/>
        <v>9</v>
      </c>
      <c r="C171" s="11">
        <f t="shared" si="36"/>
        <v>2</v>
      </c>
      <c r="D171" s="12">
        <f t="shared" si="29"/>
        <v>110021</v>
      </c>
      <c r="E171" s="11" t="str">
        <f t="shared" si="30"/>
        <v>22/23</v>
      </c>
      <c r="F171" s="11" t="str">
        <f t="shared" si="31"/>
        <v>Nov</v>
      </c>
      <c r="G171" s="11" t="str">
        <f t="shared" si="32"/>
        <v>Nov'22/23</v>
      </c>
      <c r="H171" s="11" t="str">
        <f t="shared" si="33"/>
        <v>Nov'22/23</v>
      </c>
      <c r="I171" s="11">
        <f t="shared" si="34"/>
        <v>2.0647030000000002</v>
      </c>
    </row>
    <row r="172" spans="2:9" x14ac:dyDescent="0.55000000000000004">
      <c r="B172" s="11">
        <f t="shared" si="35"/>
        <v>9</v>
      </c>
      <c r="C172" s="11">
        <f t="shared" si="36"/>
        <v>3</v>
      </c>
      <c r="D172" s="12">
        <f t="shared" si="29"/>
        <v>61991</v>
      </c>
      <c r="E172" s="11" t="str">
        <f t="shared" si="30"/>
        <v>22/23</v>
      </c>
      <c r="F172" s="11" t="str">
        <f t="shared" si="31"/>
        <v>Dec</v>
      </c>
      <c r="G172" s="11" t="str">
        <f t="shared" si="32"/>
        <v>Dec'22/23</v>
      </c>
      <c r="H172" s="11" t="str">
        <f t="shared" si="33"/>
        <v>Dec'22/23</v>
      </c>
      <c r="I172" s="11">
        <f t="shared" si="34"/>
        <v>1.7365919999999999</v>
      </c>
    </row>
    <row r="173" spans="2:9" x14ac:dyDescent="0.55000000000000004">
      <c r="B173" s="11">
        <f t="shared" si="35"/>
        <v>9</v>
      </c>
      <c r="C173" s="11">
        <f t="shared" si="36"/>
        <v>4</v>
      </c>
      <c r="D173" s="12">
        <f t="shared" si="29"/>
        <v>75853</v>
      </c>
      <c r="E173" s="11" t="str">
        <f t="shared" si="30"/>
        <v>22/23</v>
      </c>
      <c r="F173" s="11" t="str">
        <f t="shared" si="31"/>
        <v>Jan</v>
      </c>
      <c r="G173" s="11" t="str">
        <f t="shared" si="32"/>
        <v>Jan'22/23</v>
      </c>
      <c r="H173" s="11" t="str">
        <f t="shared" si="33"/>
        <v>Jan'22/23</v>
      </c>
      <c r="I173" s="11">
        <f t="shared" si="34"/>
        <v>1.5108379999999999</v>
      </c>
    </row>
    <row r="174" spans="2:9" x14ac:dyDescent="0.55000000000000004">
      <c r="B174" s="11">
        <f t="shared" si="35"/>
        <v>9</v>
      </c>
      <c r="C174" s="11">
        <f t="shared" si="36"/>
        <v>5</v>
      </c>
      <c r="D174" s="12">
        <f t="shared" si="29"/>
        <v>87500</v>
      </c>
      <c r="E174" s="11" t="str">
        <f t="shared" si="30"/>
        <v>22/23</v>
      </c>
      <c r="F174" s="11" t="str">
        <f t="shared" si="31"/>
        <v>Feb</v>
      </c>
      <c r="G174" s="11" t="str">
        <f t="shared" si="32"/>
        <v>Feb'22/23</v>
      </c>
      <c r="H174" s="11" t="str">
        <f t="shared" si="33"/>
        <v>Feb'22/23</v>
      </c>
      <c r="I174" s="11">
        <f t="shared" si="34"/>
        <v>1.3769849999999999</v>
      </c>
    </row>
    <row r="175" spans="2:9" x14ac:dyDescent="0.55000000000000004">
      <c r="B175" s="11">
        <f t="shared" si="35"/>
        <v>9</v>
      </c>
      <c r="C175" s="11">
        <f t="shared" si="36"/>
        <v>6</v>
      </c>
      <c r="D175" s="12">
        <f t="shared" si="29"/>
        <v>107267</v>
      </c>
      <c r="E175" s="11" t="str">
        <f t="shared" si="30"/>
        <v>22/23</v>
      </c>
      <c r="F175" s="11" t="str">
        <f t="shared" si="31"/>
        <v>Mar</v>
      </c>
      <c r="G175" s="11" t="str">
        <f t="shared" si="32"/>
        <v>Mar'22/23</v>
      </c>
      <c r="H175" s="11" t="str">
        <f t="shared" si="33"/>
        <v>Mar'22/23</v>
      </c>
      <c r="I175" s="11">
        <f t="shared" si="34"/>
        <v>1.3531960000000001</v>
      </c>
    </row>
    <row r="176" spans="2:9" x14ac:dyDescent="0.55000000000000004">
      <c r="B176" s="11">
        <f t="shared" si="35"/>
        <v>9</v>
      </c>
      <c r="C176" s="11">
        <f t="shared" si="36"/>
        <v>7</v>
      </c>
      <c r="D176" s="12">
        <f t="shared" si="29"/>
        <v>124206</v>
      </c>
      <c r="E176" s="11" t="str">
        <f t="shared" si="30"/>
        <v>22/23</v>
      </c>
      <c r="F176" s="11" t="str">
        <f t="shared" si="31"/>
        <v>Apr</v>
      </c>
      <c r="G176" s="11" t="str">
        <f t="shared" si="32"/>
        <v>Apr'22/23</v>
      </c>
      <c r="H176" s="11" t="str">
        <f t="shared" si="33"/>
        <v>Apr'22/23</v>
      </c>
      <c r="I176" s="11">
        <f t="shared" si="34"/>
        <v>1.3775550000000001</v>
      </c>
    </row>
    <row r="177" spans="2:9" x14ac:dyDescent="0.55000000000000004">
      <c r="B177" s="11">
        <f t="shared" si="35"/>
        <v>9</v>
      </c>
      <c r="C177" s="11">
        <f t="shared" si="36"/>
        <v>8</v>
      </c>
      <c r="D177" s="12">
        <f t="shared" si="29"/>
        <v>131689</v>
      </c>
      <c r="E177" s="11" t="str">
        <f t="shared" si="30"/>
        <v>22/23</v>
      </c>
      <c r="F177" s="11" t="str">
        <f t="shared" si="31"/>
        <v>May</v>
      </c>
      <c r="G177" s="11" t="str">
        <f t="shared" si="32"/>
        <v>May'22/23</v>
      </c>
      <c r="H177" s="11" t="str">
        <f t="shared" si="33"/>
        <v>May'22/23</v>
      </c>
      <c r="I177" s="11">
        <f t="shared" si="34"/>
        <v>1.3652880000000001</v>
      </c>
    </row>
    <row r="178" spans="2:9" x14ac:dyDescent="0.55000000000000004">
      <c r="B178" s="11">
        <f t="shared" si="35"/>
        <v>9</v>
      </c>
      <c r="C178" s="11">
        <f t="shared" si="36"/>
        <v>9</v>
      </c>
      <c r="D178" s="12">
        <f t="shared" si="29"/>
        <v>230653</v>
      </c>
      <c r="E178" s="11" t="str">
        <f t="shared" si="30"/>
        <v>22/23</v>
      </c>
      <c r="F178" s="11" t="str">
        <f t="shared" si="31"/>
        <v>Jun</v>
      </c>
      <c r="G178" s="11" t="str">
        <f t="shared" si="32"/>
        <v>Jun'22/23</v>
      </c>
      <c r="H178" s="11" t="str">
        <f t="shared" si="33"/>
        <v>Jun'22/23</v>
      </c>
      <c r="I178" s="11">
        <f t="shared" si="34"/>
        <v>1.46028</v>
      </c>
    </row>
    <row r="179" spans="2:9" x14ac:dyDescent="0.55000000000000004">
      <c r="B179" s="11">
        <f t="shared" si="35"/>
        <v>9</v>
      </c>
      <c r="C179" s="11">
        <f t="shared" si="36"/>
        <v>10</v>
      </c>
      <c r="D179" s="12">
        <f t="shared" si="29"/>
        <v>494527</v>
      </c>
      <c r="E179" s="11" t="str">
        <f t="shared" si="30"/>
        <v>22/23</v>
      </c>
      <c r="F179" s="11" t="str">
        <f t="shared" si="31"/>
        <v>Jul</v>
      </c>
      <c r="G179" s="11" t="str">
        <f t="shared" si="32"/>
        <v>Jul'22/23</v>
      </c>
      <c r="H179" s="11" t="str">
        <f t="shared" si="33"/>
        <v>Jul'22/23</v>
      </c>
      <c r="I179" s="11">
        <f t="shared" si="34"/>
        <v>1.8119810000000001</v>
      </c>
    </row>
    <row r="180" spans="2:9" x14ac:dyDescent="0.55000000000000004">
      <c r="B180" s="11">
        <f t="shared" si="35"/>
        <v>9</v>
      </c>
      <c r="C180" s="11">
        <f t="shared" si="36"/>
        <v>11</v>
      </c>
      <c r="D180" s="12">
        <f t="shared" si="29"/>
        <v>703148</v>
      </c>
      <c r="E180" s="11" t="str">
        <f t="shared" si="30"/>
        <v>22/23</v>
      </c>
      <c r="F180" s="11" t="str">
        <f t="shared" si="31"/>
        <v>Aug</v>
      </c>
      <c r="G180" s="11" t="str">
        <f t="shared" si="32"/>
        <v>Aug'22/23</v>
      </c>
      <c r="H180" s="11" t="str">
        <f t="shared" si="33"/>
        <v>Aug'22/23</v>
      </c>
      <c r="I180" s="11">
        <f t="shared" si="34"/>
        <v>2.3836430000000002</v>
      </c>
    </row>
    <row r="181" spans="2:9" x14ac:dyDescent="0.55000000000000004">
      <c r="B181" s="11">
        <f t="shared" si="35"/>
        <v>9</v>
      </c>
      <c r="C181" s="11">
        <f t="shared" si="36"/>
        <v>12</v>
      </c>
      <c r="D181" s="12">
        <f t="shared" si="29"/>
        <v>647088</v>
      </c>
      <c r="E181" s="11" t="str">
        <f t="shared" si="30"/>
        <v>22/23</v>
      </c>
      <c r="F181" s="11" t="str">
        <f t="shared" si="31"/>
        <v>Sep</v>
      </c>
      <c r="G181" s="11" t="str">
        <f t="shared" si="32"/>
        <v>Sep'22/23</v>
      </c>
      <c r="H181" s="11" t="str">
        <f t="shared" si="33"/>
        <v>Sep'22/23</v>
      </c>
      <c r="I181" s="11">
        <f t="shared" si="34"/>
        <v>2.8873099999999998</v>
      </c>
    </row>
    <row r="182" spans="2:9" x14ac:dyDescent="0.55000000000000004">
      <c r="B182" s="11">
        <f t="shared" si="35"/>
        <v>10</v>
      </c>
      <c r="C182" s="11">
        <f t="shared" si="36"/>
        <v>1</v>
      </c>
      <c r="D182" s="12">
        <f t="shared" si="29"/>
        <v>679949</v>
      </c>
      <c r="E182" s="11" t="str">
        <f t="shared" si="30"/>
        <v>23/24</v>
      </c>
      <c r="F182" s="11" t="str">
        <f t="shared" si="31"/>
        <v>Oct</v>
      </c>
      <c r="G182" s="11" t="str">
        <f t="shared" si="32"/>
        <v>Oct'23/24</v>
      </c>
      <c r="H182" s="11" t="str">
        <f t="shared" si="33"/>
        <v>Oct'23/24</v>
      </c>
      <c r="I182" s="11">
        <f t="shared" si="34"/>
        <v>3.4538920000000002</v>
      </c>
    </row>
    <row r="183" spans="2:9" x14ac:dyDescent="0.55000000000000004">
      <c r="B183" s="11">
        <f t="shared" si="35"/>
        <v>10</v>
      </c>
      <c r="C183" s="11">
        <f t="shared" si="36"/>
        <v>2</v>
      </c>
      <c r="D183" s="12">
        <f t="shared" si="29"/>
        <v>898666</v>
      </c>
      <c r="E183" s="11" t="str">
        <f t="shared" si="30"/>
        <v>23/24</v>
      </c>
      <c r="F183" s="11" t="str">
        <f t="shared" si="31"/>
        <v>Nov</v>
      </c>
      <c r="G183" s="11" t="str">
        <f t="shared" si="32"/>
        <v>Nov'23/24</v>
      </c>
      <c r="H183" s="11" t="str">
        <f t="shared" si="33"/>
        <v>Nov'23/24</v>
      </c>
      <c r="I183" s="11">
        <f t="shared" si="34"/>
        <v>4.2425369999999996</v>
      </c>
    </row>
    <row r="184" spans="2:9" x14ac:dyDescent="0.55000000000000004">
      <c r="B184" s="11">
        <f t="shared" si="35"/>
        <v>10</v>
      </c>
      <c r="C184" s="11">
        <f t="shared" si="36"/>
        <v>3</v>
      </c>
      <c r="D184" s="12">
        <f t="shared" si="29"/>
        <v>526974</v>
      </c>
      <c r="E184" s="11" t="str">
        <f t="shared" si="30"/>
        <v>23/24</v>
      </c>
      <c r="F184" s="11" t="str">
        <f t="shared" si="31"/>
        <v>Dec</v>
      </c>
      <c r="G184" s="11" t="str">
        <f t="shared" si="32"/>
        <v>Dec'23/24</v>
      </c>
      <c r="H184" s="11" t="str">
        <f t="shared" si="33"/>
        <v>Dec'23/24</v>
      </c>
      <c r="I184" s="11">
        <f t="shared" si="34"/>
        <v>4.7075199999999997</v>
      </c>
    </row>
    <row r="185" spans="2:9" x14ac:dyDescent="0.55000000000000004">
      <c r="B185" s="11">
        <f t="shared" si="35"/>
        <v>10</v>
      </c>
      <c r="C185" s="11">
        <f t="shared" si="36"/>
        <v>4</v>
      </c>
      <c r="D185" s="12">
        <f t="shared" si="29"/>
        <v>459987</v>
      </c>
      <c r="E185" s="11" t="str">
        <f t="shared" si="30"/>
        <v>23/24</v>
      </c>
      <c r="F185" s="11" t="str">
        <f t="shared" si="31"/>
        <v>Jan</v>
      </c>
      <c r="G185" s="11" t="str">
        <f t="shared" si="32"/>
        <v>Jan'23/24</v>
      </c>
      <c r="H185" s="11" t="str">
        <f t="shared" si="33"/>
        <v>Jan'23/24</v>
      </c>
      <c r="I185" s="11">
        <f t="shared" si="34"/>
        <v>5.0916540000000001</v>
      </c>
    </row>
    <row r="186" spans="2:9" x14ac:dyDescent="0.55000000000000004">
      <c r="B186" s="11">
        <f t="shared" si="35"/>
        <v>10</v>
      </c>
      <c r="C186" s="11">
        <f t="shared" si="36"/>
        <v>5</v>
      </c>
      <c r="D186" s="12">
        <f t="shared" si="29"/>
        <v>564930</v>
      </c>
      <c r="E186" s="11" t="str">
        <f t="shared" si="30"/>
        <v>23/24</v>
      </c>
      <c r="F186" s="11" t="str">
        <f t="shared" si="31"/>
        <v>Feb</v>
      </c>
      <c r="G186" s="11" t="str">
        <f t="shared" si="32"/>
        <v>Feb'23/24</v>
      </c>
      <c r="H186" s="11" t="str">
        <f t="shared" si="33"/>
        <v>Feb'23/24</v>
      </c>
      <c r="I186" s="11">
        <f t="shared" si="34"/>
        <v>5.5690840000000001</v>
      </c>
    </row>
    <row r="187" spans="2:9" x14ac:dyDescent="0.55000000000000004">
      <c r="B187" s="11">
        <f t="shared" si="35"/>
        <v>10</v>
      </c>
      <c r="C187" s="11">
        <f t="shared" si="36"/>
        <v>6</v>
      </c>
      <c r="D187" s="12">
        <f t="shared" si="29"/>
        <v>862569</v>
      </c>
      <c r="E187" s="11" t="str">
        <f t="shared" si="30"/>
        <v>23/24</v>
      </c>
      <c r="F187" s="11" t="str">
        <f t="shared" si="31"/>
        <v>Mar</v>
      </c>
      <c r="G187" s="11" t="str">
        <f t="shared" si="32"/>
        <v>Mar'23/24</v>
      </c>
      <c r="H187" s="11" t="str">
        <f t="shared" si="33"/>
        <v>Mar'23/24</v>
      </c>
      <c r="I187" s="11">
        <f t="shared" si="34"/>
        <v>6.3243859999999996</v>
      </c>
    </row>
    <row r="188" spans="2:9" x14ac:dyDescent="0.55000000000000004">
      <c r="B188" s="11">
        <f t="shared" si="35"/>
        <v>10</v>
      </c>
      <c r="C188" s="11">
        <f t="shared" si="36"/>
        <v>7</v>
      </c>
      <c r="D188" s="12">
        <f t="shared" si="29"/>
        <v>685508</v>
      </c>
      <c r="E188" s="11" t="str">
        <f t="shared" si="30"/>
        <v>23/24</v>
      </c>
      <c r="F188" s="11" t="str">
        <f t="shared" si="31"/>
        <v>Apr</v>
      </c>
      <c r="G188" s="11" t="str">
        <f t="shared" si="32"/>
        <v>Apr'23/24</v>
      </c>
      <c r="H188" s="11" t="str">
        <f t="shared" si="33"/>
        <v>Apr'23/24</v>
      </c>
      <c r="I188" s="11">
        <f t="shared" si="34"/>
        <v>6.885688</v>
      </c>
    </row>
    <row r="189" spans="2:9" x14ac:dyDescent="0.55000000000000004">
      <c r="B189" s="11">
        <f t="shared" si="35"/>
        <v>10</v>
      </c>
      <c r="C189" s="11">
        <f t="shared" si="36"/>
        <v>8</v>
      </c>
      <c r="D189" s="12">
        <f t="shared" si="29"/>
        <v>879905</v>
      </c>
      <c r="E189" s="11" t="str">
        <f t="shared" si="30"/>
        <v>23/24</v>
      </c>
      <c r="F189" s="11" t="str">
        <f t="shared" si="31"/>
        <v>May</v>
      </c>
      <c r="G189" s="11" t="str">
        <f t="shared" si="32"/>
        <v>May'23/24</v>
      </c>
      <c r="H189" s="11" t="str">
        <f t="shared" si="33"/>
        <v>May'23/24</v>
      </c>
      <c r="I189" s="11">
        <f t="shared" si="34"/>
        <v>7.6339040000000002</v>
      </c>
    </row>
    <row r="190" spans="2:9" x14ac:dyDescent="0.55000000000000004">
      <c r="B190" s="11">
        <f t="shared" si="35"/>
        <v>10</v>
      </c>
      <c r="C190" s="11">
        <f t="shared" si="36"/>
        <v>9</v>
      </c>
      <c r="D190" s="12">
        <f t="shared" si="29"/>
        <v>823727</v>
      </c>
      <c r="E190" s="11" t="str">
        <f t="shared" si="30"/>
        <v>23/24</v>
      </c>
      <c r="F190" s="11" t="str">
        <f t="shared" si="31"/>
        <v>Jun</v>
      </c>
      <c r="G190" s="11" t="str">
        <f t="shared" si="32"/>
        <v>Jun'23/24</v>
      </c>
      <c r="H190" s="11" t="str">
        <f t="shared" si="33"/>
        <v>Jun'23/24</v>
      </c>
      <c r="I190" s="11">
        <f t="shared" si="34"/>
        <v>8.2269780000000008</v>
      </c>
    </row>
    <row r="191" spans="2:9" x14ac:dyDescent="0.55000000000000004">
      <c r="B191" s="11">
        <f t="shared" si="35"/>
        <v>10</v>
      </c>
      <c r="C191" s="11">
        <f t="shared" si="36"/>
        <v>10</v>
      </c>
      <c r="D191" s="12">
        <f t="shared" si="29"/>
        <v>902637</v>
      </c>
      <c r="E191" s="11" t="str">
        <f t="shared" si="30"/>
        <v>23/24</v>
      </c>
      <c r="F191" s="11" t="str">
        <f t="shared" si="31"/>
        <v>Jul</v>
      </c>
      <c r="G191" s="11" t="str">
        <f t="shared" si="32"/>
        <v>Jul'23/24</v>
      </c>
      <c r="H191" s="11" t="str">
        <f t="shared" si="33"/>
        <v>Jul'23/24</v>
      </c>
      <c r="I191" s="11">
        <f t="shared" si="34"/>
        <v>8.6350879999999997</v>
      </c>
    </row>
    <row r="192" spans="2:9" x14ac:dyDescent="0.55000000000000004">
      <c r="B192" s="11">
        <f t="shared" si="35"/>
        <v>10</v>
      </c>
      <c r="C192" s="11">
        <f t="shared" si="36"/>
        <v>11</v>
      </c>
      <c r="D192" s="12">
        <f t="shared" si="29"/>
        <v>945047</v>
      </c>
      <c r="E192" s="11" t="str">
        <f t="shared" si="30"/>
        <v>23/24</v>
      </c>
      <c r="F192" s="11" t="str">
        <f t="shared" si="31"/>
        <v>Aug</v>
      </c>
      <c r="G192" s="11" t="str">
        <f t="shared" si="32"/>
        <v>Aug'23/24</v>
      </c>
      <c r="H192" s="11" t="str">
        <f t="shared" si="33"/>
        <v>Aug'23/24</v>
      </c>
      <c r="I192" s="11">
        <f t="shared" si="34"/>
        <v>8.8769869999999997</v>
      </c>
    </row>
    <row r="193" spans="2:9" x14ac:dyDescent="0.55000000000000004">
      <c r="B193" s="11">
        <f t="shared" si="35"/>
        <v>10</v>
      </c>
      <c r="C193" s="11">
        <f t="shared" si="36"/>
        <v>12</v>
      </c>
      <c r="D193" s="12">
        <f t="shared" si="29"/>
        <v>930992</v>
      </c>
      <c r="E193" s="11" t="str">
        <f t="shared" si="30"/>
        <v>23/24</v>
      </c>
      <c r="F193" s="11" t="str">
        <f t="shared" si="31"/>
        <v>Sep</v>
      </c>
      <c r="G193" s="11" t="str">
        <f t="shared" si="32"/>
        <v>Sep'23/24</v>
      </c>
      <c r="H193" s="11" t="str">
        <f t="shared" si="33"/>
        <v>Sep'23/24</v>
      </c>
      <c r="I193" s="11">
        <f t="shared" si="34"/>
        <v>9.1608909999999995</v>
      </c>
    </row>
    <row r="194" spans="2:9" x14ac:dyDescent="0.55000000000000004">
      <c r="B194" s="11">
        <f t="shared" si="35"/>
        <v>11</v>
      </c>
      <c r="C194" s="11">
        <f t="shared" si="36"/>
        <v>1</v>
      </c>
      <c r="D194" s="12">
        <f t="shared" si="29"/>
        <v>922913</v>
      </c>
      <c r="E194" s="11" t="str">
        <f t="shared" si="30"/>
        <v>24/25</v>
      </c>
      <c r="F194" s="11" t="str">
        <f t="shared" si="31"/>
        <v>Oct</v>
      </c>
      <c r="G194" s="11" t="str">
        <f t="shared" si="32"/>
        <v>Oct'24/25</v>
      </c>
      <c r="H194" s="11" t="str">
        <f t="shared" si="33"/>
        <v>Oct'24/25</v>
      </c>
      <c r="I194" s="11">
        <f t="shared" si="34"/>
        <v>9.4038550000000001</v>
      </c>
    </row>
    <row r="195" spans="2:9" x14ac:dyDescent="0.55000000000000004">
      <c r="B195" s="11">
        <f t="shared" si="35"/>
        <v>11</v>
      </c>
      <c r="C195" s="11">
        <f t="shared" si="36"/>
        <v>2</v>
      </c>
      <c r="D195" s="12">
        <f t="shared" si="29"/>
        <v>714206</v>
      </c>
      <c r="E195" s="11" t="str">
        <f t="shared" si="30"/>
        <v>24/25</v>
      </c>
      <c r="F195" s="11" t="str">
        <f t="shared" si="31"/>
        <v>Nov</v>
      </c>
      <c r="G195" s="11" t="str">
        <f t="shared" si="32"/>
        <v>Nov'24/25</v>
      </c>
      <c r="H195" s="11" t="str">
        <f t="shared" si="33"/>
        <v>Nov'24/25</v>
      </c>
      <c r="I195" s="11">
        <f t="shared" si="34"/>
        <v>9.2193950000000005</v>
      </c>
    </row>
    <row r="196" spans="2:9" x14ac:dyDescent="0.55000000000000004">
      <c r="B196" s="11">
        <f t="shared" si="35"/>
        <v>11</v>
      </c>
      <c r="C196" s="11">
        <f t="shared" si="36"/>
        <v>3</v>
      </c>
      <c r="D196" s="12">
        <f t="shared" si="29"/>
        <v>800000</v>
      </c>
      <c r="E196" s="11" t="str">
        <f t="shared" si="30"/>
        <v>24/25</v>
      </c>
      <c r="F196" s="11" t="str">
        <f t="shared" si="31"/>
        <v>Dec</v>
      </c>
      <c r="G196" s="11" t="str">
        <f t="shared" si="32"/>
        <v>Dec'24/25</v>
      </c>
      <c r="H196" s="11" t="str">
        <f t="shared" si="33"/>
        <v>Dec'24/25</v>
      </c>
      <c r="I196" s="11">
        <f t="shared" si="34"/>
        <v>9.4924210000000002</v>
      </c>
    </row>
    <row r="197" spans="2:9" x14ac:dyDescent="0.55000000000000004">
      <c r="B197" s="11">
        <f t="shared" si="35"/>
        <v>11</v>
      </c>
      <c r="C197" s="11">
        <f t="shared" si="36"/>
        <v>4</v>
      </c>
      <c r="D197" s="12">
        <f t="shared" si="29"/>
        <v>333801</v>
      </c>
      <c r="E197" s="11" t="str">
        <f t="shared" si="30"/>
        <v>24/25</v>
      </c>
      <c r="F197" s="11" t="str">
        <f t="shared" si="31"/>
        <v>Jan</v>
      </c>
      <c r="G197" s="11" t="str">
        <f t="shared" si="32"/>
        <v>Jan'24/25</v>
      </c>
      <c r="H197" s="11" t="str">
        <f t="shared" si="33"/>
        <v>Jan'24/25</v>
      </c>
      <c r="I197" s="11">
        <f t="shared" si="34"/>
        <v>9.3662349999999996</v>
      </c>
    </row>
    <row r="198" spans="2:9" x14ac:dyDescent="0.55000000000000004">
      <c r="B198" s="11">
        <f t="shared" si="35"/>
        <v>11</v>
      </c>
      <c r="C198" s="11">
        <f t="shared" si="36"/>
        <v>5</v>
      </c>
      <c r="D198" s="12">
        <f t="shared" si="29"/>
        <v>230785</v>
      </c>
      <c r="E198" s="11" t="str">
        <f t="shared" si="30"/>
        <v>24/25</v>
      </c>
      <c r="F198" s="11" t="str">
        <f t="shared" si="31"/>
        <v>Feb</v>
      </c>
      <c r="G198" s="11" t="str">
        <f t="shared" si="32"/>
        <v>Feb'24/25</v>
      </c>
      <c r="H198" s="11" t="str">
        <f t="shared" si="33"/>
        <v>Feb'24/25</v>
      </c>
      <c r="I198" s="11">
        <f t="shared" si="34"/>
        <v>9.0320900000000002</v>
      </c>
    </row>
    <row r="199" spans="2:9" x14ac:dyDescent="0.55000000000000004">
      <c r="B199" s="11">
        <f t="shared" si="35"/>
        <v>11</v>
      </c>
      <c r="C199" s="11">
        <f t="shared" si="36"/>
        <v>6</v>
      </c>
      <c r="D199" s="12">
        <f t="shared" si="29"/>
        <v>139002</v>
      </c>
      <c r="E199" s="11" t="str">
        <f t="shared" si="30"/>
        <v>24/25</v>
      </c>
      <c r="F199" s="11" t="str">
        <f t="shared" si="31"/>
        <v>Mar</v>
      </c>
      <c r="G199" s="11" t="str">
        <f t="shared" si="32"/>
        <v>Mar'24/25</v>
      </c>
      <c r="H199" s="11" t="str">
        <f t="shared" si="33"/>
        <v>Mar'24/25</v>
      </c>
      <c r="I199" s="11">
        <f t="shared" si="34"/>
        <v>8.3085229999999992</v>
      </c>
    </row>
    <row r="200" spans="2:9" x14ac:dyDescent="0.55000000000000004">
      <c r="B200" s="11">
        <f t="shared" si="35"/>
        <v>11</v>
      </c>
      <c r="C200" s="11">
        <f t="shared" si="36"/>
        <v>7</v>
      </c>
      <c r="D200" s="12">
        <f t="shared" si="29"/>
        <v>104837</v>
      </c>
      <c r="E200" s="11" t="str">
        <f t="shared" si="30"/>
        <v>24/25</v>
      </c>
      <c r="F200" s="11" t="str">
        <f t="shared" si="31"/>
        <v>Apr</v>
      </c>
      <c r="G200" s="11" t="str">
        <f t="shared" si="32"/>
        <v>Apr'24/25</v>
      </c>
      <c r="H200" s="11" t="str">
        <f t="shared" si="33"/>
        <v>Apr'24/25</v>
      </c>
      <c r="I200" s="11">
        <f t="shared" si="34"/>
        <v>7.7278520000000004</v>
      </c>
    </row>
    <row r="201" spans="2:9" x14ac:dyDescent="0.55000000000000004">
      <c r="B201" s="11">
        <f t="shared" si="35"/>
        <v>11</v>
      </c>
      <c r="C201" s="11">
        <f t="shared" si="36"/>
        <v>8</v>
      </c>
      <c r="D201" s="12">
        <f t="shared" si="29"/>
        <v>203686</v>
      </c>
      <c r="E201" s="11" t="str">
        <f t="shared" si="30"/>
        <v>24/25</v>
      </c>
      <c r="F201" s="11" t="str">
        <f t="shared" si="31"/>
        <v>May</v>
      </c>
      <c r="G201" s="11" t="str">
        <f t="shared" si="32"/>
        <v>May'24/25</v>
      </c>
      <c r="H201" s="11" t="str">
        <f t="shared" si="33"/>
        <v>May'24/25</v>
      </c>
      <c r="I201" s="11">
        <f t="shared" si="34"/>
        <v>7.0516329999999998</v>
      </c>
    </row>
    <row r="202" spans="2:9" x14ac:dyDescent="0.55000000000000004">
      <c r="B202" s="11">
        <f t="shared" si="35"/>
        <v>11</v>
      </c>
      <c r="C202" s="11">
        <f t="shared" si="36"/>
        <v>9</v>
      </c>
      <c r="D202" s="12">
        <f t="shared" si="29"/>
        <v>477200</v>
      </c>
      <c r="E202" s="11" t="str">
        <f t="shared" si="30"/>
        <v>24/25</v>
      </c>
      <c r="F202" s="11" t="str">
        <f t="shared" si="31"/>
        <v>Jun</v>
      </c>
      <c r="G202" s="11" t="str">
        <f t="shared" si="32"/>
        <v>Jun'24/25</v>
      </c>
      <c r="H202" s="11" t="str">
        <f t="shared" si="33"/>
        <v>Jun'24/25</v>
      </c>
      <c r="I202" s="11">
        <f t="shared" si="34"/>
        <v>6.7051059999999998</v>
      </c>
    </row>
    <row r="203" spans="2:9" x14ac:dyDescent="0.55000000000000004">
      <c r="B203" s="11">
        <f t="shared" si="35"/>
        <v>11</v>
      </c>
      <c r="C203" s="11">
        <f t="shared" si="36"/>
        <v>10</v>
      </c>
      <c r="D203" s="12">
        <f t="shared" ref="D203:D229" si="37">INDEX($C$7:$N$19,MATCH(B203,$A$7:$A$19),MATCH(C203,$C$4:$N$4))</f>
        <v>461625</v>
      </c>
      <c r="E203" s="11" t="str">
        <f t="shared" ref="E203:E229" si="38">_xlfn.XLOOKUP(B203,$A$7:$A$19,$B$7:$B$19)</f>
        <v>24/25</v>
      </c>
      <c r="F203" s="11" t="str">
        <f t="shared" ref="F203:F229" si="39">_xlfn.XLOOKUP(C203,$C$4:$N$4,$C$6:$N$6)</f>
        <v>Jul</v>
      </c>
      <c r="G203" s="11" t="str">
        <f t="shared" ref="G203:G229" si="40">_xlfn.CONCAT(F203,"'",E203)</f>
        <v>Jul'24/25</v>
      </c>
      <c r="H203" s="11" t="str">
        <f t="shared" si="33"/>
        <v>Jul'24/25</v>
      </c>
      <c r="I203" s="11">
        <f t="shared" si="34"/>
        <v>6.2640940000000001</v>
      </c>
    </row>
    <row r="204" spans="2:9" x14ac:dyDescent="0.55000000000000004">
      <c r="B204" s="11">
        <f t="shared" si="35"/>
        <v>11</v>
      </c>
      <c r="C204" s="11">
        <f t="shared" si="36"/>
        <v>11</v>
      </c>
      <c r="D204" s="12">
        <f t="shared" si="37"/>
        <v>621010</v>
      </c>
      <c r="E204" s="11" t="str">
        <f t="shared" si="38"/>
        <v>24/25</v>
      </c>
      <c r="F204" s="11" t="str">
        <f t="shared" si="39"/>
        <v>Aug</v>
      </c>
      <c r="G204" s="11" t="str">
        <f t="shared" si="40"/>
        <v>Aug'24/25</v>
      </c>
      <c r="H204" s="11" t="str">
        <f t="shared" si="33"/>
        <v>Aug'24/25</v>
      </c>
      <c r="I204" s="11">
        <f t="shared" si="34"/>
        <v>5.9400570000000004</v>
      </c>
    </row>
    <row r="205" spans="2:9" x14ac:dyDescent="0.55000000000000004">
      <c r="B205" s="11">
        <f t="shared" si="35"/>
        <v>11</v>
      </c>
      <c r="C205" s="11">
        <f t="shared" si="36"/>
        <v>12</v>
      </c>
      <c r="D205" s="12">
        <f t="shared" si="37"/>
        <v>493018</v>
      </c>
      <c r="E205" s="11" t="str">
        <f t="shared" si="38"/>
        <v>24/25</v>
      </c>
      <c r="F205" s="11" t="str">
        <f t="shared" si="39"/>
        <v>Sep</v>
      </c>
      <c r="G205" s="11" t="str">
        <f t="shared" si="40"/>
        <v>Sep'24/25</v>
      </c>
      <c r="H205" s="11" t="str">
        <f t="shared" si="33"/>
        <v>Sep'24/25</v>
      </c>
      <c r="I205" s="11">
        <f t="shared" si="34"/>
        <v>5.5020829999999998</v>
      </c>
    </row>
    <row r="206" spans="2:9" x14ac:dyDescent="0.55000000000000004">
      <c r="B206" s="11">
        <f t="shared" si="35"/>
        <v>12</v>
      </c>
      <c r="C206" s="11">
        <f t="shared" si="36"/>
        <v>1</v>
      </c>
      <c r="D206" s="12">
        <f t="shared" si="37"/>
        <v>448556</v>
      </c>
      <c r="E206" s="11" t="str">
        <f t="shared" si="38"/>
        <v>25/26</v>
      </c>
      <c r="F206" s="11" t="str">
        <f t="shared" si="39"/>
        <v>Oct</v>
      </c>
      <c r="G206" s="11" t="str">
        <f t="shared" si="40"/>
        <v>Oct'25/26</v>
      </c>
      <c r="H206" s="11" t="str">
        <f t="shared" si="33"/>
        <v>Oct'25/26</v>
      </c>
      <c r="I206" s="11">
        <f t="shared" si="34"/>
        <v>5.0277260000000004</v>
      </c>
    </row>
    <row r="207" spans="2:9" x14ac:dyDescent="0.55000000000000004">
      <c r="B207" s="11">
        <f t="shared" si="35"/>
        <v>12</v>
      </c>
      <c r="C207" s="11">
        <f t="shared" si="36"/>
        <v>2</v>
      </c>
      <c r="D207" s="12">
        <f t="shared" si="37"/>
        <v>259323</v>
      </c>
      <c r="E207" s="11" t="str">
        <f t="shared" si="38"/>
        <v>25/26</v>
      </c>
      <c r="F207" s="11" t="str">
        <f t="shared" si="39"/>
        <v>Nov</v>
      </c>
      <c r="G207" s="11" t="str">
        <f t="shared" si="40"/>
        <v>Nov'25/26</v>
      </c>
      <c r="H207" s="11" t="str">
        <f t="shared" si="33"/>
        <v>Nov'25/26</v>
      </c>
      <c r="I207" s="11">
        <f t="shared" si="34"/>
        <v>4.5728429999999998</v>
      </c>
    </row>
    <row r="208" spans="2:9" x14ac:dyDescent="0.55000000000000004">
      <c r="B208" s="11">
        <f t="shared" si="35"/>
        <v>12</v>
      </c>
      <c r="C208" s="11">
        <f t="shared" si="36"/>
        <v>3</v>
      </c>
      <c r="D208" s="12">
        <f t="shared" si="37"/>
        <v>222147</v>
      </c>
      <c r="E208" s="11" t="str">
        <f t="shared" si="38"/>
        <v>25/26</v>
      </c>
      <c r="F208" s="11" t="str">
        <f t="shared" si="39"/>
        <v>Dec</v>
      </c>
      <c r="G208" s="11" t="str">
        <f t="shared" si="40"/>
        <v>Dec'25/26</v>
      </c>
      <c r="H208" s="11" t="str">
        <f t="shared" si="33"/>
        <v>Dec'25/26</v>
      </c>
      <c r="I208" s="11">
        <f t="shared" si="34"/>
        <v>3.99499</v>
      </c>
    </row>
    <row r="209" spans="2:9" x14ac:dyDescent="0.55000000000000004">
      <c r="B209" s="11">
        <f t="shared" si="35"/>
        <v>12</v>
      </c>
      <c r="C209" s="11">
        <f t="shared" si="36"/>
        <v>4</v>
      </c>
      <c r="D209" s="12">
        <f t="shared" si="37"/>
        <v>182225</v>
      </c>
      <c r="E209" s="11" t="str">
        <f t="shared" si="38"/>
        <v>25/26</v>
      </c>
      <c r="F209" s="11" t="str">
        <f t="shared" si="39"/>
        <v>Jan</v>
      </c>
      <c r="G209" s="11" t="str">
        <f t="shared" si="40"/>
        <v>Jan'25/26</v>
      </c>
      <c r="H209" s="11" t="str">
        <f t="shared" si="33"/>
        <v>Jan'25/26</v>
      </c>
      <c r="I209" s="11">
        <f t="shared" si="34"/>
        <v>3.8434140000000001</v>
      </c>
    </row>
    <row r="210" spans="2:9" x14ac:dyDescent="0.55000000000000004">
      <c r="B210" s="11">
        <f t="shared" si="35"/>
        <v>12</v>
      </c>
      <c r="C210" s="11">
        <f t="shared" si="36"/>
        <v>5</v>
      </c>
      <c r="D210" s="12">
        <f t="shared" si="37"/>
        <v>230555</v>
      </c>
      <c r="E210" s="11" t="str">
        <f t="shared" si="38"/>
        <v>25/26</v>
      </c>
      <c r="F210" s="11" t="str">
        <f t="shared" si="39"/>
        <v>Feb</v>
      </c>
      <c r="G210" s="11" t="str">
        <f t="shared" si="40"/>
        <v>Feb'25/26</v>
      </c>
      <c r="H210" s="11" t="str">
        <f t="shared" si="33"/>
        <v>Feb'25/26</v>
      </c>
      <c r="I210" s="11">
        <f t="shared" si="34"/>
        <v>3.8431839999999999</v>
      </c>
    </row>
    <row r="211" spans="2:9" x14ac:dyDescent="0.55000000000000004">
      <c r="B211" s="11">
        <f t="shared" si="35"/>
        <v>12</v>
      </c>
      <c r="C211" s="11">
        <f t="shared" si="36"/>
        <v>6</v>
      </c>
      <c r="D211" s="12">
        <f t="shared" si="37"/>
        <v>373858</v>
      </c>
      <c r="E211" s="11" t="str">
        <f t="shared" si="38"/>
        <v>25/26</v>
      </c>
      <c r="F211" s="11" t="str">
        <f t="shared" si="39"/>
        <v>Mar</v>
      </c>
      <c r="G211" s="11" t="str">
        <f t="shared" si="40"/>
        <v>Mar'25/26</v>
      </c>
      <c r="H211" s="11" t="str">
        <f t="shared" si="33"/>
        <v>Mar'25/26</v>
      </c>
      <c r="I211" s="11">
        <f t="shared" si="34"/>
        <v>4.0780399999999997</v>
      </c>
    </row>
    <row r="212" spans="2:9" x14ac:dyDescent="0.55000000000000004">
      <c r="B212" s="11">
        <f t="shared" si="35"/>
        <v>12</v>
      </c>
      <c r="C212" s="11">
        <f t="shared" si="36"/>
        <v>7</v>
      </c>
      <c r="D212" s="12">
        <f t="shared" si="37"/>
        <v>501403</v>
      </c>
      <c r="E212" s="11" t="str">
        <f t="shared" si="38"/>
        <v>25/26</v>
      </c>
      <c r="F212" s="11" t="str">
        <f t="shared" si="39"/>
        <v>Apr</v>
      </c>
      <c r="G212" s="11" t="str">
        <f t="shared" si="40"/>
        <v>Apr'25/26</v>
      </c>
      <c r="H212" s="11" t="str">
        <f t="shared" si="33"/>
        <v>Apr'25/26</v>
      </c>
      <c r="I212" s="11">
        <f t="shared" si="34"/>
        <v>4.4746059999999996</v>
      </c>
    </row>
    <row r="213" spans="2:9" x14ac:dyDescent="0.55000000000000004">
      <c r="B213" s="11">
        <f t="shared" si="35"/>
        <v>12</v>
      </c>
      <c r="C213" s="11">
        <f t="shared" si="36"/>
        <v>8</v>
      </c>
      <c r="D213" s="12">
        <f t="shared" si="37"/>
        <v>603995</v>
      </c>
      <c r="E213" s="11" t="str">
        <f t="shared" si="38"/>
        <v>25/26</v>
      </c>
      <c r="F213" s="11" t="str">
        <f t="shared" si="39"/>
        <v>May</v>
      </c>
      <c r="G213" s="11" t="str">
        <f t="shared" si="40"/>
        <v>May'25/26</v>
      </c>
      <c r="H213" s="11" t="str">
        <f t="shared" si="33"/>
        <v>May'25/26</v>
      </c>
      <c r="I213" s="11">
        <f t="shared" si="34"/>
        <v>4.8749149999999997</v>
      </c>
    </row>
    <row r="214" spans="2:9" x14ac:dyDescent="0.55000000000000004">
      <c r="B214" s="11">
        <f t="shared" si="35"/>
        <v>12</v>
      </c>
      <c r="C214" s="11">
        <f t="shared" si="36"/>
        <v>9</v>
      </c>
      <c r="D214" s="12">
        <f t="shared" si="37"/>
        <v>643659</v>
      </c>
      <c r="E214" s="11" t="str">
        <f t="shared" si="38"/>
        <v>25/26</v>
      </c>
      <c r="F214" s="11" t="str">
        <f t="shared" si="39"/>
        <v>Jun</v>
      </c>
      <c r="G214" s="11" t="str">
        <f t="shared" si="40"/>
        <v>Jun'25/26</v>
      </c>
      <c r="H214" s="11" t="str">
        <f t="shared" ref="H214:H229" si="41">G214</f>
        <v>Jun'25/26</v>
      </c>
      <c r="I214" s="11">
        <f t="shared" ref="I214:I229" si="42">SUM(D203:D214)/1000000</f>
        <v>5.0413740000000002</v>
      </c>
    </row>
    <row r="215" spans="2:9" x14ac:dyDescent="0.55000000000000004">
      <c r="B215" s="11">
        <f t="shared" ref="B215:B229" si="43">B203+1</f>
        <v>12</v>
      </c>
      <c r="C215" s="11">
        <f t="shared" ref="C215:C229" si="44">C203</f>
        <v>10</v>
      </c>
      <c r="D215" s="12">
        <f t="shared" si="37"/>
        <v>461625</v>
      </c>
      <c r="E215" s="11" t="str">
        <f t="shared" si="38"/>
        <v>25/26</v>
      </c>
      <c r="F215" s="11" t="str">
        <f t="shared" si="39"/>
        <v>Jul</v>
      </c>
      <c r="G215" s="11" t="str">
        <f t="shared" si="40"/>
        <v>Jul'25/26</v>
      </c>
      <c r="H215" s="11" t="str">
        <f t="shared" si="41"/>
        <v>Jul'25/26</v>
      </c>
      <c r="I215" s="11">
        <f t="shared" si="42"/>
        <v>5.0413740000000002</v>
      </c>
    </row>
    <row r="216" spans="2:9" x14ac:dyDescent="0.55000000000000004">
      <c r="B216" s="11">
        <f t="shared" si="43"/>
        <v>12</v>
      </c>
      <c r="C216" s="11">
        <f t="shared" si="44"/>
        <v>11</v>
      </c>
      <c r="D216" s="12">
        <f t="shared" si="37"/>
        <v>962607</v>
      </c>
      <c r="E216" s="11" t="str">
        <f t="shared" si="38"/>
        <v>25/26</v>
      </c>
      <c r="F216" s="11" t="str">
        <f t="shared" si="39"/>
        <v>Aug</v>
      </c>
      <c r="G216" s="11" t="str">
        <f t="shared" si="40"/>
        <v>Aug'25/26</v>
      </c>
      <c r="H216" s="11" t="str">
        <f t="shared" si="41"/>
        <v>Aug'25/26</v>
      </c>
      <c r="I216" s="11">
        <f t="shared" si="42"/>
        <v>5.3829710000000004</v>
      </c>
    </row>
    <row r="217" spans="2:9" x14ac:dyDescent="0.55000000000000004">
      <c r="B217" s="11">
        <f t="shared" si="43"/>
        <v>12</v>
      </c>
      <c r="C217" s="11">
        <f t="shared" si="44"/>
        <v>12</v>
      </c>
      <c r="D217" s="12">
        <f t="shared" si="37"/>
        <v>813904</v>
      </c>
      <c r="E217" s="11" t="str">
        <f t="shared" si="38"/>
        <v>25/26</v>
      </c>
      <c r="F217" s="11" t="str">
        <f t="shared" si="39"/>
        <v>Sep</v>
      </c>
      <c r="G217" s="11" t="str">
        <f t="shared" si="40"/>
        <v>Sep'25/26</v>
      </c>
      <c r="H217" s="11" t="str">
        <f t="shared" si="41"/>
        <v>Sep'25/26</v>
      </c>
      <c r="I217" s="11">
        <f t="shared" si="42"/>
        <v>5.7038570000000002</v>
      </c>
    </row>
    <row r="218" spans="2:9" x14ac:dyDescent="0.55000000000000004">
      <c r="B218" s="11">
        <f t="shared" si="43"/>
        <v>13</v>
      </c>
      <c r="C218" s="11">
        <f t="shared" si="44"/>
        <v>1</v>
      </c>
      <c r="D218" s="12" t="e">
        <f t="shared" si="37"/>
        <v>#N/A</v>
      </c>
      <c r="E218" s="11" t="str">
        <f t="shared" si="38"/>
        <v>26/27</v>
      </c>
      <c r="F218" s="11" t="str">
        <f t="shared" si="39"/>
        <v>Oct</v>
      </c>
      <c r="G218" s="11" t="str">
        <f t="shared" si="40"/>
        <v>Oct'26/27</v>
      </c>
      <c r="H218" s="11" t="str">
        <f t="shared" si="41"/>
        <v>Oct'26/27</v>
      </c>
      <c r="I218" s="11" t="e">
        <f t="shared" si="42"/>
        <v>#N/A</v>
      </c>
    </row>
    <row r="219" spans="2:9" x14ac:dyDescent="0.55000000000000004">
      <c r="B219" s="11">
        <f t="shared" si="43"/>
        <v>13</v>
      </c>
      <c r="C219" s="11">
        <f t="shared" si="44"/>
        <v>2</v>
      </c>
      <c r="D219" s="12" t="e">
        <f t="shared" si="37"/>
        <v>#N/A</v>
      </c>
      <c r="E219" s="11" t="str">
        <f t="shared" si="38"/>
        <v>26/27</v>
      </c>
      <c r="F219" s="11" t="str">
        <f t="shared" si="39"/>
        <v>Nov</v>
      </c>
      <c r="G219" s="11" t="str">
        <f t="shared" si="40"/>
        <v>Nov'26/27</v>
      </c>
      <c r="H219" s="11" t="str">
        <f t="shared" si="41"/>
        <v>Nov'26/27</v>
      </c>
      <c r="I219" s="11" t="e">
        <f t="shared" si="42"/>
        <v>#N/A</v>
      </c>
    </row>
    <row r="220" spans="2:9" x14ac:dyDescent="0.55000000000000004">
      <c r="B220" s="11">
        <f t="shared" si="43"/>
        <v>13</v>
      </c>
      <c r="C220" s="11">
        <f t="shared" si="44"/>
        <v>3</v>
      </c>
      <c r="D220" s="12" t="e">
        <f t="shared" si="37"/>
        <v>#N/A</v>
      </c>
      <c r="E220" s="11" t="str">
        <f t="shared" si="38"/>
        <v>26/27</v>
      </c>
      <c r="F220" s="11" t="str">
        <f t="shared" si="39"/>
        <v>Dec</v>
      </c>
      <c r="G220" s="11" t="str">
        <f t="shared" si="40"/>
        <v>Dec'26/27</v>
      </c>
      <c r="H220" s="11" t="str">
        <f t="shared" si="41"/>
        <v>Dec'26/27</v>
      </c>
      <c r="I220" s="11" t="e">
        <f t="shared" si="42"/>
        <v>#N/A</v>
      </c>
    </row>
    <row r="221" spans="2:9" x14ac:dyDescent="0.55000000000000004">
      <c r="B221" s="11">
        <f t="shared" si="43"/>
        <v>13</v>
      </c>
      <c r="C221" s="11">
        <f t="shared" si="44"/>
        <v>4</v>
      </c>
      <c r="D221" s="12" t="e">
        <f t="shared" si="37"/>
        <v>#N/A</v>
      </c>
      <c r="E221" s="11" t="str">
        <f t="shared" si="38"/>
        <v>26/27</v>
      </c>
      <c r="F221" s="11" t="str">
        <f t="shared" si="39"/>
        <v>Jan</v>
      </c>
      <c r="G221" s="11" t="str">
        <f t="shared" si="40"/>
        <v>Jan'26/27</v>
      </c>
      <c r="H221" s="11" t="str">
        <f t="shared" si="41"/>
        <v>Jan'26/27</v>
      </c>
      <c r="I221" s="11" t="e">
        <f t="shared" si="42"/>
        <v>#N/A</v>
      </c>
    </row>
    <row r="222" spans="2:9" x14ac:dyDescent="0.55000000000000004">
      <c r="B222" s="11">
        <f t="shared" si="43"/>
        <v>13</v>
      </c>
      <c r="C222" s="11">
        <f t="shared" si="44"/>
        <v>5</v>
      </c>
      <c r="D222" s="12" t="e">
        <f t="shared" si="37"/>
        <v>#N/A</v>
      </c>
      <c r="E222" s="11" t="str">
        <f t="shared" si="38"/>
        <v>26/27</v>
      </c>
      <c r="F222" s="11" t="str">
        <f t="shared" si="39"/>
        <v>Feb</v>
      </c>
      <c r="G222" s="11" t="str">
        <f t="shared" si="40"/>
        <v>Feb'26/27</v>
      </c>
      <c r="H222" s="11" t="str">
        <f t="shared" si="41"/>
        <v>Feb'26/27</v>
      </c>
      <c r="I222" s="11" t="e">
        <f t="shared" si="42"/>
        <v>#N/A</v>
      </c>
    </row>
    <row r="223" spans="2:9" x14ac:dyDescent="0.55000000000000004">
      <c r="B223" s="11">
        <f t="shared" si="43"/>
        <v>13</v>
      </c>
      <c r="C223" s="11">
        <f t="shared" si="44"/>
        <v>6</v>
      </c>
      <c r="D223" s="12" t="e">
        <f t="shared" si="37"/>
        <v>#N/A</v>
      </c>
      <c r="E223" s="11" t="str">
        <f t="shared" si="38"/>
        <v>26/27</v>
      </c>
      <c r="F223" s="11" t="str">
        <f t="shared" si="39"/>
        <v>Mar</v>
      </c>
      <c r="G223" s="11" t="str">
        <f t="shared" si="40"/>
        <v>Mar'26/27</v>
      </c>
      <c r="H223" s="11" t="str">
        <f t="shared" si="41"/>
        <v>Mar'26/27</v>
      </c>
      <c r="I223" s="11" t="e">
        <f t="shared" si="42"/>
        <v>#N/A</v>
      </c>
    </row>
    <row r="224" spans="2:9" x14ac:dyDescent="0.55000000000000004">
      <c r="B224" s="11">
        <f t="shared" si="43"/>
        <v>13</v>
      </c>
      <c r="C224" s="11">
        <f t="shared" si="44"/>
        <v>7</v>
      </c>
      <c r="D224" s="12" t="e">
        <f t="shared" si="37"/>
        <v>#N/A</v>
      </c>
      <c r="E224" s="11" t="str">
        <f t="shared" si="38"/>
        <v>26/27</v>
      </c>
      <c r="F224" s="11" t="str">
        <f t="shared" si="39"/>
        <v>Apr</v>
      </c>
      <c r="G224" s="11" t="str">
        <f t="shared" si="40"/>
        <v>Apr'26/27</v>
      </c>
      <c r="H224" s="11" t="str">
        <f t="shared" si="41"/>
        <v>Apr'26/27</v>
      </c>
      <c r="I224" s="11" t="e">
        <f t="shared" si="42"/>
        <v>#N/A</v>
      </c>
    </row>
    <row r="225" spans="2:9" x14ac:dyDescent="0.55000000000000004">
      <c r="B225" s="11">
        <f t="shared" si="43"/>
        <v>13</v>
      </c>
      <c r="C225" s="11">
        <f t="shared" si="44"/>
        <v>8</v>
      </c>
      <c r="D225" s="12" t="e">
        <f t="shared" si="37"/>
        <v>#N/A</v>
      </c>
      <c r="E225" s="11" t="str">
        <f t="shared" si="38"/>
        <v>26/27</v>
      </c>
      <c r="F225" s="11" t="str">
        <f t="shared" si="39"/>
        <v>May</v>
      </c>
      <c r="G225" s="11" t="str">
        <f t="shared" si="40"/>
        <v>May'26/27</v>
      </c>
      <c r="H225" s="11" t="str">
        <f t="shared" si="41"/>
        <v>May'26/27</v>
      </c>
      <c r="I225" s="11" t="e">
        <f t="shared" si="42"/>
        <v>#N/A</v>
      </c>
    </row>
    <row r="226" spans="2:9" x14ac:dyDescent="0.55000000000000004">
      <c r="B226" s="11">
        <f t="shared" si="43"/>
        <v>13</v>
      </c>
      <c r="C226" s="11">
        <f t="shared" si="44"/>
        <v>9</v>
      </c>
      <c r="D226" s="12" t="e">
        <f t="shared" si="37"/>
        <v>#N/A</v>
      </c>
      <c r="E226" s="11" t="str">
        <f t="shared" si="38"/>
        <v>26/27</v>
      </c>
      <c r="F226" s="11" t="str">
        <f t="shared" si="39"/>
        <v>Jun</v>
      </c>
      <c r="G226" s="11" t="str">
        <f t="shared" si="40"/>
        <v>Jun'26/27</v>
      </c>
      <c r="H226" s="11" t="str">
        <f t="shared" si="41"/>
        <v>Jun'26/27</v>
      </c>
      <c r="I226" s="11" t="e">
        <f t="shared" si="42"/>
        <v>#N/A</v>
      </c>
    </row>
    <row r="227" spans="2:9" x14ac:dyDescent="0.55000000000000004">
      <c r="B227" s="11">
        <f t="shared" si="43"/>
        <v>13</v>
      </c>
      <c r="C227" s="11">
        <f t="shared" si="44"/>
        <v>10</v>
      </c>
      <c r="D227" s="12" t="e">
        <f t="shared" si="37"/>
        <v>#N/A</v>
      </c>
      <c r="E227" s="11" t="str">
        <f t="shared" si="38"/>
        <v>26/27</v>
      </c>
      <c r="F227" s="11" t="str">
        <f t="shared" si="39"/>
        <v>Jul</v>
      </c>
      <c r="G227" s="11" t="str">
        <f t="shared" si="40"/>
        <v>Jul'26/27</v>
      </c>
      <c r="H227" s="11" t="str">
        <f t="shared" si="41"/>
        <v>Jul'26/27</v>
      </c>
      <c r="I227" s="11" t="e">
        <f t="shared" si="42"/>
        <v>#N/A</v>
      </c>
    </row>
    <row r="228" spans="2:9" x14ac:dyDescent="0.55000000000000004">
      <c r="B228" s="11">
        <f t="shared" si="43"/>
        <v>13</v>
      </c>
      <c r="C228" s="11">
        <f t="shared" si="44"/>
        <v>11</v>
      </c>
      <c r="D228" s="12" t="e">
        <f t="shared" si="37"/>
        <v>#N/A</v>
      </c>
      <c r="E228" s="11" t="str">
        <f t="shared" si="38"/>
        <v>26/27</v>
      </c>
      <c r="F228" s="11" t="str">
        <f t="shared" si="39"/>
        <v>Aug</v>
      </c>
      <c r="G228" s="11" t="str">
        <f t="shared" si="40"/>
        <v>Aug'26/27</v>
      </c>
      <c r="H228" s="11" t="str">
        <f t="shared" si="41"/>
        <v>Aug'26/27</v>
      </c>
      <c r="I228" s="11" t="e">
        <f t="shared" si="42"/>
        <v>#N/A</v>
      </c>
    </row>
    <row r="229" spans="2:9" x14ac:dyDescent="0.55000000000000004">
      <c r="B229" s="11">
        <f t="shared" si="43"/>
        <v>13</v>
      </c>
      <c r="C229" s="11">
        <f t="shared" si="44"/>
        <v>12</v>
      </c>
      <c r="D229" s="12" t="e">
        <f t="shared" si="37"/>
        <v>#N/A</v>
      </c>
      <c r="E229" s="11" t="str">
        <f t="shared" si="38"/>
        <v>26/27</v>
      </c>
      <c r="F229" s="11" t="str">
        <f t="shared" si="39"/>
        <v>Sep</v>
      </c>
      <c r="G229" s="11" t="str">
        <f t="shared" si="40"/>
        <v>Sep'26/27</v>
      </c>
      <c r="H229" s="11" t="str">
        <f t="shared" si="41"/>
        <v>Sep'26/27</v>
      </c>
      <c r="I229" s="11" t="e">
        <f t="shared" si="42"/>
        <v>#N/A</v>
      </c>
    </row>
  </sheetData>
  <mergeCells count="4">
    <mergeCell ref="A1:Y2"/>
    <mergeCell ref="C5:N5"/>
    <mergeCell ref="S6:U6"/>
    <mergeCell ref="N74:Y74"/>
  </mergeCells>
  <conditionalFormatting sqref="C7:N19">
    <cfRule type="cellIs" dxfId="0" priority="1" operator="greaterThanOrEqual">
      <formula>0</formula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{A17095CD-960D-47D1-A86E-760BF4C23944}</x14:id>
        </ext>
      </extLst>
    </cfRule>
  </conditionalFormatting>
  <conditionalFormatting sqref="Q17:Q1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{EAC3CFD2-FD1C-493B-8A9F-A74D2B17C54C}</x14:id>
        </ext>
      </extLst>
    </cfRule>
  </conditionalFormatting>
  <conditionalFormatting sqref="T7:T19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{FBF015C7-9FC4-494E-8285-99FEF1F47ED2}</x14:id>
        </ext>
      </extLst>
    </cfRule>
  </conditionalFormatting>
  <conditionalFormatting sqref="U18:U1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{05150857-88C4-4ED8-B569-5AD57595753E}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7095CD-960D-47D1-A86E-760BF4C239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Q8:Q16</xm:sqref>
        </x14:conditionalFormatting>
        <x14:conditionalFormatting xmlns:xm="http://schemas.microsoft.com/office/excel/2006/main">
          <x14:cfRule type="dataBar" id="{EAC3CFD2-FD1C-493B-8A9F-A74D2B17C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Q17:Q19</xm:sqref>
        </x14:conditionalFormatting>
        <x14:conditionalFormatting xmlns:xm="http://schemas.microsoft.com/office/excel/2006/main">
          <x14:cfRule type="dataBar" id="{FBF015C7-9FC4-494E-8285-99FEF1F47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U8:U17</xm:sqref>
        </x14:conditionalFormatting>
        <x14:conditionalFormatting xmlns:xm="http://schemas.microsoft.com/office/excel/2006/main">
          <x14:cfRule type="dataBar" id="{05150857-88C4-4ED8-B569-5AD5759575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U18:U19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6796-78F7-4698-869C-5A7097F9D295}">
  <sheetPr codeName="Sheet9"/>
  <dimension ref="A1:AI229"/>
  <sheetViews>
    <sheetView showGridLines="0" zoomScale="70" zoomScaleNormal="70" workbookViewId="0">
      <selection activeCell="B6" sqref="B6:N18"/>
    </sheetView>
  </sheetViews>
  <sheetFormatPr defaultColWidth="8.83984375" defaultRowHeight="14.4" x14ac:dyDescent="0.55000000000000004"/>
  <cols>
    <col min="1" max="16384" width="8.83984375" style="11"/>
  </cols>
  <sheetData>
    <row r="1" spans="1:35" s="17" customFormat="1" ht="25.8" x14ac:dyDescent="0.55000000000000004">
      <c r="A1" s="73" t="s">
        <v>49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Oct-Apr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Indonesia : Robusta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Oct-Apr</v>
      </c>
      <c r="T6" s="75"/>
      <c r="U6" s="75"/>
    </row>
    <row r="7" spans="1:35" x14ac:dyDescent="0.55000000000000004">
      <c r="A7" s="14">
        <v>1</v>
      </c>
      <c r="B7" s="6" t="s">
        <v>15</v>
      </c>
      <c r="C7" s="23" t="e">
        <f>NA()</f>
        <v>#N/A</v>
      </c>
      <c r="D7" s="23" t="e">
        <f>NA()</f>
        <v>#N/A</v>
      </c>
      <c r="E7" s="23" t="e">
        <f>NA()</f>
        <v>#N/A</v>
      </c>
      <c r="F7" s="23" t="e">
        <f>NA()</f>
        <v>#N/A</v>
      </c>
      <c r="G7" s="23" t="e">
        <f>NA()</f>
        <v>#N/A</v>
      </c>
      <c r="H7" s="23" t="e">
        <f>NA()</f>
        <v>#N/A</v>
      </c>
      <c r="I7" s="23" t="e">
        <f>NA()</f>
        <v>#N/A</v>
      </c>
      <c r="J7" s="23" t="e">
        <f>NA()</f>
        <v>#N/A</v>
      </c>
      <c r="K7" s="23" t="e">
        <f>NA()</f>
        <v>#N/A</v>
      </c>
      <c r="L7" s="23" t="e">
        <f>NA()</f>
        <v>#N/A</v>
      </c>
      <c r="M7" s="23" t="e">
        <f>NA()</f>
        <v>#N/A</v>
      </c>
      <c r="N7" s="23" t="e">
        <f>NA()</f>
        <v>#N/A</v>
      </c>
      <c r="O7" s="6" t="s">
        <v>15</v>
      </c>
      <c r="P7" s="20" t="str">
        <f t="shared" ref="P7:P19" si="0">IF(COUNT(C7:N7)=12,SUM(C7:N7),"")</f>
        <v/>
      </c>
      <c r="Q7" s="2"/>
      <c r="R7" s="2"/>
      <c r="S7" s="6" t="s">
        <v>15</v>
      </c>
      <c r="T7" s="20" t="str">
        <f ca="1">IFERROR(IF(SUM(OFFSET(C7,0,0,1,$C$56))=0,"",SUM(OFFSET(C7,0,0,1,$C$56))),"")</f>
        <v/>
      </c>
      <c r="U7" s="2"/>
    </row>
    <row r="8" spans="1:35" x14ac:dyDescent="0.55000000000000004">
      <c r="A8" s="14">
        <v>2</v>
      </c>
      <c r="B8" s="6" t="s">
        <v>16</v>
      </c>
      <c r="C8" s="23">
        <v>935904.21866666677</v>
      </c>
      <c r="D8" s="23">
        <v>575197.81083333329</v>
      </c>
      <c r="E8" s="23">
        <v>527445.35824666661</v>
      </c>
      <c r="F8" s="23">
        <v>482040.49646666681</v>
      </c>
      <c r="G8" s="23">
        <v>489518.71915333346</v>
      </c>
      <c r="H8" s="23">
        <v>374154.8018983333</v>
      </c>
      <c r="I8" s="23">
        <v>361813.29736000014</v>
      </c>
      <c r="J8" s="23">
        <v>372577.8278883333</v>
      </c>
      <c r="K8" s="23">
        <v>497743.49208</v>
      </c>
      <c r="L8" s="23">
        <v>540506.12930833339</v>
      </c>
      <c r="M8" s="23">
        <v>788405.83973999997</v>
      </c>
      <c r="N8" s="23">
        <v>769884.04099000001</v>
      </c>
      <c r="O8" s="6" t="s">
        <v>16</v>
      </c>
      <c r="P8" s="20">
        <f t="shared" si="0"/>
        <v>6715192.0326316664</v>
      </c>
      <c r="Q8" s="7" t="str">
        <f t="shared" ref="Q8:Q16" si="1">IFERROR(P8/P7-1,"")</f>
        <v/>
      </c>
      <c r="R8" s="2"/>
      <c r="S8" s="6" t="s">
        <v>16</v>
      </c>
      <c r="T8" s="20">
        <f t="shared" ref="T8:T19" ca="1" si="2">IFERROR(IF(SUM(OFFSET(C8,0,0,1,$C$56))=0,"",SUM(OFFSET(C8,0,0,1,$C$56))),"")</f>
        <v>3746074.7026250004</v>
      </c>
      <c r="U8" s="7" t="str">
        <f t="shared" ref="U8:U18" ca="1" si="3">IFERROR(T8/T7-1,"")</f>
        <v/>
      </c>
    </row>
    <row r="9" spans="1:35" x14ac:dyDescent="0.55000000000000004">
      <c r="A9" s="14">
        <v>3</v>
      </c>
      <c r="B9" s="6" t="s">
        <v>17</v>
      </c>
      <c r="C9" s="23">
        <v>956680.75160166668</v>
      </c>
      <c r="D9" s="23">
        <v>833812.70455333323</v>
      </c>
      <c r="E9" s="23">
        <v>793334.73575000023</v>
      </c>
      <c r="F9" s="23">
        <v>626208.33537666663</v>
      </c>
      <c r="G9" s="23">
        <v>594761.93521000003</v>
      </c>
      <c r="H9" s="23">
        <v>590018.07886833348</v>
      </c>
      <c r="I9" s="23">
        <v>594851.78939333337</v>
      </c>
      <c r="J9" s="23">
        <v>753105.98493333336</v>
      </c>
      <c r="K9" s="23">
        <v>731923.37046666665</v>
      </c>
      <c r="L9" s="23">
        <v>1063779.7744</v>
      </c>
      <c r="M9" s="23">
        <v>914211.57449999999</v>
      </c>
      <c r="N9" s="23">
        <v>681923.75361666665</v>
      </c>
      <c r="O9" s="6" t="s">
        <v>17</v>
      </c>
      <c r="P9" s="20">
        <f t="shared" si="0"/>
        <v>9134612.7886699997</v>
      </c>
      <c r="Q9" s="7">
        <f t="shared" si="1"/>
        <v>0.36029062821754754</v>
      </c>
      <c r="R9" s="2"/>
      <c r="S9" s="6" t="s">
        <v>17</v>
      </c>
      <c r="T9" s="20">
        <f t="shared" ca="1" si="2"/>
        <v>4989668.3307533339</v>
      </c>
      <c r="U9" s="7">
        <f t="shared" ca="1" si="3"/>
        <v>0.33197245833269307</v>
      </c>
    </row>
    <row r="10" spans="1:35" x14ac:dyDescent="0.55000000000000004">
      <c r="A10" s="14">
        <v>4</v>
      </c>
      <c r="B10" s="6" t="s">
        <v>18</v>
      </c>
      <c r="C10" s="23">
        <v>734190.88839333341</v>
      </c>
      <c r="D10" s="23">
        <v>508007.99922500004</v>
      </c>
      <c r="E10" s="23">
        <v>401581.04844166659</v>
      </c>
      <c r="F10" s="23">
        <v>329097.88410000008</v>
      </c>
      <c r="G10" s="23">
        <v>292241.65825833339</v>
      </c>
      <c r="H10" s="23">
        <v>349448.40274166659</v>
      </c>
      <c r="I10" s="23">
        <v>315454.69800833339</v>
      </c>
      <c r="J10" s="23">
        <v>405393.36304166663</v>
      </c>
      <c r="K10" s="23">
        <v>349001.01218333322</v>
      </c>
      <c r="L10" s="23">
        <v>535174.51707499998</v>
      </c>
      <c r="M10" s="23">
        <v>516199.76455000008</v>
      </c>
      <c r="N10" s="23">
        <v>462006.61928500014</v>
      </c>
      <c r="O10" s="6" t="s">
        <v>18</v>
      </c>
      <c r="P10" s="20">
        <f t="shared" si="0"/>
        <v>5197797.855303335</v>
      </c>
      <c r="Q10" s="7">
        <f t="shared" si="1"/>
        <v>-0.43097775728924637</v>
      </c>
      <c r="R10" s="2"/>
      <c r="S10" s="6" t="s">
        <v>18</v>
      </c>
      <c r="T10" s="20">
        <f t="shared" ca="1" si="2"/>
        <v>2930022.5791683337</v>
      </c>
      <c r="U10" s="7">
        <f t="shared" ca="1" si="3"/>
        <v>-0.41278209593422766</v>
      </c>
    </row>
    <row r="11" spans="1:35" x14ac:dyDescent="0.55000000000000004">
      <c r="A11" s="14">
        <v>5</v>
      </c>
      <c r="B11" s="6" t="s">
        <v>19</v>
      </c>
      <c r="C11" s="23">
        <v>467544.5961416667</v>
      </c>
      <c r="D11" s="23">
        <v>426653.30716666672</v>
      </c>
      <c r="E11" s="23">
        <v>452386.2718600001</v>
      </c>
      <c r="F11" s="23">
        <v>468449.7808500001</v>
      </c>
      <c r="G11" s="23">
        <v>429530.94293666672</v>
      </c>
      <c r="H11" s="23">
        <v>368780.27383000002</v>
      </c>
      <c r="I11" s="23">
        <v>386141.77272499999</v>
      </c>
      <c r="J11" s="23">
        <v>403813.40048833343</v>
      </c>
      <c r="K11" s="23">
        <v>368434.84669833333</v>
      </c>
      <c r="L11" s="23">
        <v>558591.66074833332</v>
      </c>
      <c r="M11" s="23">
        <v>633067.25544333318</v>
      </c>
      <c r="N11" s="23">
        <v>782875.01379666664</v>
      </c>
      <c r="O11" s="6" t="s">
        <v>19</v>
      </c>
      <c r="P11" s="20">
        <f t="shared" si="0"/>
        <v>5746269.1226850003</v>
      </c>
      <c r="Q11" s="7">
        <f t="shared" si="1"/>
        <v>0.10551993029549189</v>
      </c>
      <c r="R11" s="2"/>
      <c r="S11" s="6" t="s">
        <v>19</v>
      </c>
      <c r="T11" s="20">
        <f t="shared" ca="1" si="2"/>
        <v>2999486.9455100005</v>
      </c>
      <c r="U11" s="7">
        <f t="shared" ca="1" si="3"/>
        <v>2.370779216363017E-2</v>
      </c>
    </row>
    <row r="12" spans="1:35" x14ac:dyDescent="0.55000000000000004">
      <c r="A12" s="14">
        <v>6</v>
      </c>
      <c r="B12" s="6" t="s">
        <v>20</v>
      </c>
      <c r="C12" s="23">
        <v>696741.68600666686</v>
      </c>
      <c r="D12" s="23">
        <v>636413.80076833325</v>
      </c>
      <c r="E12" s="23">
        <v>551034.07558333338</v>
      </c>
      <c r="F12" s="23">
        <v>504333.49460999999</v>
      </c>
      <c r="G12" s="23">
        <v>475254.35848999996</v>
      </c>
      <c r="H12" s="23">
        <v>459799.84873333341</v>
      </c>
      <c r="I12" s="23">
        <v>465145.48583333351</v>
      </c>
      <c r="J12" s="23">
        <v>316066.12516666675</v>
      </c>
      <c r="K12" s="23">
        <v>498901.55413166666</v>
      </c>
      <c r="L12" s="23">
        <v>581966.54152500001</v>
      </c>
      <c r="M12" s="23">
        <v>553276.44655166683</v>
      </c>
      <c r="N12" s="23">
        <v>683927.61250000016</v>
      </c>
      <c r="O12" s="6" t="s">
        <v>20</v>
      </c>
      <c r="P12" s="20">
        <f t="shared" si="0"/>
        <v>6422861.0299000004</v>
      </c>
      <c r="Q12" s="7">
        <f t="shared" si="1"/>
        <v>0.11774455612320089</v>
      </c>
      <c r="R12" s="2"/>
      <c r="S12" s="6" t="s">
        <v>20</v>
      </c>
      <c r="T12" s="20">
        <f t="shared" ca="1" si="2"/>
        <v>3788722.7500250004</v>
      </c>
      <c r="U12" s="7">
        <f t="shared" ca="1" si="3"/>
        <v>0.26312360041987337</v>
      </c>
    </row>
    <row r="13" spans="1:35" x14ac:dyDescent="0.55000000000000004">
      <c r="A13" s="14">
        <v>7</v>
      </c>
      <c r="B13" s="6" t="s">
        <v>21</v>
      </c>
      <c r="C13" s="23">
        <v>729682.77033333329</v>
      </c>
      <c r="D13" s="23">
        <v>626974.50583333336</v>
      </c>
      <c r="E13" s="23">
        <v>737318.6877266668</v>
      </c>
      <c r="F13" s="23">
        <v>606007.02176333359</v>
      </c>
      <c r="G13" s="23">
        <v>523347.41142500006</v>
      </c>
      <c r="H13" s="23">
        <v>522164.38328000007</v>
      </c>
      <c r="I13" s="23">
        <v>439966.18609500001</v>
      </c>
      <c r="J13" s="23">
        <v>256368.86603499998</v>
      </c>
      <c r="K13" s="23">
        <v>452127.79786833329</v>
      </c>
      <c r="L13" s="23">
        <v>445161.94393000018</v>
      </c>
      <c r="M13" s="23">
        <v>589541.3019083332</v>
      </c>
      <c r="N13" s="23">
        <v>682150.91923666652</v>
      </c>
      <c r="O13" s="6" t="s">
        <v>21</v>
      </c>
      <c r="P13" s="20">
        <f t="shared" si="0"/>
        <v>6610811.7954350011</v>
      </c>
      <c r="Q13" s="7">
        <f t="shared" si="1"/>
        <v>2.9262779415597517E-2</v>
      </c>
      <c r="R13" s="2"/>
      <c r="S13" s="6" t="s">
        <v>21</v>
      </c>
      <c r="T13" s="20">
        <f t="shared" ca="1" si="2"/>
        <v>4185460.9664566675</v>
      </c>
      <c r="U13" s="7">
        <f t="shared" ca="1" si="3"/>
        <v>0.10471555788267928</v>
      </c>
    </row>
    <row r="14" spans="1:35" x14ac:dyDescent="0.55000000000000004">
      <c r="A14" s="14">
        <v>8</v>
      </c>
      <c r="B14" s="6" t="s">
        <v>22</v>
      </c>
      <c r="C14" s="23">
        <v>741399.89654666663</v>
      </c>
      <c r="D14" s="23">
        <v>805711.22817833314</v>
      </c>
      <c r="E14" s="23">
        <v>631485.46345333313</v>
      </c>
      <c r="F14" s="23">
        <v>647207.06688166677</v>
      </c>
      <c r="G14" s="23">
        <v>519722.74911666667</v>
      </c>
      <c r="H14" s="23">
        <v>484459.82740666659</v>
      </c>
      <c r="I14" s="23">
        <v>378660.15363833337</v>
      </c>
      <c r="J14" s="23">
        <v>429784.52451999998</v>
      </c>
      <c r="K14" s="23">
        <v>443882.65895499993</v>
      </c>
      <c r="L14" s="23">
        <v>602230.47941666667</v>
      </c>
      <c r="M14" s="23">
        <v>972149.19989333337</v>
      </c>
      <c r="N14" s="23">
        <v>868830.8482133334</v>
      </c>
      <c r="O14" s="6" t="s">
        <v>22</v>
      </c>
      <c r="P14" s="20">
        <f t="shared" si="0"/>
        <v>7525524.0962199997</v>
      </c>
      <c r="Q14" s="7">
        <f t="shared" si="1"/>
        <v>0.13836610829197094</v>
      </c>
      <c r="R14" s="2"/>
      <c r="S14" s="6" t="s">
        <v>22</v>
      </c>
      <c r="T14" s="20">
        <f t="shared" ca="1" si="2"/>
        <v>4208646.3852216667</v>
      </c>
      <c r="U14" s="7">
        <f t="shared" ca="1" si="3"/>
        <v>5.5395137956877338E-3</v>
      </c>
    </row>
    <row r="15" spans="1:35" x14ac:dyDescent="0.55000000000000004">
      <c r="A15" s="14">
        <v>9</v>
      </c>
      <c r="B15" s="6" t="s">
        <v>23</v>
      </c>
      <c r="C15" s="23">
        <v>803137.71061666682</v>
      </c>
      <c r="D15" s="23">
        <v>899488.8708683335</v>
      </c>
      <c r="E15" s="23">
        <v>604689.9395783334</v>
      </c>
      <c r="F15" s="23">
        <v>495878.97803166666</v>
      </c>
      <c r="G15" s="23">
        <v>353055.597465</v>
      </c>
      <c r="H15" s="23">
        <v>278449.49911833333</v>
      </c>
      <c r="I15" s="23">
        <v>278944.821535</v>
      </c>
      <c r="J15" s="23">
        <v>488641.0638283334</v>
      </c>
      <c r="K15" s="23">
        <v>489172.50557666668</v>
      </c>
      <c r="L15" s="23">
        <v>459738.69544333336</v>
      </c>
      <c r="M15" s="23">
        <v>507982.53644666681</v>
      </c>
      <c r="N15" s="23">
        <v>409786.43723500002</v>
      </c>
      <c r="O15" s="6" t="s">
        <v>23</v>
      </c>
      <c r="P15" s="20">
        <f t="shared" si="0"/>
        <v>6068966.6557433326</v>
      </c>
      <c r="Q15" s="7">
        <f t="shared" si="1"/>
        <v>-0.1935489703910831</v>
      </c>
      <c r="R15" s="2"/>
      <c r="S15" s="6" t="s">
        <v>23</v>
      </c>
      <c r="T15" s="20">
        <f t="shared" ca="1" si="2"/>
        <v>3713645.4172133338</v>
      </c>
      <c r="U15" s="7">
        <f t="shared" ca="1" si="3"/>
        <v>-0.11761524316856131</v>
      </c>
    </row>
    <row r="16" spans="1:35" x14ac:dyDescent="0.55000000000000004">
      <c r="A16" s="14">
        <v>10</v>
      </c>
      <c r="B16" s="6" t="s">
        <v>24</v>
      </c>
      <c r="C16" s="23">
        <v>487129.91339499992</v>
      </c>
      <c r="D16" s="23">
        <v>379954.37548333337</v>
      </c>
      <c r="E16" s="23">
        <v>275964.94076999999</v>
      </c>
      <c r="F16" s="23">
        <v>244182.2471133334</v>
      </c>
      <c r="G16" s="23">
        <v>268979.9189766667</v>
      </c>
      <c r="H16" s="23">
        <v>282049.57118833339</v>
      </c>
      <c r="I16" s="23">
        <v>205840.78407666669</v>
      </c>
      <c r="J16" s="23">
        <v>297896.75350833335</v>
      </c>
      <c r="K16" s="23">
        <v>346777.58262833342</v>
      </c>
      <c r="L16" s="23">
        <v>544837.50969166681</v>
      </c>
      <c r="M16" s="23">
        <v>674431.90803833341</v>
      </c>
      <c r="N16" s="23">
        <v>701992.77901833341</v>
      </c>
      <c r="O16" s="6" t="s">
        <v>24</v>
      </c>
      <c r="P16" s="20">
        <f t="shared" si="0"/>
        <v>4710038.2838883335</v>
      </c>
      <c r="Q16" s="7">
        <f t="shared" si="1"/>
        <v>-0.22391429199384127</v>
      </c>
      <c r="R16" s="2"/>
      <c r="S16" s="6" t="s">
        <v>24</v>
      </c>
      <c r="T16" s="20">
        <f t="shared" ca="1" si="2"/>
        <v>2144101.7510033334</v>
      </c>
      <c r="U16" s="7">
        <f t="shared" ca="1" si="3"/>
        <v>-0.422642306918942</v>
      </c>
    </row>
    <row r="17" spans="1:21" x14ac:dyDescent="0.55000000000000004">
      <c r="A17" s="14">
        <v>11</v>
      </c>
      <c r="B17" s="6" t="s">
        <v>25</v>
      </c>
      <c r="C17" s="23">
        <v>876677.8469266668</v>
      </c>
      <c r="D17" s="23">
        <v>550330.72848666681</v>
      </c>
      <c r="E17" s="23">
        <v>557203.90992000001</v>
      </c>
      <c r="F17" s="23">
        <v>536036.14021666674</v>
      </c>
      <c r="G17" s="23">
        <v>591785.2043216665</v>
      </c>
      <c r="H17" s="23">
        <v>623762.78320333327</v>
      </c>
      <c r="I17" s="23">
        <v>470976.34277166671</v>
      </c>
      <c r="J17" s="23">
        <v>661521.07700999978</v>
      </c>
      <c r="K17" s="23">
        <v>753371.76617500023</v>
      </c>
      <c r="L17" s="23">
        <v>765482.71802666667</v>
      </c>
      <c r="M17" s="23">
        <v>1076773.2769983332</v>
      </c>
      <c r="N17" s="23">
        <v>1080808.9329233333</v>
      </c>
      <c r="O17" s="6" t="s">
        <v>25</v>
      </c>
      <c r="P17" s="5">
        <f t="shared" si="0"/>
        <v>8544730.7269800007</v>
      </c>
      <c r="Q17" s="7"/>
      <c r="R17" s="2"/>
      <c r="S17" s="6" t="s">
        <v>25</v>
      </c>
      <c r="T17" s="20">
        <f t="shared" ca="1" si="2"/>
        <v>4206772.9558466673</v>
      </c>
      <c r="U17" s="7">
        <f t="shared" ca="1" si="3"/>
        <v>0.9620211372329257</v>
      </c>
    </row>
    <row r="18" spans="1:21" x14ac:dyDescent="0.55000000000000004">
      <c r="A18" s="14">
        <v>12</v>
      </c>
      <c r="B18" s="6" t="s">
        <v>26</v>
      </c>
      <c r="C18" s="23">
        <v>940082.62078499992</v>
      </c>
      <c r="D18" s="23">
        <v>794980.56181500026</v>
      </c>
      <c r="E18" s="23">
        <v>655155.07113166654</v>
      </c>
      <c r="F18" s="23">
        <f>25135/0.06</f>
        <v>418916.66666666669</v>
      </c>
      <c r="G18" s="23">
        <f>22290/0.06</f>
        <v>371500</v>
      </c>
      <c r="H18" s="23">
        <f>14487/0.06</f>
        <v>241450</v>
      </c>
      <c r="I18" s="23">
        <f>24048/0.06</f>
        <v>400800</v>
      </c>
      <c r="J18" s="23" t="e">
        <f>NA()</f>
        <v>#N/A</v>
      </c>
      <c r="K18" s="23" t="e">
        <f>NA()</f>
        <v>#N/A</v>
      </c>
      <c r="L18" s="23" t="e">
        <f>NA()</f>
        <v>#N/A</v>
      </c>
      <c r="M18" s="23" t="e">
        <f>NA()</f>
        <v>#N/A</v>
      </c>
      <c r="N18" s="23" t="e">
        <f>NA()</f>
        <v>#N/A</v>
      </c>
      <c r="O18" s="6" t="s">
        <v>26</v>
      </c>
      <c r="P18" s="5" t="str">
        <f t="shared" si="0"/>
        <v/>
      </c>
      <c r="Q18" s="7"/>
      <c r="R18" s="2"/>
      <c r="S18" s="6" t="s">
        <v>26</v>
      </c>
      <c r="T18" s="20">
        <f t="shared" ca="1" si="2"/>
        <v>3822884.9203983331</v>
      </c>
      <c r="U18" s="7">
        <f t="shared" ca="1" si="3"/>
        <v>-9.1254755005210852E-2</v>
      </c>
    </row>
    <row r="19" spans="1:21" x14ac:dyDescent="0.55000000000000004">
      <c r="A19" s="14">
        <v>13</v>
      </c>
      <c r="B19" s="6" t="s">
        <v>27</v>
      </c>
      <c r="C19" s="23" t="e">
        <f>NA()</f>
        <v>#N/A</v>
      </c>
      <c r="D19" s="23" t="e">
        <f>NA()</f>
        <v>#N/A</v>
      </c>
      <c r="E19" s="23" t="e">
        <f>NA()</f>
        <v>#N/A</v>
      </c>
      <c r="F19" s="23" t="e">
        <f>NA()</f>
        <v>#N/A</v>
      </c>
      <c r="G19" s="23" t="e">
        <f>NA()</f>
        <v>#N/A</v>
      </c>
      <c r="H19" s="23" t="e">
        <f>NA()</f>
        <v>#N/A</v>
      </c>
      <c r="I19" s="23" t="e">
        <f>NA()</f>
        <v>#N/A</v>
      </c>
      <c r="J19" s="23" t="e">
        <f>NA()</f>
        <v>#N/A</v>
      </c>
      <c r="K19" s="23" t="e">
        <f>NA()</f>
        <v>#N/A</v>
      </c>
      <c r="L19" s="23" t="e">
        <f>NA()</f>
        <v>#N/A</v>
      </c>
      <c r="M19" s="23" t="e">
        <f>NA()</f>
        <v>#N/A</v>
      </c>
      <c r="N19" s="23" t="e">
        <f>NA()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t="shared" ca="1" si="2"/>
        <v/>
      </c>
      <c r="U19" s="7"/>
    </row>
    <row r="20" spans="1:21" x14ac:dyDescent="0.55000000000000004">
      <c r="B20" s="8" t="s">
        <v>28</v>
      </c>
      <c r="C20" s="22">
        <f>IFERROR(C18/C17-1,"")</f>
        <v>7.2323914743150697E-2</v>
      </c>
      <c r="D20" s="22">
        <f t="shared" ref="D20:N20" si="4">IFERROR(D18/D17-1,"")</f>
        <v>0.44455055962636614</v>
      </c>
      <c r="E20" s="22">
        <f t="shared" si="4"/>
        <v>0.17579051307398363</v>
      </c>
      <c r="F20" s="22">
        <f t="shared" si="4"/>
        <v>-0.21849174852773945</v>
      </c>
      <c r="G20" s="22">
        <f t="shared" si="4"/>
        <v>-0.37223844515370796</v>
      </c>
      <c r="H20" s="22">
        <f t="shared" si="4"/>
        <v>-0.61291374461292203</v>
      </c>
      <c r="I20" s="22">
        <f t="shared" si="4"/>
        <v>-0.14900184234028246</v>
      </c>
      <c r="J20" s="22" t="str">
        <f t="shared" si="4"/>
        <v/>
      </c>
      <c r="K20" s="22" t="str">
        <f t="shared" si="4"/>
        <v/>
      </c>
      <c r="L20" s="22" t="str">
        <f t="shared" si="4"/>
        <v/>
      </c>
      <c r="M20" s="22" t="str">
        <f t="shared" si="4"/>
        <v/>
      </c>
      <c r="N20" s="22" t="str">
        <f t="shared" si="4"/>
        <v/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Indonesia : Robusta Exports | YTD : Oct-Apr</v>
      </c>
      <c r="Q27" s="13" t="str">
        <f>_xlfn.CONCAT(A1," | ","Cumulative")</f>
        <v>Indonesia : Robusta Exports | Cumulative</v>
      </c>
    </row>
    <row r="56" spans="2:6" x14ac:dyDescent="0.55000000000000004">
      <c r="B56" s="9" t="s">
        <v>29</v>
      </c>
      <c r="C56" s="9">
        <f>COUNT(C18:N18)</f>
        <v>7</v>
      </c>
      <c r="D56" s="25" t="str">
        <f ca="1">OFFSET(B6,0,$C$56,1,1)</f>
        <v>Apr</v>
      </c>
      <c r="E56" s="11" t="str">
        <f>B18</f>
        <v>25/26</v>
      </c>
      <c r="F56" s="11" t="str">
        <f ca="1">_xlfn.CONCAT(D56,"'",E56)</f>
        <v>Apr'25/26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940082.62078499992</v>
      </c>
      <c r="C66" s="12">
        <f t="shared" ref="C66:M66" si="5">D18</f>
        <v>794980.56181500026</v>
      </c>
      <c r="D66" s="12">
        <f t="shared" si="5"/>
        <v>655155.07113166654</v>
      </c>
      <c r="E66" s="12">
        <f t="shared" si="5"/>
        <v>418916.66666666669</v>
      </c>
      <c r="F66" s="12">
        <f t="shared" si="5"/>
        <v>371500</v>
      </c>
      <c r="G66" s="12">
        <f t="shared" si="5"/>
        <v>241450</v>
      </c>
      <c r="H66" s="12">
        <f t="shared" si="5"/>
        <v>400800</v>
      </c>
      <c r="I66" s="12" t="e">
        <f t="shared" si="5"/>
        <v>#N/A</v>
      </c>
      <c r="J66" s="12" t="e">
        <f t="shared" si="5"/>
        <v>#N/A</v>
      </c>
      <c r="K66" s="12" t="e">
        <f t="shared" si="5"/>
        <v>#N/A</v>
      </c>
      <c r="L66" s="12" t="e">
        <f t="shared" si="5"/>
        <v>#N/A</v>
      </c>
      <c r="M66" s="12" t="e">
        <f t="shared" si="5"/>
        <v>#N/A</v>
      </c>
    </row>
    <row r="67" spans="1:25" x14ac:dyDescent="0.55000000000000004">
      <c r="A67" s="11" t="s">
        <v>30</v>
      </c>
      <c r="B67" s="12">
        <f>MIN(C8:C17)</f>
        <v>467544.5961416667</v>
      </c>
      <c r="C67" s="12">
        <f t="shared" ref="C67:M67" si="6">MIN(D8:D17)</f>
        <v>379954.37548333337</v>
      </c>
      <c r="D67" s="12">
        <f t="shared" si="6"/>
        <v>275964.94076999999</v>
      </c>
      <c r="E67" s="12">
        <f t="shared" si="6"/>
        <v>244182.2471133334</v>
      </c>
      <c r="F67" s="12">
        <f t="shared" si="6"/>
        <v>268979.9189766667</v>
      </c>
      <c r="G67" s="12">
        <f t="shared" si="6"/>
        <v>278449.49911833333</v>
      </c>
      <c r="H67" s="12">
        <f t="shared" si="6"/>
        <v>205840.78407666669</v>
      </c>
      <c r="I67" s="12">
        <f t="shared" si="6"/>
        <v>256368.86603499998</v>
      </c>
      <c r="J67" s="12">
        <f t="shared" si="6"/>
        <v>346777.58262833342</v>
      </c>
      <c r="K67" s="12">
        <f t="shared" si="6"/>
        <v>445161.94393000018</v>
      </c>
      <c r="L67" s="12">
        <f t="shared" si="6"/>
        <v>507982.53644666681</v>
      </c>
      <c r="M67" s="12">
        <f t="shared" si="6"/>
        <v>409786.43723500002</v>
      </c>
      <c r="N67" s="12"/>
    </row>
    <row r="68" spans="1:25" x14ac:dyDescent="0.55000000000000004">
      <c r="A68" s="11" t="s">
        <v>31</v>
      </c>
      <c r="B68" s="12">
        <f>MAX(C8:C17)</f>
        <v>956680.75160166668</v>
      </c>
      <c r="C68" s="12">
        <f t="shared" ref="C68:M68" si="7">MAX(D8:D17)</f>
        <v>899488.8708683335</v>
      </c>
      <c r="D68" s="12">
        <f t="shared" si="7"/>
        <v>793334.73575000023</v>
      </c>
      <c r="E68" s="12">
        <f t="shared" si="7"/>
        <v>647207.06688166677</v>
      </c>
      <c r="F68" s="12">
        <f t="shared" si="7"/>
        <v>594761.93521000003</v>
      </c>
      <c r="G68" s="12">
        <f t="shared" si="7"/>
        <v>623762.78320333327</v>
      </c>
      <c r="H68" s="12">
        <f t="shared" si="7"/>
        <v>594851.78939333337</v>
      </c>
      <c r="I68" s="12">
        <f t="shared" si="7"/>
        <v>753105.98493333336</v>
      </c>
      <c r="J68" s="12">
        <f t="shared" si="7"/>
        <v>753371.76617500023</v>
      </c>
      <c r="K68" s="12">
        <f t="shared" si="7"/>
        <v>1063779.7744</v>
      </c>
      <c r="L68" s="12">
        <f t="shared" si="7"/>
        <v>1076773.2769983332</v>
      </c>
      <c r="M68" s="12">
        <f t="shared" si="7"/>
        <v>1080808.9329233333</v>
      </c>
      <c r="N68" s="12"/>
    </row>
    <row r="69" spans="1:25" x14ac:dyDescent="0.55000000000000004">
      <c r="A69" s="11" t="s">
        <v>32</v>
      </c>
      <c r="B69" s="12">
        <f>AVERAGE(C13:C17)</f>
        <v>727605.62756366679</v>
      </c>
      <c r="C69" s="12">
        <f t="shared" ref="C69:M69" si="8">AVERAGE(D13:D17)</f>
        <v>652491.94177000015</v>
      </c>
      <c r="D69" s="12">
        <f t="shared" si="8"/>
        <v>561332.58828966669</v>
      </c>
      <c r="E69" s="12">
        <f t="shared" si="8"/>
        <v>505862.29080133344</v>
      </c>
      <c r="F69" s="12">
        <f t="shared" si="8"/>
        <v>451378.17626099999</v>
      </c>
      <c r="G69" s="12">
        <f t="shared" si="8"/>
        <v>438177.21283933334</v>
      </c>
      <c r="H69" s="12">
        <f t="shared" si="8"/>
        <v>354877.65762333339</v>
      </c>
      <c r="I69" s="12">
        <f t="shared" si="8"/>
        <v>426842.45698033331</v>
      </c>
      <c r="J69" s="12">
        <f t="shared" si="8"/>
        <v>497066.46224066673</v>
      </c>
      <c r="K69" s="12">
        <f t="shared" si="8"/>
        <v>563490.26930166665</v>
      </c>
      <c r="L69" s="12">
        <f t="shared" si="8"/>
        <v>764175.64465699997</v>
      </c>
      <c r="M69" s="12">
        <f t="shared" si="8"/>
        <v>748713.98332533333</v>
      </c>
      <c r="N69" s="12"/>
    </row>
    <row r="74" spans="1:25" x14ac:dyDescent="0.55000000000000004">
      <c r="B74" s="11">
        <v>1</v>
      </c>
      <c r="C74" s="11">
        <v>1</v>
      </c>
      <c r="D74" s="12" t="e">
        <f>INDEX($C$7:$N$19,MATCH(B74,$A$7:$A$19),MATCH(C74,$C$4:$N$4))</f>
        <v>#N/A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 t="e">
        <f t="shared" ref="D75:D138" si="9">INDEX($C$7:$N$19,MATCH(B75,$A$7:$A$19),MATCH(C75,$C$4:$N$4))</f>
        <v>#N/A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 t="e">
        <f t="shared" si="9"/>
        <v>#N/A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 t="e">
        <f>C7</f>
        <v>#N/A</v>
      </c>
      <c r="O76" s="5" t="e">
        <f t="shared" ref="O76:O88" si="13">N76+D7</f>
        <v>#N/A</v>
      </c>
      <c r="P76" s="5" t="e">
        <f t="shared" ref="P76:P88" si="14">O76+E7</f>
        <v>#N/A</v>
      </c>
      <c r="Q76" s="5" t="e">
        <f t="shared" ref="Q76:Q88" si="15">P76+F7</f>
        <v>#N/A</v>
      </c>
      <c r="R76" s="5" t="e">
        <f t="shared" ref="R76:R88" si="16">Q76+G7</f>
        <v>#N/A</v>
      </c>
      <c r="S76" s="5" t="e">
        <f t="shared" ref="S76:S88" si="17">R76+H7</f>
        <v>#N/A</v>
      </c>
      <c r="T76" s="5" t="e">
        <f t="shared" ref="T76:T88" si="18">S76+I7</f>
        <v>#N/A</v>
      </c>
      <c r="U76" s="5" t="e">
        <f t="shared" ref="U76:U88" si="19">T76+J7</f>
        <v>#N/A</v>
      </c>
      <c r="V76" s="5" t="e">
        <f t="shared" ref="V76:V88" si="20">U76+K7</f>
        <v>#N/A</v>
      </c>
      <c r="W76" s="5" t="e">
        <f t="shared" ref="W76:W88" si="21">V76+L7</f>
        <v>#N/A</v>
      </c>
      <c r="X76" s="5" t="e">
        <f t="shared" ref="X76:X88" si="22">W76+M7</f>
        <v>#N/A</v>
      </c>
      <c r="Y76" s="5" t="e">
        <f t="shared" ref="Y76:Y88" si="23">X76+N7</f>
        <v>#N/A</v>
      </c>
    </row>
    <row r="77" spans="1:25" x14ac:dyDescent="0.55000000000000004">
      <c r="B77" s="11">
        <v>1</v>
      </c>
      <c r="C77" s="11">
        <v>4</v>
      </c>
      <c r="D77" s="12" t="e">
        <f t="shared" si="9"/>
        <v>#N/A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24">C8</f>
        <v>935904.21866666677</v>
      </c>
      <c r="O77" s="5">
        <f t="shared" si="13"/>
        <v>1511102.0295000002</v>
      </c>
      <c r="P77" s="5">
        <f t="shared" si="14"/>
        <v>2038547.3877466668</v>
      </c>
      <c r="Q77" s="5">
        <f t="shared" si="15"/>
        <v>2520587.8842133335</v>
      </c>
      <c r="R77" s="5">
        <f t="shared" si="16"/>
        <v>3010106.6033666669</v>
      </c>
      <c r="S77" s="5">
        <f t="shared" si="17"/>
        <v>3384261.4052650002</v>
      </c>
      <c r="T77" s="5">
        <f t="shared" si="18"/>
        <v>3746074.7026250004</v>
      </c>
      <c r="U77" s="5">
        <f t="shared" si="19"/>
        <v>4118652.5305133336</v>
      </c>
      <c r="V77" s="5">
        <f t="shared" si="20"/>
        <v>4616396.0225933334</v>
      </c>
      <c r="W77" s="5">
        <f t="shared" si="21"/>
        <v>5156902.151901667</v>
      </c>
      <c r="X77" s="5">
        <f t="shared" si="22"/>
        <v>5945307.9916416667</v>
      </c>
      <c r="Y77" s="5">
        <f t="shared" si="23"/>
        <v>6715192.0326316664</v>
      </c>
    </row>
    <row r="78" spans="1:25" x14ac:dyDescent="0.55000000000000004">
      <c r="B78" s="11">
        <v>1</v>
      </c>
      <c r="C78" s="11">
        <v>5</v>
      </c>
      <c r="D78" s="12" t="e">
        <f t="shared" si="9"/>
        <v>#N/A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24"/>
        <v>956680.75160166668</v>
      </c>
      <c r="O78" s="5">
        <f t="shared" si="13"/>
        <v>1790493.4561549998</v>
      </c>
      <c r="P78" s="5">
        <f t="shared" si="14"/>
        <v>2583828.1919050002</v>
      </c>
      <c r="Q78" s="5">
        <f t="shared" si="15"/>
        <v>3210036.5272816671</v>
      </c>
      <c r="R78" s="5">
        <f t="shared" si="16"/>
        <v>3804798.4624916669</v>
      </c>
      <c r="S78" s="5">
        <f t="shared" si="17"/>
        <v>4394816.5413600001</v>
      </c>
      <c r="T78" s="5">
        <f t="shared" si="18"/>
        <v>4989668.3307533339</v>
      </c>
      <c r="U78" s="5">
        <f t="shared" si="19"/>
        <v>5742774.3156866673</v>
      </c>
      <c r="V78" s="5">
        <f t="shared" si="20"/>
        <v>6474697.6861533336</v>
      </c>
      <c r="W78" s="5">
        <f t="shared" si="21"/>
        <v>7538477.4605533332</v>
      </c>
      <c r="X78" s="5">
        <f t="shared" si="22"/>
        <v>8452689.0350533333</v>
      </c>
      <c r="Y78" s="5">
        <f t="shared" si="23"/>
        <v>9134612.7886699997</v>
      </c>
    </row>
    <row r="79" spans="1:25" x14ac:dyDescent="0.55000000000000004">
      <c r="B79" s="11">
        <v>1</v>
      </c>
      <c r="C79" s="11">
        <v>6</v>
      </c>
      <c r="D79" s="12" t="e">
        <f t="shared" si="9"/>
        <v>#N/A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24"/>
        <v>734190.88839333341</v>
      </c>
      <c r="O79" s="5">
        <f t="shared" si="13"/>
        <v>1242198.8876183336</v>
      </c>
      <c r="P79" s="5">
        <f t="shared" si="14"/>
        <v>1643779.9360600002</v>
      </c>
      <c r="Q79" s="5">
        <f t="shared" si="15"/>
        <v>1972877.8201600004</v>
      </c>
      <c r="R79" s="5">
        <f t="shared" si="16"/>
        <v>2265119.4784183339</v>
      </c>
      <c r="S79" s="5">
        <f t="shared" si="17"/>
        <v>2614567.8811600003</v>
      </c>
      <c r="T79" s="5">
        <f t="shared" si="18"/>
        <v>2930022.5791683337</v>
      </c>
      <c r="U79" s="5">
        <f t="shared" si="19"/>
        <v>3335415.9422100005</v>
      </c>
      <c r="V79" s="5">
        <f t="shared" si="20"/>
        <v>3684416.9543933338</v>
      </c>
      <c r="W79" s="5">
        <f t="shared" si="21"/>
        <v>4219591.4714683341</v>
      </c>
      <c r="X79" s="5">
        <f t="shared" si="22"/>
        <v>4735791.2360183345</v>
      </c>
      <c r="Y79" s="5">
        <f t="shared" si="23"/>
        <v>5197797.855303335</v>
      </c>
    </row>
    <row r="80" spans="1:25" x14ac:dyDescent="0.55000000000000004">
      <c r="B80" s="11">
        <v>1</v>
      </c>
      <c r="C80" s="11">
        <v>7</v>
      </c>
      <c r="D80" s="12" t="e">
        <f t="shared" si="9"/>
        <v>#N/A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24"/>
        <v>467544.5961416667</v>
      </c>
      <c r="O80" s="5">
        <f t="shared" si="13"/>
        <v>894197.90330833336</v>
      </c>
      <c r="P80" s="5">
        <f t="shared" si="14"/>
        <v>1346584.1751683336</v>
      </c>
      <c r="Q80" s="5">
        <f t="shared" si="15"/>
        <v>1815033.9560183338</v>
      </c>
      <c r="R80" s="5">
        <f t="shared" si="16"/>
        <v>2244564.8989550006</v>
      </c>
      <c r="S80" s="5">
        <f t="shared" si="17"/>
        <v>2613345.1727850004</v>
      </c>
      <c r="T80" s="5">
        <f t="shared" si="18"/>
        <v>2999486.9455100005</v>
      </c>
      <c r="U80" s="5">
        <f t="shared" si="19"/>
        <v>3403300.3459983338</v>
      </c>
      <c r="V80" s="5">
        <f t="shared" si="20"/>
        <v>3771735.1926966673</v>
      </c>
      <c r="W80" s="5">
        <f t="shared" si="21"/>
        <v>4330326.8534450009</v>
      </c>
      <c r="X80" s="5">
        <f t="shared" si="22"/>
        <v>4963394.1088883337</v>
      </c>
      <c r="Y80" s="5">
        <f t="shared" si="23"/>
        <v>5746269.1226850003</v>
      </c>
    </row>
    <row r="81" spans="2:25" x14ac:dyDescent="0.55000000000000004">
      <c r="B81" s="11">
        <v>1</v>
      </c>
      <c r="C81" s="11">
        <v>8</v>
      </c>
      <c r="D81" s="12" t="e">
        <f t="shared" si="9"/>
        <v>#N/A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24"/>
        <v>696741.68600666686</v>
      </c>
      <c r="O81" s="5">
        <f t="shared" si="13"/>
        <v>1333155.4867750001</v>
      </c>
      <c r="P81" s="5">
        <f t="shared" si="14"/>
        <v>1884189.5623583335</v>
      </c>
      <c r="Q81" s="5">
        <f t="shared" si="15"/>
        <v>2388523.0569683337</v>
      </c>
      <c r="R81" s="5">
        <f t="shared" si="16"/>
        <v>2863777.4154583337</v>
      </c>
      <c r="S81" s="5">
        <f t="shared" si="17"/>
        <v>3323577.2641916671</v>
      </c>
      <c r="T81" s="5">
        <f t="shared" si="18"/>
        <v>3788722.7500250004</v>
      </c>
      <c r="U81" s="5">
        <f t="shared" si="19"/>
        <v>4104788.8751916671</v>
      </c>
      <c r="V81" s="5">
        <f t="shared" si="20"/>
        <v>4603690.4293233342</v>
      </c>
      <c r="W81" s="5">
        <f t="shared" si="21"/>
        <v>5185656.970848334</v>
      </c>
      <c r="X81" s="5">
        <f t="shared" si="22"/>
        <v>5738933.4174000006</v>
      </c>
      <c r="Y81" s="5">
        <f t="shared" si="23"/>
        <v>6422861.0299000004</v>
      </c>
    </row>
    <row r="82" spans="2:25" x14ac:dyDescent="0.55000000000000004">
      <c r="B82" s="11">
        <v>1</v>
      </c>
      <c r="C82" s="11">
        <v>9</v>
      </c>
      <c r="D82" s="12" t="e">
        <f t="shared" si="9"/>
        <v>#N/A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24"/>
        <v>729682.77033333329</v>
      </c>
      <c r="O82" s="5">
        <f t="shared" si="13"/>
        <v>1356657.2761666668</v>
      </c>
      <c r="P82" s="5">
        <f t="shared" si="14"/>
        <v>2093975.9638933334</v>
      </c>
      <c r="Q82" s="5">
        <f t="shared" si="15"/>
        <v>2699982.985656667</v>
      </c>
      <c r="R82" s="5">
        <f t="shared" si="16"/>
        <v>3223330.3970816671</v>
      </c>
      <c r="S82" s="5">
        <f t="shared" si="17"/>
        <v>3745494.7803616673</v>
      </c>
      <c r="T82" s="5">
        <f t="shared" si="18"/>
        <v>4185460.9664566675</v>
      </c>
      <c r="U82" s="5">
        <f t="shared" si="19"/>
        <v>4441829.8324916679</v>
      </c>
      <c r="V82" s="5">
        <f t="shared" si="20"/>
        <v>4893957.6303600017</v>
      </c>
      <c r="W82" s="5">
        <f t="shared" si="21"/>
        <v>5339119.5742900018</v>
      </c>
      <c r="X82" s="5">
        <f t="shared" si="22"/>
        <v>5928660.8761983346</v>
      </c>
      <c r="Y82" s="5">
        <f t="shared" si="23"/>
        <v>6610811.7954350011</v>
      </c>
    </row>
    <row r="83" spans="2:25" x14ac:dyDescent="0.55000000000000004">
      <c r="B83" s="11">
        <v>1</v>
      </c>
      <c r="C83" s="11">
        <v>10</v>
      </c>
      <c r="D83" s="12" t="e">
        <f t="shared" si="9"/>
        <v>#N/A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24"/>
        <v>741399.89654666663</v>
      </c>
      <c r="O83" s="5">
        <f t="shared" si="13"/>
        <v>1547111.1247249998</v>
      </c>
      <c r="P83" s="5">
        <f t="shared" si="14"/>
        <v>2178596.5881783329</v>
      </c>
      <c r="Q83" s="5">
        <f t="shared" si="15"/>
        <v>2825803.6550599998</v>
      </c>
      <c r="R83" s="5">
        <f t="shared" si="16"/>
        <v>3345526.4041766664</v>
      </c>
      <c r="S83" s="5">
        <f t="shared" si="17"/>
        <v>3829986.2315833331</v>
      </c>
      <c r="T83" s="5">
        <f t="shared" si="18"/>
        <v>4208646.3852216667</v>
      </c>
      <c r="U83" s="5">
        <f t="shared" si="19"/>
        <v>4638430.9097416662</v>
      </c>
      <c r="V83" s="5">
        <f t="shared" si="20"/>
        <v>5082313.5686966665</v>
      </c>
      <c r="W83" s="5">
        <f t="shared" si="21"/>
        <v>5684544.0481133331</v>
      </c>
      <c r="X83" s="5">
        <f t="shared" si="22"/>
        <v>6656693.2480066661</v>
      </c>
      <c r="Y83" s="5">
        <f t="shared" si="23"/>
        <v>7525524.0962199997</v>
      </c>
    </row>
    <row r="84" spans="2:25" x14ac:dyDescent="0.55000000000000004">
      <c r="B84" s="11">
        <v>1</v>
      </c>
      <c r="C84" s="11">
        <v>11</v>
      </c>
      <c r="D84" s="12" t="e">
        <f t="shared" si="9"/>
        <v>#N/A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24"/>
        <v>803137.71061666682</v>
      </c>
      <c r="O84" s="5">
        <f t="shared" si="13"/>
        <v>1702626.5814850004</v>
      </c>
      <c r="P84" s="5">
        <f t="shared" si="14"/>
        <v>2307316.5210633338</v>
      </c>
      <c r="Q84" s="5">
        <f t="shared" si="15"/>
        <v>2803195.4990950003</v>
      </c>
      <c r="R84" s="5">
        <f t="shared" si="16"/>
        <v>3156251.0965600004</v>
      </c>
      <c r="S84" s="5">
        <f t="shared" si="17"/>
        <v>3434700.5956783337</v>
      </c>
      <c r="T84" s="5">
        <f t="shared" si="18"/>
        <v>3713645.4172133338</v>
      </c>
      <c r="U84" s="5">
        <f t="shared" si="19"/>
        <v>4202286.4810416671</v>
      </c>
      <c r="V84" s="5">
        <f t="shared" si="20"/>
        <v>4691458.9866183335</v>
      </c>
      <c r="W84" s="5">
        <f t="shared" si="21"/>
        <v>5151197.6820616666</v>
      </c>
      <c r="X84" s="5">
        <f t="shared" si="22"/>
        <v>5659180.218508333</v>
      </c>
      <c r="Y84" s="5">
        <f t="shared" si="23"/>
        <v>6068966.6557433326</v>
      </c>
    </row>
    <row r="85" spans="2:25" x14ac:dyDescent="0.55000000000000004">
      <c r="B85" s="11">
        <v>1</v>
      </c>
      <c r="C85" s="11">
        <v>12</v>
      </c>
      <c r="D85" s="12" t="e">
        <f t="shared" si="9"/>
        <v>#N/A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 t="e">
        <f>SUM(D74:D85)/1000000</f>
        <v>#N/A</v>
      </c>
      <c r="M85" s="6" t="s">
        <v>24</v>
      </c>
      <c r="N85" s="5">
        <f t="shared" si="24"/>
        <v>487129.91339499992</v>
      </c>
      <c r="O85" s="5">
        <f t="shared" si="13"/>
        <v>867084.28887833329</v>
      </c>
      <c r="P85" s="5">
        <f t="shared" si="14"/>
        <v>1143049.2296483333</v>
      </c>
      <c r="Q85" s="5">
        <f t="shared" si="15"/>
        <v>1387231.4767616666</v>
      </c>
      <c r="R85" s="5">
        <f t="shared" si="16"/>
        <v>1656211.3957383332</v>
      </c>
      <c r="S85" s="5">
        <f t="shared" si="17"/>
        <v>1938260.9669266667</v>
      </c>
      <c r="T85" s="5">
        <f t="shared" si="18"/>
        <v>2144101.7510033334</v>
      </c>
      <c r="U85" s="5">
        <f t="shared" si="19"/>
        <v>2441998.5045116665</v>
      </c>
      <c r="V85" s="5">
        <f t="shared" si="20"/>
        <v>2788776.08714</v>
      </c>
      <c r="W85" s="5">
        <f t="shared" si="21"/>
        <v>3333613.5968316668</v>
      </c>
      <c r="X85" s="5">
        <f t="shared" si="22"/>
        <v>4008045.5048700003</v>
      </c>
      <c r="Y85" s="5">
        <f t="shared" si="23"/>
        <v>4710038.2838883335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935904.21866666677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25">G86</f>
        <v>Oct'15/16</v>
      </c>
      <c r="I86" s="11" t="e">
        <f t="shared" ref="I86:I149" si="26">SUM(D75:D86)/1000000</f>
        <v>#N/A</v>
      </c>
      <c r="M86" s="6" t="s">
        <v>25</v>
      </c>
      <c r="N86" s="5">
        <f t="shared" si="24"/>
        <v>876677.8469266668</v>
      </c>
      <c r="O86" s="5">
        <f t="shared" si="13"/>
        <v>1427008.5754133337</v>
      </c>
      <c r="P86" s="5">
        <f t="shared" si="14"/>
        <v>1984212.4853333337</v>
      </c>
      <c r="Q86" s="5">
        <f t="shared" si="15"/>
        <v>2520248.6255500005</v>
      </c>
      <c r="R86" s="5">
        <f t="shared" si="16"/>
        <v>3112033.8298716671</v>
      </c>
      <c r="S86" s="5">
        <f t="shared" si="17"/>
        <v>3735796.6130750002</v>
      </c>
      <c r="T86" s="5">
        <f t="shared" si="18"/>
        <v>4206772.9558466673</v>
      </c>
      <c r="U86" s="5">
        <f t="shared" si="19"/>
        <v>4868294.0328566674</v>
      </c>
      <c r="V86" s="5">
        <f t="shared" si="20"/>
        <v>5621665.7990316674</v>
      </c>
      <c r="W86" s="5">
        <f t="shared" si="21"/>
        <v>6387148.5170583343</v>
      </c>
      <c r="X86" s="5">
        <f t="shared" si="22"/>
        <v>7463921.794056667</v>
      </c>
      <c r="Y86" s="5">
        <f t="shared" si="23"/>
        <v>8544730.7269800007</v>
      </c>
    </row>
    <row r="87" spans="2:25" x14ac:dyDescent="0.55000000000000004">
      <c r="B87" s="11">
        <f t="shared" ref="B87:B150" si="27">B75+1</f>
        <v>2</v>
      </c>
      <c r="C87" s="11">
        <f t="shared" ref="C87:C150" si="28">C75</f>
        <v>2</v>
      </c>
      <c r="D87" s="12">
        <f t="shared" si="9"/>
        <v>575197.81083333329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25"/>
        <v>Nov'15/16</v>
      </c>
      <c r="I87" s="11" t="e">
        <f t="shared" si="26"/>
        <v>#N/A</v>
      </c>
      <c r="M87" s="6" t="s">
        <v>26</v>
      </c>
      <c r="N87" s="5">
        <f t="shared" si="24"/>
        <v>940082.62078499992</v>
      </c>
      <c r="O87" s="5">
        <f t="shared" si="13"/>
        <v>1735063.1826000002</v>
      </c>
      <c r="P87" s="5">
        <f t="shared" si="14"/>
        <v>2390218.2537316666</v>
      </c>
      <c r="Q87" s="5">
        <f t="shared" si="15"/>
        <v>2809134.9203983331</v>
      </c>
      <c r="R87" s="5">
        <f t="shared" si="16"/>
        <v>3180634.9203983331</v>
      </c>
      <c r="S87" s="5">
        <f t="shared" si="17"/>
        <v>3422084.9203983331</v>
      </c>
      <c r="T87" s="5">
        <f t="shared" si="18"/>
        <v>3822884.9203983331</v>
      </c>
      <c r="U87" s="5" t="e">
        <f t="shared" si="19"/>
        <v>#N/A</v>
      </c>
      <c r="V87" s="5" t="e">
        <f t="shared" si="20"/>
        <v>#N/A</v>
      </c>
      <c r="W87" s="5" t="e">
        <f t="shared" si="21"/>
        <v>#N/A</v>
      </c>
      <c r="X87" s="5" t="e">
        <f t="shared" si="22"/>
        <v>#N/A</v>
      </c>
      <c r="Y87" s="5" t="e">
        <f t="shared" si="23"/>
        <v>#N/A</v>
      </c>
    </row>
    <row r="88" spans="2:25" x14ac:dyDescent="0.55000000000000004">
      <c r="B88" s="11">
        <f t="shared" si="27"/>
        <v>2</v>
      </c>
      <c r="C88" s="11">
        <f t="shared" si="28"/>
        <v>3</v>
      </c>
      <c r="D88" s="12">
        <f t="shared" si="9"/>
        <v>527445.35824666661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25"/>
        <v>Dec'15/16</v>
      </c>
      <c r="I88" s="11" t="e">
        <f t="shared" si="26"/>
        <v>#N/A</v>
      </c>
      <c r="M88" s="6" t="s">
        <v>27</v>
      </c>
      <c r="N88" s="5" t="e">
        <f t="shared" si="24"/>
        <v>#N/A</v>
      </c>
      <c r="O88" s="5" t="e">
        <f t="shared" si="13"/>
        <v>#N/A</v>
      </c>
      <c r="P88" s="5" t="e">
        <f t="shared" si="14"/>
        <v>#N/A</v>
      </c>
      <c r="Q88" s="5" t="e">
        <f t="shared" si="15"/>
        <v>#N/A</v>
      </c>
      <c r="R88" s="5" t="e">
        <f t="shared" si="16"/>
        <v>#N/A</v>
      </c>
      <c r="S88" s="5" t="e">
        <f t="shared" si="17"/>
        <v>#N/A</v>
      </c>
      <c r="T88" s="5" t="e">
        <f t="shared" si="18"/>
        <v>#N/A</v>
      </c>
      <c r="U88" s="5" t="e">
        <f t="shared" si="19"/>
        <v>#N/A</v>
      </c>
      <c r="V88" s="5" t="e">
        <f t="shared" si="20"/>
        <v>#N/A</v>
      </c>
      <c r="W88" s="5" t="e">
        <f t="shared" si="21"/>
        <v>#N/A</v>
      </c>
      <c r="X88" s="5" t="e">
        <f t="shared" si="22"/>
        <v>#N/A</v>
      </c>
      <c r="Y88" s="5" t="e">
        <f t="shared" si="23"/>
        <v>#N/A</v>
      </c>
    </row>
    <row r="89" spans="2:25" x14ac:dyDescent="0.55000000000000004">
      <c r="B89" s="11">
        <f t="shared" si="27"/>
        <v>2</v>
      </c>
      <c r="C89" s="11">
        <f t="shared" si="28"/>
        <v>4</v>
      </c>
      <c r="D89" s="12">
        <f t="shared" si="9"/>
        <v>482040.49646666681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25"/>
        <v>Jan'15/16</v>
      </c>
      <c r="I89" s="11" t="e">
        <f t="shared" si="26"/>
        <v>#N/A</v>
      </c>
    </row>
    <row r="90" spans="2:25" x14ac:dyDescent="0.55000000000000004">
      <c r="B90" s="11">
        <f t="shared" si="27"/>
        <v>2</v>
      </c>
      <c r="C90" s="11">
        <f t="shared" si="28"/>
        <v>5</v>
      </c>
      <c r="D90" s="12">
        <f t="shared" si="9"/>
        <v>489518.71915333346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25"/>
        <v>Feb'15/16</v>
      </c>
      <c r="I90" s="11" t="e">
        <f t="shared" si="26"/>
        <v>#N/A</v>
      </c>
    </row>
    <row r="91" spans="2:25" x14ac:dyDescent="0.55000000000000004">
      <c r="B91" s="11">
        <f t="shared" si="27"/>
        <v>2</v>
      </c>
      <c r="C91" s="11">
        <f t="shared" si="28"/>
        <v>6</v>
      </c>
      <c r="D91" s="12">
        <f t="shared" si="9"/>
        <v>374154.8018983333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25"/>
        <v>Mar'15/16</v>
      </c>
      <c r="I91" s="11" t="e">
        <f t="shared" si="26"/>
        <v>#N/A</v>
      </c>
    </row>
    <row r="92" spans="2:25" x14ac:dyDescent="0.55000000000000004">
      <c r="B92" s="11">
        <f t="shared" si="27"/>
        <v>2</v>
      </c>
      <c r="C92" s="11">
        <f t="shared" si="28"/>
        <v>7</v>
      </c>
      <c r="D92" s="12">
        <f t="shared" si="9"/>
        <v>361813.29736000014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25"/>
        <v>Apr'15/16</v>
      </c>
      <c r="I92" s="11" t="e">
        <f t="shared" si="26"/>
        <v>#N/A</v>
      </c>
    </row>
    <row r="93" spans="2:25" x14ac:dyDescent="0.55000000000000004">
      <c r="B93" s="11">
        <f t="shared" si="27"/>
        <v>2</v>
      </c>
      <c r="C93" s="11">
        <f t="shared" si="28"/>
        <v>8</v>
      </c>
      <c r="D93" s="12">
        <f t="shared" si="9"/>
        <v>372577.8278883333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25"/>
        <v>May'15/16</v>
      </c>
      <c r="I93" s="11" t="e">
        <f t="shared" si="26"/>
        <v>#N/A</v>
      </c>
    </row>
    <row r="94" spans="2:25" x14ac:dyDescent="0.55000000000000004">
      <c r="B94" s="11">
        <f t="shared" si="27"/>
        <v>2</v>
      </c>
      <c r="C94" s="11">
        <f t="shared" si="28"/>
        <v>9</v>
      </c>
      <c r="D94" s="12">
        <f t="shared" si="9"/>
        <v>497743.49208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25"/>
        <v>Jun'15/16</v>
      </c>
      <c r="I94" s="11" t="e">
        <f t="shared" si="26"/>
        <v>#N/A</v>
      </c>
    </row>
    <row r="95" spans="2:25" x14ac:dyDescent="0.55000000000000004">
      <c r="B95" s="11">
        <f t="shared" si="27"/>
        <v>2</v>
      </c>
      <c r="C95" s="11">
        <f t="shared" si="28"/>
        <v>10</v>
      </c>
      <c r="D95" s="12">
        <f t="shared" si="9"/>
        <v>540506.12930833339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25"/>
        <v>Jul'15/16</v>
      </c>
      <c r="I95" s="11" t="e">
        <f t="shared" si="26"/>
        <v>#N/A</v>
      </c>
    </row>
    <row r="96" spans="2:25" x14ac:dyDescent="0.55000000000000004">
      <c r="B96" s="11">
        <f t="shared" si="27"/>
        <v>2</v>
      </c>
      <c r="C96" s="11">
        <f t="shared" si="28"/>
        <v>11</v>
      </c>
      <c r="D96" s="12">
        <f t="shared" si="9"/>
        <v>788405.83973999997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25"/>
        <v>Aug'15/16</v>
      </c>
      <c r="I96" s="11" t="e">
        <f t="shared" si="26"/>
        <v>#N/A</v>
      </c>
    </row>
    <row r="97" spans="2:9" x14ac:dyDescent="0.55000000000000004">
      <c r="B97" s="11">
        <f t="shared" si="27"/>
        <v>2</v>
      </c>
      <c r="C97" s="11">
        <f t="shared" si="28"/>
        <v>12</v>
      </c>
      <c r="D97" s="12">
        <f t="shared" si="9"/>
        <v>769884.04099000001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25"/>
        <v>Sep'15/16</v>
      </c>
      <c r="I97" s="11">
        <f t="shared" si="26"/>
        <v>6.7151920326316663</v>
      </c>
    </row>
    <row r="98" spans="2:9" x14ac:dyDescent="0.55000000000000004">
      <c r="B98" s="11">
        <f t="shared" si="27"/>
        <v>3</v>
      </c>
      <c r="C98" s="11">
        <f t="shared" si="28"/>
        <v>1</v>
      </c>
      <c r="D98" s="12">
        <f t="shared" si="9"/>
        <v>956680.75160166668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25"/>
        <v>Oct'16/17</v>
      </c>
      <c r="I98" s="11">
        <f t="shared" si="26"/>
        <v>6.7359685655666661</v>
      </c>
    </row>
    <row r="99" spans="2:9" x14ac:dyDescent="0.55000000000000004">
      <c r="B99" s="11">
        <f t="shared" si="27"/>
        <v>3</v>
      </c>
      <c r="C99" s="11">
        <f t="shared" si="28"/>
        <v>2</v>
      </c>
      <c r="D99" s="12">
        <f t="shared" si="9"/>
        <v>833812.70455333323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25"/>
        <v>Nov'16/17</v>
      </c>
      <c r="I99" s="11">
        <f t="shared" si="26"/>
        <v>6.9945834592866669</v>
      </c>
    </row>
    <row r="100" spans="2:9" x14ac:dyDescent="0.55000000000000004">
      <c r="B100" s="11">
        <f t="shared" si="27"/>
        <v>3</v>
      </c>
      <c r="C100" s="11">
        <f t="shared" si="28"/>
        <v>3</v>
      </c>
      <c r="D100" s="12">
        <f t="shared" si="9"/>
        <v>793334.73575000023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25"/>
        <v>Dec'16/17</v>
      </c>
      <c r="I100" s="11">
        <f t="shared" si="26"/>
        <v>7.2604728367899991</v>
      </c>
    </row>
    <row r="101" spans="2:9" x14ac:dyDescent="0.55000000000000004">
      <c r="B101" s="11">
        <f t="shared" si="27"/>
        <v>3</v>
      </c>
      <c r="C101" s="11">
        <f t="shared" si="28"/>
        <v>4</v>
      </c>
      <c r="D101" s="12">
        <f t="shared" si="9"/>
        <v>626208.33537666663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25"/>
        <v>Jan'16/17</v>
      </c>
      <c r="I101" s="11">
        <f t="shared" si="26"/>
        <v>7.4046406756999996</v>
      </c>
    </row>
    <row r="102" spans="2:9" x14ac:dyDescent="0.55000000000000004">
      <c r="B102" s="11">
        <f t="shared" si="27"/>
        <v>3</v>
      </c>
      <c r="C102" s="11">
        <f t="shared" si="28"/>
        <v>5</v>
      </c>
      <c r="D102" s="12">
        <f t="shared" si="9"/>
        <v>594761.93521000003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25"/>
        <v>Feb'16/17</v>
      </c>
      <c r="I102" s="11">
        <f t="shared" si="26"/>
        <v>7.509883891756667</v>
      </c>
    </row>
    <row r="103" spans="2:9" x14ac:dyDescent="0.55000000000000004">
      <c r="B103" s="11">
        <f t="shared" si="27"/>
        <v>3</v>
      </c>
      <c r="C103" s="11">
        <f t="shared" si="28"/>
        <v>6</v>
      </c>
      <c r="D103" s="12">
        <f t="shared" si="9"/>
        <v>590018.07886833348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25"/>
        <v>Mar'16/17</v>
      </c>
      <c r="I103" s="11">
        <f t="shared" si="26"/>
        <v>7.7257471687266666</v>
      </c>
    </row>
    <row r="104" spans="2:9" x14ac:dyDescent="0.55000000000000004">
      <c r="B104" s="11">
        <f t="shared" si="27"/>
        <v>3</v>
      </c>
      <c r="C104" s="11">
        <f t="shared" si="28"/>
        <v>7</v>
      </c>
      <c r="D104" s="12">
        <f t="shared" si="9"/>
        <v>594851.78939333337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25"/>
        <v>Apr'16/17</v>
      </c>
      <c r="I104" s="11">
        <f t="shared" si="26"/>
        <v>7.9587856607600003</v>
      </c>
    </row>
    <row r="105" spans="2:9" x14ac:dyDescent="0.55000000000000004">
      <c r="B105" s="11">
        <f t="shared" si="27"/>
        <v>3</v>
      </c>
      <c r="C105" s="11">
        <f t="shared" si="28"/>
        <v>8</v>
      </c>
      <c r="D105" s="12">
        <f t="shared" si="9"/>
        <v>753105.98493333336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25"/>
        <v>May'16/17</v>
      </c>
      <c r="I105" s="11">
        <f t="shared" si="26"/>
        <v>8.3393138178050012</v>
      </c>
    </row>
    <row r="106" spans="2:9" x14ac:dyDescent="0.55000000000000004">
      <c r="B106" s="11">
        <f t="shared" si="27"/>
        <v>3</v>
      </c>
      <c r="C106" s="11">
        <f t="shared" si="28"/>
        <v>9</v>
      </c>
      <c r="D106" s="12">
        <f t="shared" si="9"/>
        <v>731923.37046666665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25"/>
        <v>Jun'16/17</v>
      </c>
      <c r="I106" s="11">
        <f t="shared" si="26"/>
        <v>8.573493696191667</v>
      </c>
    </row>
    <row r="107" spans="2:9" x14ac:dyDescent="0.55000000000000004">
      <c r="B107" s="11">
        <f t="shared" si="27"/>
        <v>3</v>
      </c>
      <c r="C107" s="11">
        <f t="shared" si="28"/>
        <v>10</v>
      </c>
      <c r="D107" s="12">
        <f t="shared" si="9"/>
        <v>1063779.7744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25"/>
        <v>Jul'16/17</v>
      </c>
      <c r="I107" s="11">
        <f t="shared" si="26"/>
        <v>9.0967673412833321</v>
      </c>
    </row>
    <row r="108" spans="2:9" x14ac:dyDescent="0.55000000000000004">
      <c r="B108" s="11">
        <f t="shared" si="27"/>
        <v>3</v>
      </c>
      <c r="C108" s="11">
        <f t="shared" si="28"/>
        <v>11</v>
      </c>
      <c r="D108" s="12">
        <f t="shared" si="9"/>
        <v>914211.57449999999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25"/>
        <v>Aug'16/17</v>
      </c>
      <c r="I108" s="11">
        <f t="shared" si="26"/>
        <v>9.222573076043334</v>
      </c>
    </row>
    <row r="109" spans="2:9" x14ac:dyDescent="0.55000000000000004">
      <c r="B109" s="11">
        <f t="shared" si="27"/>
        <v>3</v>
      </c>
      <c r="C109" s="11">
        <f t="shared" si="28"/>
        <v>12</v>
      </c>
      <c r="D109" s="12">
        <f t="shared" si="9"/>
        <v>681923.75361666665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25"/>
        <v>Sep'16/17</v>
      </c>
      <c r="I109" s="11">
        <f t="shared" si="26"/>
        <v>9.1346127886699993</v>
      </c>
    </row>
    <row r="110" spans="2:9" x14ac:dyDescent="0.55000000000000004">
      <c r="B110" s="11">
        <f t="shared" si="27"/>
        <v>4</v>
      </c>
      <c r="C110" s="11">
        <f t="shared" si="28"/>
        <v>1</v>
      </c>
      <c r="D110" s="12">
        <f t="shared" si="9"/>
        <v>734190.88839333341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25"/>
        <v>Oct'17/18</v>
      </c>
      <c r="I110" s="11">
        <f t="shared" si="26"/>
        <v>8.9121229254616647</v>
      </c>
    </row>
    <row r="111" spans="2:9" x14ac:dyDescent="0.55000000000000004">
      <c r="B111" s="11">
        <f t="shared" si="27"/>
        <v>4</v>
      </c>
      <c r="C111" s="11">
        <f t="shared" si="28"/>
        <v>2</v>
      </c>
      <c r="D111" s="12">
        <f t="shared" si="9"/>
        <v>508007.99922500004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25"/>
        <v>Nov'17/18</v>
      </c>
      <c r="I111" s="11">
        <f t="shared" si="26"/>
        <v>8.5863182201333323</v>
      </c>
    </row>
    <row r="112" spans="2:9" x14ac:dyDescent="0.55000000000000004">
      <c r="B112" s="11">
        <f t="shared" si="27"/>
        <v>4</v>
      </c>
      <c r="C112" s="11">
        <f t="shared" si="28"/>
        <v>3</v>
      </c>
      <c r="D112" s="12">
        <f t="shared" si="9"/>
        <v>401581.04844166659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25"/>
        <v>Dec'17/18</v>
      </c>
      <c r="I112" s="11">
        <f t="shared" si="26"/>
        <v>8.1945645328249999</v>
      </c>
    </row>
    <row r="113" spans="2:9" x14ac:dyDescent="0.55000000000000004">
      <c r="B113" s="11">
        <f t="shared" si="27"/>
        <v>4</v>
      </c>
      <c r="C113" s="11">
        <f t="shared" si="28"/>
        <v>4</v>
      </c>
      <c r="D113" s="12">
        <f t="shared" si="9"/>
        <v>329097.88410000008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25"/>
        <v>Jan'17/18</v>
      </c>
      <c r="I113" s="11">
        <f t="shared" si="26"/>
        <v>7.8974540815483332</v>
      </c>
    </row>
    <row r="114" spans="2:9" x14ac:dyDescent="0.55000000000000004">
      <c r="B114" s="11">
        <f t="shared" si="27"/>
        <v>4</v>
      </c>
      <c r="C114" s="11">
        <f t="shared" si="28"/>
        <v>5</v>
      </c>
      <c r="D114" s="12">
        <f t="shared" si="9"/>
        <v>292241.65825833339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25"/>
        <v>Feb'17/18</v>
      </c>
      <c r="I114" s="11">
        <f t="shared" si="26"/>
        <v>7.5949338045966668</v>
      </c>
    </row>
    <row r="115" spans="2:9" x14ac:dyDescent="0.55000000000000004">
      <c r="B115" s="11">
        <f t="shared" si="27"/>
        <v>4</v>
      </c>
      <c r="C115" s="11">
        <f t="shared" si="28"/>
        <v>6</v>
      </c>
      <c r="D115" s="12">
        <f t="shared" si="9"/>
        <v>349448.40274166659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25"/>
        <v>Mar'17/18</v>
      </c>
      <c r="I115" s="11">
        <f t="shared" si="26"/>
        <v>7.3543641284700012</v>
      </c>
    </row>
    <row r="116" spans="2:9" x14ac:dyDescent="0.55000000000000004">
      <c r="B116" s="11">
        <f t="shared" si="27"/>
        <v>4</v>
      </c>
      <c r="C116" s="11">
        <f t="shared" si="28"/>
        <v>7</v>
      </c>
      <c r="D116" s="12">
        <f t="shared" si="9"/>
        <v>315454.69800833339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25"/>
        <v>Apr'17/18</v>
      </c>
      <c r="I116" s="11">
        <f t="shared" si="26"/>
        <v>7.0749670370850009</v>
      </c>
    </row>
    <row r="117" spans="2:9" x14ac:dyDescent="0.55000000000000004">
      <c r="B117" s="11">
        <f t="shared" si="27"/>
        <v>4</v>
      </c>
      <c r="C117" s="11">
        <f t="shared" si="28"/>
        <v>8</v>
      </c>
      <c r="D117" s="12">
        <f t="shared" si="9"/>
        <v>405393.36304166663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25"/>
        <v>May'17/18</v>
      </c>
      <c r="I117" s="11">
        <f t="shared" si="26"/>
        <v>6.7272544151933333</v>
      </c>
    </row>
    <row r="118" spans="2:9" x14ac:dyDescent="0.55000000000000004">
      <c r="B118" s="11">
        <f t="shared" si="27"/>
        <v>4</v>
      </c>
      <c r="C118" s="11">
        <f t="shared" si="28"/>
        <v>9</v>
      </c>
      <c r="D118" s="12">
        <f t="shared" si="9"/>
        <v>349001.01218333322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25"/>
        <v>Jun'17/18</v>
      </c>
      <c r="I118" s="11">
        <f t="shared" si="26"/>
        <v>6.3443320569099999</v>
      </c>
    </row>
    <row r="119" spans="2:9" x14ac:dyDescent="0.55000000000000004">
      <c r="B119" s="11">
        <f t="shared" si="27"/>
        <v>4</v>
      </c>
      <c r="C119" s="11">
        <f t="shared" si="28"/>
        <v>10</v>
      </c>
      <c r="D119" s="12">
        <f t="shared" si="9"/>
        <v>535174.51707499998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25"/>
        <v>Jul'17/18</v>
      </c>
      <c r="I119" s="11">
        <f t="shared" si="26"/>
        <v>5.8157267995849988</v>
      </c>
    </row>
    <row r="120" spans="2:9" x14ac:dyDescent="0.55000000000000004">
      <c r="B120" s="11">
        <f t="shared" si="27"/>
        <v>4</v>
      </c>
      <c r="C120" s="11">
        <f t="shared" si="28"/>
        <v>11</v>
      </c>
      <c r="D120" s="12">
        <f t="shared" si="9"/>
        <v>516199.76455000008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25"/>
        <v>Aug'17/18</v>
      </c>
      <c r="I120" s="11">
        <f t="shared" si="26"/>
        <v>5.4177149896349999</v>
      </c>
    </row>
    <row r="121" spans="2:9" x14ac:dyDescent="0.55000000000000004">
      <c r="B121" s="11">
        <f t="shared" si="27"/>
        <v>4</v>
      </c>
      <c r="C121" s="11">
        <f t="shared" si="28"/>
        <v>12</v>
      </c>
      <c r="D121" s="12">
        <f t="shared" si="9"/>
        <v>462006.61928500014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25"/>
        <v>Sep'17/18</v>
      </c>
      <c r="I121" s="11">
        <f t="shared" si="26"/>
        <v>5.1977978553033353</v>
      </c>
    </row>
    <row r="122" spans="2:9" x14ac:dyDescent="0.55000000000000004">
      <c r="B122" s="11">
        <f t="shared" si="27"/>
        <v>5</v>
      </c>
      <c r="C122" s="11">
        <f t="shared" si="28"/>
        <v>1</v>
      </c>
      <c r="D122" s="12">
        <f t="shared" si="9"/>
        <v>467544.5961416667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25"/>
        <v>Oct'18/19</v>
      </c>
      <c r="I122" s="11">
        <f t="shared" si="26"/>
        <v>4.9311515630516674</v>
      </c>
    </row>
    <row r="123" spans="2:9" x14ac:dyDescent="0.55000000000000004">
      <c r="B123" s="11">
        <f t="shared" si="27"/>
        <v>5</v>
      </c>
      <c r="C123" s="11">
        <f t="shared" si="28"/>
        <v>2</v>
      </c>
      <c r="D123" s="12">
        <f t="shared" si="9"/>
        <v>426653.30716666672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25"/>
        <v>Nov'18/19</v>
      </c>
      <c r="I123" s="11">
        <f t="shared" si="26"/>
        <v>4.849796870993333</v>
      </c>
    </row>
    <row r="124" spans="2:9" x14ac:dyDescent="0.55000000000000004">
      <c r="B124" s="11">
        <f t="shared" si="27"/>
        <v>5</v>
      </c>
      <c r="C124" s="11">
        <f t="shared" si="28"/>
        <v>3</v>
      </c>
      <c r="D124" s="12">
        <f t="shared" si="9"/>
        <v>452386.2718600001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25"/>
        <v>Dec'18/19</v>
      </c>
      <c r="I124" s="11">
        <f t="shared" si="26"/>
        <v>4.9006020944116662</v>
      </c>
    </row>
    <row r="125" spans="2:9" x14ac:dyDescent="0.55000000000000004">
      <c r="B125" s="11">
        <f t="shared" si="27"/>
        <v>5</v>
      </c>
      <c r="C125" s="11">
        <f t="shared" si="28"/>
        <v>4</v>
      </c>
      <c r="D125" s="12">
        <f t="shared" si="9"/>
        <v>468449.7808500001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25"/>
        <v>Jan'18/19</v>
      </c>
      <c r="I125" s="11">
        <f t="shared" si="26"/>
        <v>5.0399539911616662</v>
      </c>
    </row>
    <row r="126" spans="2:9" x14ac:dyDescent="0.55000000000000004">
      <c r="B126" s="11">
        <f t="shared" si="27"/>
        <v>5</v>
      </c>
      <c r="C126" s="11">
        <f t="shared" si="28"/>
        <v>5</v>
      </c>
      <c r="D126" s="12">
        <f t="shared" si="9"/>
        <v>429530.94293666672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25"/>
        <v>Feb'18/19</v>
      </c>
      <c r="I126" s="11">
        <f t="shared" si="26"/>
        <v>5.1772432758399995</v>
      </c>
    </row>
    <row r="127" spans="2:9" x14ac:dyDescent="0.55000000000000004">
      <c r="B127" s="11">
        <f t="shared" si="27"/>
        <v>5</v>
      </c>
      <c r="C127" s="11">
        <f t="shared" si="28"/>
        <v>6</v>
      </c>
      <c r="D127" s="12">
        <f t="shared" si="9"/>
        <v>368780.27383000002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25"/>
        <v>Mar'18/19</v>
      </c>
      <c r="I127" s="11">
        <f t="shared" si="26"/>
        <v>5.1965751469283337</v>
      </c>
    </row>
    <row r="128" spans="2:9" x14ac:dyDescent="0.55000000000000004">
      <c r="B128" s="11">
        <f t="shared" si="27"/>
        <v>5</v>
      </c>
      <c r="C128" s="11">
        <f t="shared" si="28"/>
        <v>7</v>
      </c>
      <c r="D128" s="12">
        <f t="shared" si="9"/>
        <v>386141.77272499999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25"/>
        <v>Apr'18/19</v>
      </c>
      <c r="I128" s="11">
        <f t="shared" si="26"/>
        <v>5.2672622216450007</v>
      </c>
    </row>
    <row r="129" spans="2:9" x14ac:dyDescent="0.55000000000000004">
      <c r="B129" s="11">
        <f t="shared" si="27"/>
        <v>5</v>
      </c>
      <c r="C129" s="11">
        <f t="shared" si="28"/>
        <v>8</v>
      </c>
      <c r="D129" s="12">
        <f t="shared" si="9"/>
        <v>403813.40048833343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25"/>
        <v>May'18/19</v>
      </c>
      <c r="I129" s="11">
        <f t="shared" si="26"/>
        <v>5.2656822590916681</v>
      </c>
    </row>
    <row r="130" spans="2:9" x14ac:dyDescent="0.55000000000000004">
      <c r="B130" s="11">
        <f t="shared" si="27"/>
        <v>5</v>
      </c>
      <c r="C130" s="11">
        <f t="shared" si="28"/>
        <v>9</v>
      </c>
      <c r="D130" s="12">
        <f t="shared" si="9"/>
        <v>368434.84669833333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25"/>
        <v>Jun'18/19</v>
      </c>
      <c r="I130" s="11">
        <f t="shared" si="26"/>
        <v>5.2851160936066677</v>
      </c>
    </row>
    <row r="131" spans="2:9" x14ac:dyDescent="0.55000000000000004">
      <c r="B131" s="11">
        <f t="shared" si="27"/>
        <v>5</v>
      </c>
      <c r="C131" s="11">
        <f t="shared" si="28"/>
        <v>10</v>
      </c>
      <c r="D131" s="12">
        <f t="shared" si="9"/>
        <v>558591.66074833332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25"/>
        <v>Jul'18/19</v>
      </c>
      <c r="I131" s="11">
        <f t="shared" si="26"/>
        <v>5.3085332372800007</v>
      </c>
    </row>
    <row r="132" spans="2:9" x14ac:dyDescent="0.55000000000000004">
      <c r="B132" s="11">
        <f t="shared" si="27"/>
        <v>5</v>
      </c>
      <c r="C132" s="11">
        <f t="shared" si="28"/>
        <v>11</v>
      </c>
      <c r="D132" s="12">
        <f t="shared" si="9"/>
        <v>633067.25544333318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25"/>
        <v>Aug'18/19</v>
      </c>
      <c r="I132" s="11">
        <f t="shared" si="26"/>
        <v>5.4254007281733339</v>
      </c>
    </row>
    <row r="133" spans="2:9" x14ac:dyDescent="0.55000000000000004">
      <c r="B133" s="11">
        <f t="shared" si="27"/>
        <v>5</v>
      </c>
      <c r="C133" s="11">
        <f t="shared" si="28"/>
        <v>12</v>
      </c>
      <c r="D133" s="12">
        <f t="shared" si="9"/>
        <v>782875.01379666664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25"/>
        <v>Sep'18/19</v>
      </c>
      <c r="I133" s="11">
        <f t="shared" si="26"/>
        <v>5.7462691226850007</v>
      </c>
    </row>
    <row r="134" spans="2:9" x14ac:dyDescent="0.55000000000000004">
      <c r="B134" s="11">
        <f t="shared" si="27"/>
        <v>6</v>
      </c>
      <c r="C134" s="11">
        <f t="shared" si="28"/>
        <v>1</v>
      </c>
      <c r="D134" s="12">
        <f t="shared" si="9"/>
        <v>696741.68600666686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25"/>
        <v>Oct'19/20</v>
      </c>
      <c r="I134" s="11">
        <f t="shared" si="26"/>
        <v>5.9754662125500015</v>
      </c>
    </row>
    <row r="135" spans="2:9" x14ac:dyDescent="0.55000000000000004">
      <c r="B135" s="11">
        <f t="shared" si="27"/>
        <v>6</v>
      </c>
      <c r="C135" s="11">
        <f t="shared" si="28"/>
        <v>2</v>
      </c>
      <c r="D135" s="12">
        <f t="shared" si="9"/>
        <v>636413.80076833325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25"/>
        <v>Nov'19/20</v>
      </c>
      <c r="I135" s="11">
        <f t="shared" si="26"/>
        <v>6.185226706151667</v>
      </c>
    </row>
    <row r="136" spans="2:9" x14ac:dyDescent="0.55000000000000004">
      <c r="B136" s="11">
        <f t="shared" si="27"/>
        <v>6</v>
      </c>
      <c r="C136" s="11">
        <f t="shared" si="28"/>
        <v>3</v>
      </c>
      <c r="D136" s="12">
        <f t="shared" si="9"/>
        <v>551034.07558333338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25"/>
        <v>Dec'19/20</v>
      </c>
      <c r="I136" s="11">
        <f t="shared" si="26"/>
        <v>6.2838745098750008</v>
      </c>
    </row>
    <row r="137" spans="2:9" x14ac:dyDescent="0.55000000000000004">
      <c r="B137" s="11">
        <f t="shared" si="27"/>
        <v>6</v>
      </c>
      <c r="C137" s="11">
        <f t="shared" si="28"/>
        <v>4</v>
      </c>
      <c r="D137" s="12">
        <f t="shared" si="9"/>
        <v>504333.49460999999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25"/>
        <v>Jan'19/20</v>
      </c>
      <c r="I137" s="11">
        <f t="shared" si="26"/>
        <v>6.3197582236350005</v>
      </c>
    </row>
    <row r="138" spans="2:9" x14ac:dyDescent="0.55000000000000004">
      <c r="B138" s="11">
        <f t="shared" si="27"/>
        <v>6</v>
      </c>
      <c r="C138" s="11">
        <f t="shared" si="28"/>
        <v>5</v>
      </c>
      <c r="D138" s="12">
        <f t="shared" si="9"/>
        <v>475254.35848999996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25"/>
        <v>Feb'19/20</v>
      </c>
      <c r="I138" s="11">
        <f t="shared" si="26"/>
        <v>6.3654816391883333</v>
      </c>
    </row>
    <row r="139" spans="2:9" x14ac:dyDescent="0.55000000000000004">
      <c r="B139" s="11">
        <f t="shared" si="27"/>
        <v>6</v>
      </c>
      <c r="C139" s="11">
        <f t="shared" si="28"/>
        <v>6</v>
      </c>
      <c r="D139" s="12">
        <f t="shared" ref="D139:D202" si="29">INDEX($C$7:$N$19,MATCH(B139,$A$7:$A$19),MATCH(C139,$C$4:$N$4))</f>
        <v>459799.84873333341</v>
      </c>
      <c r="E139" s="11" t="str">
        <f t="shared" ref="E139:E202" si="30">_xlfn.XLOOKUP(B139,$A$7:$A$19,$B$7:$B$19)</f>
        <v>19/20</v>
      </c>
      <c r="F139" s="11" t="str">
        <f t="shared" ref="F139:F202" si="31">_xlfn.XLOOKUP(C139,$C$4:$N$4,$C$6:$N$6)</f>
        <v>Mar</v>
      </c>
      <c r="G139" s="11" t="str">
        <f t="shared" ref="G139:G202" si="32">_xlfn.CONCAT(F139,"'",E139)</f>
        <v>Mar'19/20</v>
      </c>
      <c r="H139" s="11" t="str">
        <f t="shared" si="25"/>
        <v>Mar'19/20</v>
      </c>
      <c r="I139" s="11">
        <f t="shared" si="26"/>
        <v>6.4565012140916664</v>
      </c>
    </row>
    <row r="140" spans="2:9" x14ac:dyDescent="0.55000000000000004">
      <c r="B140" s="11">
        <f t="shared" si="27"/>
        <v>6</v>
      </c>
      <c r="C140" s="11">
        <f t="shared" si="28"/>
        <v>7</v>
      </c>
      <c r="D140" s="12">
        <f t="shared" si="29"/>
        <v>465145.48583333351</v>
      </c>
      <c r="E140" s="11" t="str">
        <f t="shared" si="30"/>
        <v>19/20</v>
      </c>
      <c r="F140" s="11" t="str">
        <f t="shared" si="31"/>
        <v>Apr</v>
      </c>
      <c r="G140" s="11" t="str">
        <f t="shared" si="32"/>
        <v>Apr'19/20</v>
      </c>
      <c r="H140" s="11" t="str">
        <f t="shared" si="25"/>
        <v>Apr'19/20</v>
      </c>
      <c r="I140" s="11">
        <f t="shared" si="26"/>
        <v>6.5355049272000008</v>
      </c>
    </row>
    <row r="141" spans="2:9" x14ac:dyDescent="0.55000000000000004">
      <c r="B141" s="11">
        <f t="shared" si="27"/>
        <v>6</v>
      </c>
      <c r="C141" s="11">
        <f t="shared" si="28"/>
        <v>8</v>
      </c>
      <c r="D141" s="12">
        <f t="shared" si="29"/>
        <v>316066.12516666675</v>
      </c>
      <c r="E141" s="11" t="str">
        <f t="shared" si="30"/>
        <v>19/20</v>
      </c>
      <c r="F141" s="11" t="str">
        <f t="shared" si="31"/>
        <v>May</v>
      </c>
      <c r="G141" s="11" t="str">
        <f t="shared" si="32"/>
        <v>May'19/20</v>
      </c>
      <c r="H141" s="11" t="str">
        <f t="shared" si="25"/>
        <v>May'19/20</v>
      </c>
      <c r="I141" s="11">
        <f t="shared" si="26"/>
        <v>6.4477576518783337</v>
      </c>
    </row>
    <row r="142" spans="2:9" x14ac:dyDescent="0.55000000000000004">
      <c r="B142" s="11">
        <f t="shared" si="27"/>
        <v>6</v>
      </c>
      <c r="C142" s="11">
        <f t="shared" si="28"/>
        <v>9</v>
      </c>
      <c r="D142" s="12">
        <f t="shared" si="29"/>
        <v>498901.55413166666</v>
      </c>
      <c r="E142" s="11" t="str">
        <f t="shared" si="30"/>
        <v>19/20</v>
      </c>
      <c r="F142" s="11" t="str">
        <f t="shared" si="31"/>
        <v>Jun</v>
      </c>
      <c r="G142" s="11" t="str">
        <f t="shared" si="32"/>
        <v>Jun'19/20</v>
      </c>
      <c r="H142" s="11" t="str">
        <f t="shared" si="25"/>
        <v>Jun'19/20</v>
      </c>
      <c r="I142" s="11">
        <f t="shared" si="26"/>
        <v>6.578224359311668</v>
      </c>
    </row>
    <row r="143" spans="2:9" x14ac:dyDescent="0.55000000000000004">
      <c r="B143" s="11">
        <f t="shared" si="27"/>
        <v>6</v>
      </c>
      <c r="C143" s="11">
        <f t="shared" si="28"/>
        <v>10</v>
      </c>
      <c r="D143" s="12">
        <f t="shared" si="29"/>
        <v>581966.54152500001</v>
      </c>
      <c r="E143" s="11" t="str">
        <f t="shared" si="30"/>
        <v>19/20</v>
      </c>
      <c r="F143" s="11" t="str">
        <f t="shared" si="31"/>
        <v>Jul</v>
      </c>
      <c r="G143" s="11" t="str">
        <f t="shared" si="32"/>
        <v>Jul'19/20</v>
      </c>
      <c r="H143" s="11" t="str">
        <f t="shared" si="25"/>
        <v>Jul'19/20</v>
      </c>
      <c r="I143" s="11">
        <f t="shared" si="26"/>
        <v>6.6015992400883334</v>
      </c>
    </row>
    <row r="144" spans="2:9" x14ac:dyDescent="0.55000000000000004">
      <c r="B144" s="11">
        <f t="shared" si="27"/>
        <v>6</v>
      </c>
      <c r="C144" s="11">
        <f t="shared" si="28"/>
        <v>11</v>
      </c>
      <c r="D144" s="12">
        <f t="shared" si="29"/>
        <v>553276.44655166683</v>
      </c>
      <c r="E144" s="11" t="str">
        <f t="shared" si="30"/>
        <v>19/20</v>
      </c>
      <c r="F144" s="11" t="str">
        <f t="shared" si="31"/>
        <v>Aug</v>
      </c>
      <c r="G144" s="11" t="str">
        <f t="shared" si="32"/>
        <v>Aug'19/20</v>
      </c>
      <c r="H144" s="11" t="str">
        <f t="shared" si="25"/>
        <v>Aug'19/20</v>
      </c>
      <c r="I144" s="11">
        <f t="shared" si="26"/>
        <v>6.5218084311966669</v>
      </c>
    </row>
    <row r="145" spans="2:9" x14ac:dyDescent="0.55000000000000004">
      <c r="B145" s="11">
        <f t="shared" si="27"/>
        <v>6</v>
      </c>
      <c r="C145" s="11">
        <f t="shared" si="28"/>
        <v>12</v>
      </c>
      <c r="D145" s="12">
        <f t="shared" si="29"/>
        <v>683927.61250000016</v>
      </c>
      <c r="E145" s="11" t="str">
        <f t="shared" si="30"/>
        <v>19/20</v>
      </c>
      <c r="F145" s="11" t="str">
        <f t="shared" si="31"/>
        <v>Sep</v>
      </c>
      <c r="G145" s="11" t="str">
        <f t="shared" si="32"/>
        <v>Sep'19/20</v>
      </c>
      <c r="H145" s="11" t="str">
        <f t="shared" si="25"/>
        <v>Sep'19/20</v>
      </c>
      <c r="I145" s="11">
        <f t="shared" si="26"/>
        <v>6.4228610299000009</v>
      </c>
    </row>
    <row r="146" spans="2:9" x14ac:dyDescent="0.55000000000000004">
      <c r="B146" s="11">
        <f t="shared" si="27"/>
        <v>7</v>
      </c>
      <c r="C146" s="11">
        <f t="shared" si="28"/>
        <v>1</v>
      </c>
      <c r="D146" s="12">
        <f t="shared" si="29"/>
        <v>729682.77033333329</v>
      </c>
      <c r="E146" s="11" t="str">
        <f t="shared" si="30"/>
        <v>20/21</v>
      </c>
      <c r="F146" s="11" t="str">
        <f t="shared" si="31"/>
        <v>Oct</v>
      </c>
      <c r="G146" s="11" t="str">
        <f t="shared" si="32"/>
        <v>Oct'20/21</v>
      </c>
      <c r="H146" s="11" t="str">
        <f t="shared" si="25"/>
        <v>Oct'20/21</v>
      </c>
      <c r="I146" s="11">
        <f t="shared" si="26"/>
        <v>6.4558021142266666</v>
      </c>
    </row>
    <row r="147" spans="2:9" x14ac:dyDescent="0.55000000000000004">
      <c r="B147" s="11">
        <f t="shared" si="27"/>
        <v>7</v>
      </c>
      <c r="C147" s="11">
        <f t="shared" si="28"/>
        <v>2</v>
      </c>
      <c r="D147" s="12">
        <f t="shared" si="29"/>
        <v>626974.50583333336</v>
      </c>
      <c r="E147" s="11" t="str">
        <f t="shared" si="30"/>
        <v>20/21</v>
      </c>
      <c r="F147" s="11" t="str">
        <f t="shared" si="31"/>
        <v>Nov</v>
      </c>
      <c r="G147" s="11" t="str">
        <f t="shared" si="32"/>
        <v>Nov'20/21</v>
      </c>
      <c r="H147" s="11" t="str">
        <f t="shared" si="25"/>
        <v>Nov'20/21</v>
      </c>
      <c r="I147" s="11">
        <f t="shared" si="26"/>
        <v>6.4463628192916662</v>
      </c>
    </row>
    <row r="148" spans="2:9" x14ac:dyDescent="0.55000000000000004">
      <c r="B148" s="11">
        <f t="shared" si="27"/>
        <v>7</v>
      </c>
      <c r="C148" s="11">
        <f t="shared" si="28"/>
        <v>3</v>
      </c>
      <c r="D148" s="12">
        <f t="shared" si="29"/>
        <v>737318.6877266668</v>
      </c>
      <c r="E148" s="11" t="str">
        <f t="shared" si="30"/>
        <v>20/21</v>
      </c>
      <c r="F148" s="11" t="str">
        <f t="shared" si="31"/>
        <v>Dec</v>
      </c>
      <c r="G148" s="11" t="str">
        <f t="shared" si="32"/>
        <v>Dec'20/21</v>
      </c>
      <c r="H148" s="11" t="str">
        <f t="shared" si="25"/>
        <v>Dec'20/21</v>
      </c>
      <c r="I148" s="11">
        <f t="shared" si="26"/>
        <v>6.6326474314350001</v>
      </c>
    </row>
    <row r="149" spans="2:9" x14ac:dyDescent="0.55000000000000004">
      <c r="B149" s="11">
        <f t="shared" si="27"/>
        <v>7</v>
      </c>
      <c r="C149" s="11">
        <f t="shared" si="28"/>
        <v>4</v>
      </c>
      <c r="D149" s="12">
        <f t="shared" si="29"/>
        <v>606007.02176333359</v>
      </c>
      <c r="E149" s="11" t="str">
        <f t="shared" si="30"/>
        <v>20/21</v>
      </c>
      <c r="F149" s="11" t="str">
        <f t="shared" si="31"/>
        <v>Jan</v>
      </c>
      <c r="G149" s="11" t="str">
        <f t="shared" si="32"/>
        <v>Jan'20/21</v>
      </c>
      <c r="H149" s="11" t="str">
        <f t="shared" si="25"/>
        <v>Jan'20/21</v>
      </c>
      <c r="I149" s="11">
        <f t="shared" si="26"/>
        <v>6.7343209585883335</v>
      </c>
    </row>
    <row r="150" spans="2:9" x14ac:dyDescent="0.55000000000000004">
      <c r="B150" s="11">
        <f t="shared" si="27"/>
        <v>7</v>
      </c>
      <c r="C150" s="11">
        <f t="shared" si="28"/>
        <v>5</v>
      </c>
      <c r="D150" s="12">
        <f t="shared" si="29"/>
        <v>523347.41142500006</v>
      </c>
      <c r="E150" s="11" t="str">
        <f t="shared" si="30"/>
        <v>20/21</v>
      </c>
      <c r="F150" s="11" t="str">
        <f t="shared" si="31"/>
        <v>Feb</v>
      </c>
      <c r="G150" s="11" t="str">
        <f t="shared" si="32"/>
        <v>Feb'20/21</v>
      </c>
      <c r="H150" s="11" t="str">
        <f t="shared" ref="H150:H213" si="33">G150</f>
        <v>Feb'20/21</v>
      </c>
      <c r="I150" s="11">
        <f t="shared" ref="I150:I213" si="34">SUM(D139:D150)/1000000</f>
        <v>6.7824140115233345</v>
      </c>
    </row>
    <row r="151" spans="2:9" x14ac:dyDescent="0.55000000000000004">
      <c r="B151" s="11">
        <f t="shared" ref="B151:B214" si="35">B139+1</f>
        <v>7</v>
      </c>
      <c r="C151" s="11">
        <f t="shared" ref="C151:C214" si="36">C139</f>
        <v>6</v>
      </c>
      <c r="D151" s="12">
        <f t="shared" si="29"/>
        <v>522164.38328000007</v>
      </c>
      <c r="E151" s="11" t="str">
        <f t="shared" si="30"/>
        <v>20/21</v>
      </c>
      <c r="F151" s="11" t="str">
        <f t="shared" si="31"/>
        <v>Mar</v>
      </c>
      <c r="G151" s="11" t="str">
        <f t="shared" si="32"/>
        <v>Mar'20/21</v>
      </c>
      <c r="H151" s="11" t="str">
        <f t="shared" si="33"/>
        <v>Mar'20/21</v>
      </c>
      <c r="I151" s="11">
        <f t="shared" si="34"/>
        <v>6.8447785460700024</v>
      </c>
    </row>
    <row r="152" spans="2:9" x14ac:dyDescent="0.55000000000000004">
      <c r="B152" s="11">
        <f t="shared" si="35"/>
        <v>7</v>
      </c>
      <c r="C152" s="11">
        <f t="shared" si="36"/>
        <v>7</v>
      </c>
      <c r="D152" s="12">
        <f t="shared" si="29"/>
        <v>439966.18609500001</v>
      </c>
      <c r="E152" s="11" t="str">
        <f t="shared" si="30"/>
        <v>20/21</v>
      </c>
      <c r="F152" s="11" t="str">
        <f t="shared" si="31"/>
        <v>Apr</v>
      </c>
      <c r="G152" s="11" t="str">
        <f t="shared" si="32"/>
        <v>Apr'20/21</v>
      </c>
      <c r="H152" s="11" t="str">
        <f t="shared" si="33"/>
        <v>Apr'20/21</v>
      </c>
      <c r="I152" s="11">
        <f t="shared" si="34"/>
        <v>6.8195992463316681</v>
      </c>
    </row>
    <row r="153" spans="2:9" x14ac:dyDescent="0.55000000000000004">
      <c r="B153" s="11">
        <f t="shared" si="35"/>
        <v>7</v>
      </c>
      <c r="C153" s="11">
        <f t="shared" si="36"/>
        <v>8</v>
      </c>
      <c r="D153" s="12">
        <f t="shared" si="29"/>
        <v>256368.86603499998</v>
      </c>
      <c r="E153" s="11" t="str">
        <f t="shared" si="30"/>
        <v>20/21</v>
      </c>
      <c r="F153" s="11" t="str">
        <f t="shared" si="31"/>
        <v>May</v>
      </c>
      <c r="G153" s="11" t="str">
        <f t="shared" si="32"/>
        <v>May'20/21</v>
      </c>
      <c r="H153" s="11" t="str">
        <f t="shared" si="33"/>
        <v>May'20/21</v>
      </c>
      <c r="I153" s="11">
        <f t="shared" si="34"/>
        <v>6.759901987200001</v>
      </c>
    </row>
    <row r="154" spans="2:9" x14ac:dyDescent="0.55000000000000004">
      <c r="B154" s="11">
        <f t="shared" si="35"/>
        <v>7</v>
      </c>
      <c r="C154" s="11">
        <f t="shared" si="36"/>
        <v>9</v>
      </c>
      <c r="D154" s="12">
        <f t="shared" si="29"/>
        <v>452127.79786833329</v>
      </c>
      <c r="E154" s="11" t="str">
        <f t="shared" si="30"/>
        <v>20/21</v>
      </c>
      <c r="F154" s="11" t="str">
        <f t="shared" si="31"/>
        <v>Jun</v>
      </c>
      <c r="G154" s="11" t="str">
        <f t="shared" si="32"/>
        <v>Jun'20/21</v>
      </c>
      <c r="H154" s="11" t="str">
        <f t="shared" si="33"/>
        <v>Jun'20/21</v>
      </c>
      <c r="I154" s="11">
        <f t="shared" si="34"/>
        <v>6.7131282309366691</v>
      </c>
    </row>
    <row r="155" spans="2:9" x14ac:dyDescent="0.55000000000000004">
      <c r="B155" s="11">
        <f t="shared" si="35"/>
        <v>7</v>
      </c>
      <c r="C155" s="11">
        <f t="shared" si="36"/>
        <v>10</v>
      </c>
      <c r="D155" s="12">
        <f t="shared" si="29"/>
        <v>445161.94393000018</v>
      </c>
      <c r="E155" s="11" t="str">
        <f t="shared" si="30"/>
        <v>20/21</v>
      </c>
      <c r="F155" s="11" t="str">
        <f t="shared" si="31"/>
        <v>Jul</v>
      </c>
      <c r="G155" s="11" t="str">
        <f t="shared" si="32"/>
        <v>Jul'20/21</v>
      </c>
      <c r="H155" s="11" t="str">
        <f t="shared" si="33"/>
        <v>Jul'20/21</v>
      </c>
      <c r="I155" s="11">
        <f t="shared" si="34"/>
        <v>6.5763236333416684</v>
      </c>
    </row>
    <row r="156" spans="2:9" x14ac:dyDescent="0.55000000000000004">
      <c r="B156" s="11">
        <f t="shared" si="35"/>
        <v>7</v>
      </c>
      <c r="C156" s="11">
        <f t="shared" si="36"/>
        <v>11</v>
      </c>
      <c r="D156" s="12">
        <f t="shared" si="29"/>
        <v>589541.3019083332</v>
      </c>
      <c r="E156" s="11" t="str">
        <f t="shared" si="30"/>
        <v>20/21</v>
      </c>
      <c r="F156" s="11" t="str">
        <f t="shared" si="31"/>
        <v>Aug</v>
      </c>
      <c r="G156" s="11" t="str">
        <f t="shared" si="32"/>
        <v>Aug'20/21</v>
      </c>
      <c r="H156" s="11" t="str">
        <f t="shared" si="33"/>
        <v>Aug'20/21</v>
      </c>
      <c r="I156" s="11">
        <f t="shared" si="34"/>
        <v>6.6125884886983339</v>
      </c>
    </row>
    <row r="157" spans="2:9" x14ac:dyDescent="0.55000000000000004">
      <c r="B157" s="11">
        <f t="shared" si="35"/>
        <v>7</v>
      </c>
      <c r="C157" s="11">
        <f t="shared" si="36"/>
        <v>12</v>
      </c>
      <c r="D157" s="12">
        <f t="shared" si="29"/>
        <v>682150.91923666652</v>
      </c>
      <c r="E157" s="11" t="str">
        <f t="shared" si="30"/>
        <v>20/21</v>
      </c>
      <c r="F157" s="11" t="str">
        <f t="shared" si="31"/>
        <v>Sep</v>
      </c>
      <c r="G157" s="11" t="str">
        <f t="shared" si="32"/>
        <v>Sep'20/21</v>
      </c>
      <c r="H157" s="11" t="str">
        <f t="shared" si="33"/>
        <v>Sep'20/21</v>
      </c>
      <c r="I157" s="11">
        <f t="shared" si="34"/>
        <v>6.6108117954350014</v>
      </c>
    </row>
    <row r="158" spans="2:9" x14ac:dyDescent="0.55000000000000004">
      <c r="B158" s="11">
        <f t="shared" si="35"/>
        <v>8</v>
      </c>
      <c r="C158" s="11">
        <f t="shared" si="36"/>
        <v>1</v>
      </c>
      <c r="D158" s="12">
        <f t="shared" si="29"/>
        <v>741399.89654666663</v>
      </c>
      <c r="E158" s="11" t="str">
        <f t="shared" si="30"/>
        <v>21/22</v>
      </c>
      <c r="F158" s="11" t="str">
        <f t="shared" si="31"/>
        <v>Oct</v>
      </c>
      <c r="G158" s="11" t="str">
        <f t="shared" si="32"/>
        <v>Oct'21/22</v>
      </c>
      <c r="H158" s="11" t="str">
        <f t="shared" si="33"/>
        <v>Oct'21/22</v>
      </c>
      <c r="I158" s="11">
        <f t="shared" si="34"/>
        <v>6.6225289216483327</v>
      </c>
    </row>
    <row r="159" spans="2:9" x14ac:dyDescent="0.55000000000000004">
      <c r="B159" s="11">
        <f t="shared" si="35"/>
        <v>8</v>
      </c>
      <c r="C159" s="11">
        <f t="shared" si="36"/>
        <v>2</v>
      </c>
      <c r="D159" s="12">
        <f t="shared" si="29"/>
        <v>805711.22817833314</v>
      </c>
      <c r="E159" s="11" t="str">
        <f t="shared" si="30"/>
        <v>21/22</v>
      </c>
      <c r="F159" s="11" t="str">
        <f t="shared" si="31"/>
        <v>Nov</v>
      </c>
      <c r="G159" s="11" t="str">
        <f t="shared" si="32"/>
        <v>Nov'21/22</v>
      </c>
      <c r="H159" s="11" t="str">
        <f t="shared" si="33"/>
        <v>Nov'21/22</v>
      </c>
      <c r="I159" s="11">
        <f t="shared" si="34"/>
        <v>6.8012656439933332</v>
      </c>
    </row>
    <row r="160" spans="2:9" x14ac:dyDescent="0.55000000000000004">
      <c r="B160" s="11">
        <f t="shared" si="35"/>
        <v>8</v>
      </c>
      <c r="C160" s="11">
        <f t="shared" si="36"/>
        <v>3</v>
      </c>
      <c r="D160" s="12">
        <f t="shared" si="29"/>
        <v>631485.46345333313</v>
      </c>
      <c r="E160" s="11" t="str">
        <f t="shared" si="30"/>
        <v>21/22</v>
      </c>
      <c r="F160" s="11" t="str">
        <f t="shared" si="31"/>
        <v>Dec</v>
      </c>
      <c r="G160" s="11" t="str">
        <f t="shared" si="32"/>
        <v>Dec'21/22</v>
      </c>
      <c r="H160" s="11" t="str">
        <f t="shared" si="33"/>
        <v>Dec'21/22</v>
      </c>
      <c r="I160" s="11">
        <f t="shared" si="34"/>
        <v>6.6954324197199995</v>
      </c>
    </row>
    <row r="161" spans="2:9" x14ac:dyDescent="0.55000000000000004">
      <c r="B161" s="11">
        <f t="shared" si="35"/>
        <v>8</v>
      </c>
      <c r="C161" s="11">
        <f t="shared" si="36"/>
        <v>4</v>
      </c>
      <c r="D161" s="12">
        <f t="shared" si="29"/>
        <v>647207.06688166677</v>
      </c>
      <c r="E161" s="11" t="str">
        <f t="shared" si="30"/>
        <v>21/22</v>
      </c>
      <c r="F161" s="11" t="str">
        <f t="shared" si="31"/>
        <v>Jan</v>
      </c>
      <c r="G161" s="11" t="str">
        <f t="shared" si="32"/>
        <v>Jan'21/22</v>
      </c>
      <c r="H161" s="11" t="str">
        <f t="shared" si="33"/>
        <v>Jan'21/22</v>
      </c>
      <c r="I161" s="11">
        <f t="shared" si="34"/>
        <v>6.7366324648383333</v>
      </c>
    </row>
    <row r="162" spans="2:9" x14ac:dyDescent="0.55000000000000004">
      <c r="B162" s="11">
        <f t="shared" si="35"/>
        <v>8</v>
      </c>
      <c r="C162" s="11">
        <f t="shared" si="36"/>
        <v>5</v>
      </c>
      <c r="D162" s="12">
        <f t="shared" si="29"/>
        <v>519722.74911666667</v>
      </c>
      <c r="E162" s="11" t="str">
        <f t="shared" si="30"/>
        <v>21/22</v>
      </c>
      <c r="F162" s="11" t="str">
        <f t="shared" si="31"/>
        <v>Feb</v>
      </c>
      <c r="G162" s="11" t="str">
        <f t="shared" si="32"/>
        <v>Feb'21/22</v>
      </c>
      <c r="H162" s="11" t="str">
        <f t="shared" si="33"/>
        <v>Feb'21/22</v>
      </c>
      <c r="I162" s="11">
        <f t="shared" si="34"/>
        <v>6.7330078025300004</v>
      </c>
    </row>
    <row r="163" spans="2:9" x14ac:dyDescent="0.55000000000000004">
      <c r="B163" s="11">
        <f t="shared" si="35"/>
        <v>8</v>
      </c>
      <c r="C163" s="11">
        <f t="shared" si="36"/>
        <v>6</v>
      </c>
      <c r="D163" s="12">
        <f t="shared" si="29"/>
        <v>484459.82740666659</v>
      </c>
      <c r="E163" s="11" t="str">
        <f t="shared" si="30"/>
        <v>21/22</v>
      </c>
      <c r="F163" s="11" t="str">
        <f t="shared" si="31"/>
        <v>Mar</v>
      </c>
      <c r="G163" s="11" t="str">
        <f t="shared" si="32"/>
        <v>Mar'21/22</v>
      </c>
      <c r="H163" s="11" t="str">
        <f t="shared" si="33"/>
        <v>Mar'21/22</v>
      </c>
      <c r="I163" s="11">
        <f t="shared" si="34"/>
        <v>6.6953032466566658</v>
      </c>
    </row>
    <row r="164" spans="2:9" x14ac:dyDescent="0.55000000000000004">
      <c r="B164" s="11">
        <f t="shared" si="35"/>
        <v>8</v>
      </c>
      <c r="C164" s="11">
        <f t="shared" si="36"/>
        <v>7</v>
      </c>
      <c r="D164" s="12">
        <f t="shared" si="29"/>
        <v>378660.15363833337</v>
      </c>
      <c r="E164" s="11" t="str">
        <f t="shared" si="30"/>
        <v>21/22</v>
      </c>
      <c r="F164" s="11" t="str">
        <f t="shared" si="31"/>
        <v>Apr</v>
      </c>
      <c r="G164" s="11" t="str">
        <f t="shared" si="32"/>
        <v>Apr'21/22</v>
      </c>
      <c r="H164" s="11" t="str">
        <f t="shared" si="33"/>
        <v>Apr'21/22</v>
      </c>
      <c r="I164" s="11">
        <f t="shared" si="34"/>
        <v>6.6339972141999981</v>
      </c>
    </row>
    <row r="165" spans="2:9" x14ac:dyDescent="0.55000000000000004">
      <c r="B165" s="11">
        <f t="shared" si="35"/>
        <v>8</v>
      </c>
      <c r="C165" s="11">
        <f t="shared" si="36"/>
        <v>8</v>
      </c>
      <c r="D165" s="12">
        <f t="shared" si="29"/>
        <v>429784.52451999998</v>
      </c>
      <c r="E165" s="11" t="str">
        <f t="shared" si="30"/>
        <v>21/22</v>
      </c>
      <c r="F165" s="11" t="str">
        <f t="shared" si="31"/>
        <v>May</v>
      </c>
      <c r="G165" s="11" t="str">
        <f t="shared" si="32"/>
        <v>May'21/22</v>
      </c>
      <c r="H165" s="11" t="str">
        <f t="shared" si="33"/>
        <v>May'21/22</v>
      </c>
      <c r="I165" s="11">
        <f t="shared" si="34"/>
        <v>6.8074128726849983</v>
      </c>
    </row>
    <row r="166" spans="2:9" x14ac:dyDescent="0.55000000000000004">
      <c r="B166" s="11">
        <f t="shared" si="35"/>
        <v>8</v>
      </c>
      <c r="C166" s="11">
        <f t="shared" si="36"/>
        <v>9</v>
      </c>
      <c r="D166" s="12">
        <f t="shared" si="29"/>
        <v>443882.65895499993</v>
      </c>
      <c r="E166" s="11" t="str">
        <f t="shared" si="30"/>
        <v>21/22</v>
      </c>
      <c r="F166" s="11" t="str">
        <f t="shared" si="31"/>
        <v>Jun</v>
      </c>
      <c r="G166" s="11" t="str">
        <f t="shared" si="32"/>
        <v>Jun'21/22</v>
      </c>
      <c r="H166" s="11" t="str">
        <f t="shared" si="33"/>
        <v>Jun'21/22</v>
      </c>
      <c r="I166" s="11">
        <f t="shared" si="34"/>
        <v>6.7991677337716654</v>
      </c>
    </row>
    <row r="167" spans="2:9" x14ac:dyDescent="0.55000000000000004">
      <c r="B167" s="11">
        <f t="shared" si="35"/>
        <v>8</v>
      </c>
      <c r="C167" s="11">
        <f t="shared" si="36"/>
        <v>10</v>
      </c>
      <c r="D167" s="12">
        <f t="shared" si="29"/>
        <v>602230.47941666667</v>
      </c>
      <c r="E167" s="11" t="str">
        <f t="shared" si="30"/>
        <v>21/22</v>
      </c>
      <c r="F167" s="11" t="str">
        <f t="shared" si="31"/>
        <v>Jul</v>
      </c>
      <c r="G167" s="11" t="str">
        <f t="shared" si="32"/>
        <v>Jul'21/22</v>
      </c>
      <c r="H167" s="11" t="str">
        <f t="shared" si="33"/>
        <v>Jul'21/22</v>
      </c>
      <c r="I167" s="11">
        <f t="shared" si="34"/>
        <v>6.9562362692583317</v>
      </c>
    </row>
    <row r="168" spans="2:9" x14ac:dyDescent="0.55000000000000004">
      <c r="B168" s="11">
        <f t="shared" si="35"/>
        <v>8</v>
      </c>
      <c r="C168" s="11">
        <f t="shared" si="36"/>
        <v>11</v>
      </c>
      <c r="D168" s="12">
        <f t="shared" si="29"/>
        <v>972149.19989333337</v>
      </c>
      <c r="E168" s="11" t="str">
        <f t="shared" si="30"/>
        <v>21/22</v>
      </c>
      <c r="F168" s="11" t="str">
        <f t="shared" si="31"/>
        <v>Aug</v>
      </c>
      <c r="G168" s="11" t="str">
        <f t="shared" si="32"/>
        <v>Aug'21/22</v>
      </c>
      <c r="H168" s="11" t="str">
        <f t="shared" si="33"/>
        <v>Aug'21/22</v>
      </c>
      <c r="I168" s="11">
        <f t="shared" si="34"/>
        <v>7.338844167243332</v>
      </c>
    </row>
    <row r="169" spans="2:9" x14ac:dyDescent="0.55000000000000004">
      <c r="B169" s="11">
        <f t="shared" si="35"/>
        <v>8</v>
      </c>
      <c r="C169" s="11">
        <f t="shared" si="36"/>
        <v>12</v>
      </c>
      <c r="D169" s="12">
        <f t="shared" si="29"/>
        <v>868830.8482133334</v>
      </c>
      <c r="E169" s="11" t="str">
        <f t="shared" si="30"/>
        <v>21/22</v>
      </c>
      <c r="F169" s="11" t="str">
        <f t="shared" si="31"/>
        <v>Sep</v>
      </c>
      <c r="G169" s="11" t="str">
        <f t="shared" si="32"/>
        <v>Sep'21/22</v>
      </c>
      <c r="H169" s="11" t="str">
        <f t="shared" si="33"/>
        <v>Sep'21/22</v>
      </c>
      <c r="I169" s="11">
        <f t="shared" si="34"/>
        <v>7.5255240962199998</v>
      </c>
    </row>
    <row r="170" spans="2:9" x14ac:dyDescent="0.55000000000000004">
      <c r="B170" s="11">
        <f t="shared" si="35"/>
        <v>9</v>
      </c>
      <c r="C170" s="11">
        <f t="shared" si="36"/>
        <v>1</v>
      </c>
      <c r="D170" s="12">
        <f t="shared" si="29"/>
        <v>803137.71061666682</v>
      </c>
      <c r="E170" s="11" t="str">
        <f t="shared" si="30"/>
        <v>22/23</v>
      </c>
      <c r="F170" s="11" t="str">
        <f t="shared" si="31"/>
        <v>Oct</v>
      </c>
      <c r="G170" s="11" t="str">
        <f t="shared" si="32"/>
        <v>Oct'22/23</v>
      </c>
      <c r="H170" s="11" t="str">
        <f t="shared" si="33"/>
        <v>Oct'22/23</v>
      </c>
      <c r="I170" s="11">
        <f t="shared" si="34"/>
        <v>7.5872619102899996</v>
      </c>
    </row>
    <row r="171" spans="2:9" x14ac:dyDescent="0.55000000000000004">
      <c r="B171" s="11">
        <f t="shared" si="35"/>
        <v>9</v>
      </c>
      <c r="C171" s="11">
        <f t="shared" si="36"/>
        <v>2</v>
      </c>
      <c r="D171" s="12">
        <f t="shared" si="29"/>
        <v>899488.8708683335</v>
      </c>
      <c r="E171" s="11" t="str">
        <f t="shared" si="30"/>
        <v>22/23</v>
      </c>
      <c r="F171" s="11" t="str">
        <f t="shared" si="31"/>
        <v>Nov</v>
      </c>
      <c r="G171" s="11" t="str">
        <f t="shared" si="32"/>
        <v>Nov'22/23</v>
      </c>
      <c r="H171" s="11" t="str">
        <f t="shared" si="33"/>
        <v>Nov'22/23</v>
      </c>
      <c r="I171" s="11">
        <f t="shared" si="34"/>
        <v>7.6810395529799997</v>
      </c>
    </row>
    <row r="172" spans="2:9" x14ac:dyDescent="0.55000000000000004">
      <c r="B172" s="11">
        <f t="shared" si="35"/>
        <v>9</v>
      </c>
      <c r="C172" s="11">
        <f t="shared" si="36"/>
        <v>3</v>
      </c>
      <c r="D172" s="12">
        <f t="shared" si="29"/>
        <v>604689.9395783334</v>
      </c>
      <c r="E172" s="11" t="str">
        <f t="shared" si="30"/>
        <v>22/23</v>
      </c>
      <c r="F172" s="11" t="str">
        <f t="shared" si="31"/>
        <v>Dec</v>
      </c>
      <c r="G172" s="11" t="str">
        <f t="shared" si="32"/>
        <v>Dec'22/23</v>
      </c>
      <c r="H172" s="11" t="str">
        <f t="shared" si="33"/>
        <v>Dec'22/23</v>
      </c>
      <c r="I172" s="11">
        <f t="shared" si="34"/>
        <v>7.6542440291050005</v>
      </c>
    </row>
    <row r="173" spans="2:9" x14ac:dyDescent="0.55000000000000004">
      <c r="B173" s="11">
        <f t="shared" si="35"/>
        <v>9</v>
      </c>
      <c r="C173" s="11">
        <f t="shared" si="36"/>
        <v>4</v>
      </c>
      <c r="D173" s="12">
        <f t="shared" si="29"/>
        <v>495878.97803166666</v>
      </c>
      <c r="E173" s="11" t="str">
        <f t="shared" si="30"/>
        <v>22/23</v>
      </c>
      <c r="F173" s="11" t="str">
        <f t="shared" si="31"/>
        <v>Jan</v>
      </c>
      <c r="G173" s="11" t="str">
        <f t="shared" si="32"/>
        <v>Jan'22/23</v>
      </c>
      <c r="H173" s="11" t="str">
        <f t="shared" si="33"/>
        <v>Jan'22/23</v>
      </c>
      <c r="I173" s="11">
        <f t="shared" si="34"/>
        <v>7.5029159402550007</v>
      </c>
    </row>
    <row r="174" spans="2:9" x14ac:dyDescent="0.55000000000000004">
      <c r="B174" s="11">
        <f t="shared" si="35"/>
        <v>9</v>
      </c>
      <c r="C174" s="11">
        <f t="shared" si="36"/>
        <v>5</v>
      </c>
      <c r="D174" s="12">
        <f t="shared" si="29"/>
        <v>353055.597465</v>
      </c>
      <c r="E174" s="11" t="str">
        <f t="shared" si="30"/>
        <v>22/23</v>
      </c>
      <c r="F174" s="11" t="str">
        <f t="shared" si="31"/>
        <v>Feb</v>
      </c>
      <c r="G174" s="11" t="str">
        <f t="shared" si="32"/>
        <v>Feb'22/23</v>
      </c>
      <c r="H174" s="11" t="str">
        <f t="shared" si="33"/>
        <v>Feb'22/23</v>
      </c>
      <c r="I174" s="11">
        <f t="shared" si="34"/>
        <v>7.336248788603335</v>
      </c>
    </row>
    <row r="175" spans="2:9" x14ac:dyDescent="0.55000000000000004">
      <c r="B175" s="11">
        <f t="shared" si="35"/>
        <v>9</v>
      </c>
      <c r="C175" s="11">
        <f t="shared" si="36"/>
        <v>6</v>
      </c>
      <c r="D175" s="12">
        <f t="shared" si="29"/>
        <v>278449.49911833333</v>
      </c>
      <c r="E175" s="11" t="str">
        <f t="shared" si="30"/>
        <v>22/23</v>
      </c>
      <c r="F175" s="11" t="str">
        <f t="shared" si="31"/>
        <v>Mar</v>
      </c>
      <c r="G175" s="11" t="str">
        <f t="shared" si="32"/>
        <v>Mar'22/23</v>
      </c>
      <c r="H175" s="11" t="str">
        <f t="shared" si="33"/>
        <v>Mar'22/23</v>
      </c>
      <c r="I175" s="11">
        <f t="shared" si="34"/>
        <v>7.1302384603150015</v>
      </c>
    </row>
    <row r="176" spans="2:9" x14ac:dyDescent="0.55000000000000004">
      <c r="B176" s="11">
        <f t="shared" si="35"/>
        <v>9</v>
      </c>
      <c r="C176" s="11">
        <f t="shared" si="36"/>
        <v>7</v>
      </c>
      <c r="D176" s="12">
        <f t="shared" si="29"/>
        <v>278944.821535</v>
      </c>
      <c r="E176" s="11" t="str">
        <f t="shared" si="30"/>
        <v>22/23</v>
      </c>
      <c r="F176" s="11" t="str">
        <f t="shared" si="31"/>
        <v>Apr</v>
      </c>
      <c r="G176" s="11" t="str">
        <f t="shared" si="32"/>
        <v>Apr'22/23</v>
      </c>
      <c r="H176" s="11" t="str">
        <f t="shared" si="33"/>
        <v>Apr'22/23</v>
      </c>
      <c r="I176" s="11">
        <f t="shared" si="34"/>
        <v>7.0305231282116676</v>
      </c>
    </row>
    <row r="177" spans="2:9" x14ac:dyDescent="0.55000000000000004">
      <c r="B177" s="11">
        <f t="shared" si="35"/>
        <v>9</v>
      </c>
      <c r="C177" s="11">
        <f t="shared" si="36"/>
        <v>8</v>
      </c>
      <c r="D177" s="12">
        <f t="shared" si="29"/>
        <v>488641.0638283334</v>
      </c>
      <c r="E177" s="11" t="str">
        <f t="shared" si="30"/>
        <v>22/23</v>
      </c>
      <c r="F177" s="11" t="str">
        <f t="shared" si="31"/>
        <v>May</v>
      </c>
      <c r="G177" s="11" t="str">
        <f t="shared" si="32"/>
        <v>May'22/23</v>
      </c>
      <c r="H177" s="11" t="str">
        <f t="shared" si="33"/>
        <v>May'22/23</v>
      </c>
      <c r="I177" s="11">
        <f t="shared" si="34"/>
        <v>7.0893796675200003</v>
      </c>
    </row>
    <row r="178" spans="2:9" x14ac:dyDescent="0.55000000000000004">
      <c r="B178" s="11">
        <f t="shared" si="35"/>
        <v>9</v>
      </c>
      <c r="C178" s="11">
        <f t="shared" si="36"/>
        <v>9</v>
      </c>
      <c r="D178" s="12">
        <f t="shared" si="29"/>
        <v>489172.50557666668</v>
      </c>
      <c r="E178" s="11" t="str">
        <f t="shared" si="30"/>
        <v>22/23</v>
      </c>
      <c r="F178" s="11" t="str">
        <f t="shared" si="31"/>
        <v>Jun</v>
      </c>
      <c r="G178" s="11" t="str">
        <f t="shared" si="32"/>
        <v>Jun'22/23</v>
      </c>
      <c r="H178" s="11" t="str">
        <f t="shared" si="33"/>
        <v>Jun'22/23</v>
      </c>
      <c r="I178" s="11">
        <f t="shared" si="34"/>
        <v>7.1346695141416667</v>
      </c>
    </row>
    <row r="179" spans="2:9" x14ac:dyDescent="0.55000000000000004">
      <c r="B179" s="11">
        <f t="shared" si="35"/>
        <v>9</v>
      </c>
      <c r="C179" s="11">
        <f t="shared" si="36"/>
        <v>10</v>
      </c>
      <c r="D179" s="12">
        <f t="shared" si="29"/>
        <v>459738.69544333336</v>
      </c>
      <c r="E179" s="11" t="str">
        <f t="shared" si="30"/>
        <v>22/23</v>
      </c>
      <c r="F179" s="11" t="str">
        <f t="shared" si="31"/>
        <v>Jul</v>
      </c>
      <c r="G179" s="11" t="str">
        <f t="shared" si="32"/>
        <v>Jul'22/23</v>
      </c>
      <c r="H179" s="11" t="str">
        <f t="shared" si="33"/>
        <v>Jul'22/23</v>
      </c>
      <c r="I179" s="11">
        <f t="shared" si="34"/>
        <v>6.9921777301683337</v>
      </c>
    </row>
    <row r="180" spans="2:9" x14ac:dyDescent="0.55000000000000004">
      <c r="B180" s="11">
        <f t="shared" si="35"/>
        <v>9</v>
      </c>
      <c r="C180" s="11">
        <f t="shared" si="36"/>
        <v>11</v>
      </c>
      <c r="D180" s="12">
        <f t="shared" si="29"/>
        <v>507982.53644666681</v>
      </c>
      <c r="E180" s="11" t="str">
        <f t="shared" si="30"/>
        <v>22/23</v>
      </c>
      <c r="F180" s="11" t="str">
        <f t="shared" si="31"/>
        <v>Aug</v>
      </c>
      <c r="G180" s="11" t="str">
        <f t="shared" si="32"/>
        <v>Aug'22/23</v>
      </c>
      <c r="H180" s="11" t="str">
        <f t="shared" si="33"/>
        <v>Aug'22/23</v>
      </c>
      <c r="I180" s="11">
        <f t="shared" si="34"/>
        <v>6.5280110667216666</v>
      </c>
    </row>
    <row r="181" spans="2:9" x14ac:dyDescent="0.55000000000000004">
      <c r="B181" s="11">
        <f t="shared" si="35"/>
        <v>9</v>
      </c>
      <c r="C181" s="11">
        <f t="shared" si="36"/>
        <v>12</v>
      </c>
      <c r="D181" s="12">
        <f t="shared" si="29"/>
        <v>409786.43723500002</v>
      </c>
      <c r="E181" s="11" t="str">
        <f t="shared" si="30"/>
        <v>22/23</v>
      </c>
      <c r="F181" s="11" t="str">
        <f t="shared" si="31"/>
        <v>Sep</v>
      </c>
      <c r="G181" s="11" t="str">
        <f t="shared" si="32"/>
        <v>Sep'22/23</v>
      </c>
      <c r="H181" s="11" t="str">
        <f t="shared" si="33"/>
        <v>Sep'22/23</v>
      </c>
      <c r="I181" s="11">
        <f t="shared" si="34"/>
        <v>6.0689666557433322</v>
      </c>
    </row>
    <row r="182" spans="2:9" x14ac:dyDescent="0.55000000000000004">
      <c r="B182" s="11">
        <f t="shared" si="35"/>
        <v>10</v>
      </c>
      <c r="C182" s="11">
        <f t="shared" si="36"/>
        <v>1</v>
      </c>
      <c r="D182" s="12">
        <f t="shared" si="29"/>
        <v>487129.91339499992</v>
      </c>
      <c r="E182" s="11" t="str">
        <f t="shared" si="30"/>
        <v>23/24</v>
      </c>
      <c r="F182" s="11" t="str">
        <f t="shared" si="31"/>
        <v>Oct</v>
      </c>
      <c r="G182" s="11" t="str">
        <f t="shared" si="32"/>
        <v>Oct'23/24</v>
      </c>
      <c r="H182" s="11" t="str">
        <f t="shared" si="33"/>
        <v>Oct'23/24</v>
      </c>
      <c r="I182" s="11">
        <f t="shared" si="34"/>
        <v>5.7529588585216658</v>
      </c>
    </row>
    <row r="183" spans="2:9" x14ac:dyDescent="0.55000000000000004">
      <c r="B183" s="11">
        <f t="shared" si="35"/>
        <v>10</v>
      </c>
      <c r="C183" s="11">
        <f t="shared" si="36"/>
        <v>2</v>
      </c>
      <c r="D183" s="12">
        <f t="shared" si="29"/>
        <v>379954.37548333337</v>
      </c>
      <c r="E183" s="11" t="str">
        <f t="shared" si="30"/>
        <v>23/24</v>
      </c>
      <c r="F183" s="11" t="str">
        <f t="shared" si="31"/>
        <v>Nov</v>
      </c>
      <c r="G183" s="11" t="str">
        <f t="shared" si="32"/>
        <v>Nov'23/24</v>
      </c>
      <c r="H183" s="11" t="str">
        <f t="shared" si="33"/>
        <v>Nov'23/24</v>
      </c>
      <c r="I183" s="11">
        <f t="shared" si="34"/>
        <v>5.2334243631366659</v>
      </c>
    </row>
    <row r="184" spans="2:9" x14ac:dyDescent="0.55000000000000004">
      <c r="B184" s="11">
        <f t="shared" si="35"/>
        <v>10</v>
      </c>
      <c r="C184" s="11">
        <f t="shared" si="36"/>
        <v>3</v>
      </c>
      <c r="D184" s="12">
        <f t="shared" si="29"/>
        <v>275964.94076999999</v>
      </c>
      <c r="E184" s="11" t="str">
        <f t="shared" si="30"/>
        <v>23/24</v>
      </c>
      <c r="F184" s="11" t="str">
        <f t="shared" si="31"/>
        <v>Dec</v>
      </c>
      <c r="G184" s="11" t="str">
        <f t="shared" si="32"/>
        <v>Dec'23/24</v>
      </c>
      <c r="H184" s="11" t="str">
        <f t="shared" si="33"/>
        <v>Dec'23/24</v>
      </c>
      <c r="I184" s="11">
        <f t="shared" si="34"/>
        <v>4.9046993643283328</v>
      </c>
    </row>
    <row r="185" spans="2:9" x14ac:dyDescent="0.55000000000000004">
      <c r="B185" s="11">
        <f t="shared" si="35"/>
        <v>10</v>
      </c>
      <c r="C185" s="11">
        <f t="shared" si="36"/>
        <v>4</v>
      </c>
      <c r="D185" s="12">
        <f t="shared" si="29"/>
        <v>244182.2471133334</v>
      </c>
      <c r="E185" s="11" t="str">
        <f t="shared" si="30"/>
        <v>23/24</v>
      </c>
      <c r="F185" s="11" t="str">
        <f t="shared" si="31"/>
        <v>Jan</v>
      </c>
      <c r="G185" s="11" t="str">
        <f t="shared" si="32"/>
        <v>Jan'23/24</v>
      </c>
      <c r="H185" s="11" t="str">
        <f t="shared" si="33"/>
        <v>Jan'23/24</v>
      </c>
      <c r="I185" s="11">
        <f t="shared" si="34"/>
        <v>4.6530026334099999</v>
      </c>
    </row>
    <row r="186" spans="2:9" x14ac:dyDescent="0.55000000000000004">
      <c r="B186" s="11">
        <f t="shared" si="35"/>
        <v>10</v>
      </c>
      <c r="C186" s="11">
        <f t="shared" si="36"/>
        <v>5</v>
      </c>
      <c r="D186" s="12">
        <f t="shared" si="29"/>
        <v>268979.9189766667</v>
      </c>
      <c r="E186" s="11" t="str">
        <f t="shared" si="30"/>
        <v>23/24</v>
      </c>
      <c r="F186" s="11" t="str">
        <f t="shared" si="31"/>
        <v>Feb</v>
      </c>
      <c r="G186" s="11" t="str">
        <f t="shared" si="32"/>
        <v>Feb'23/24</v>
      </c>
      <c r="H186" s="11" t="str">
        <f t="shared" si="33"/>
        <v>Feb'23/24</v>
      </c>
      <c r="I186" s="11">
        <f t="shared" si="34"/>
        <v>4.5689269549216665</v>
      </c>
    </row>
    <row r="187" spans="2:9" x14ac:dyDescent="0.55000000000000004">
      <c r="B187" s="11">
        <f t="shared" si="35"/>
        <v>10</v>
      </c>
      <c r="C187" s="11">
        <f t="shared" si="36"/>
        <v>6</v>
      </c>
      <c r="D187" s="12">
        <f t="shared" si="29"/>
        <v>282049.57118833339</v>
      </c>
      <c r="E187" s="11" t="str">
        <f t="shared" si="30"/>
        <v>23/24</v>
      </c>
      <c r="F187" s="11" t="str">
        <f t="shared" si="31"/>
        <v>Mar</v>
      </c>
      <c r="G187" s="11" t="str">
        <f t="shared" si="32"/>
        <v>Mar'23/24</v>
      </c>
      <c r="H187" s="11" t="str">
        <f t="shared" si="33"/>
        <v>Mar'23/24</v>
      </c>
      <c r="I187" s="11">
        <f t="shared" si="34"/>
        <v>4.5725270269916676</v>
      </c>
    </row>
    <row r="188" spans="2:9" x14ac:dyDescent="0.55000000000000004">
      <c r="B188" s="11">
        <f t="shared" si="35"/>
        <v>10</v>
      </c>
      <c r="C188" s="11">
        <f t="shared" si="36"/>
        <v>7</v>
      </c>
      <c r="D188" s="12">
        <f t="shared" si="29"/>
        <v>205840.78407666669</v>
      </c>
      <c r="E188" s="11" t="str">
        <f t="shared" si="30"/>
        <v>23/24</v>
      </c>
      <c r="F188" s="11" t="str">
        <f t="shared" si="31"/>
        <v>Apr</v>
      </c>
      <c r="G188" s="11" t="str">
        <f t="shared" si="32"/>
        <v>Apr'23/24</v>
      </c>
      <c r="H188" s="11" t="str">
        <f t="shared" si="33"/>
        <v>Apr'23/24</v>
      </c>
      <c r="I188" s="11">
        <f t="shared" si="34"/>
        <v>4.4994229895333344</v>
      </c>
    </row>
    <row r="189" spans="2:9" x14ac:dyDescent="0.55000000000000004">
      <c r="B189" s="11">
        <f t="shared" si="35"/>
        <v>10</v>
      </c>
      <c r="C189" s="11">
        <f t="shared" si="36"/>
        <v>8</v>
      </c>
      <c r="D189" s="12">
        <f t="shared" si="29"/>
        <v>297896.75350833335</v>
      </c>
      <c r="E189" s="11" t="str">
        <f t="shared" si="30"/>
        <v>23/24</v>
      </c>
      <c r="F189" s="11" t="str">
        <f t="shared" si="31"/>
        <v>May</v>
      </c>
      <c r="G189" s="11" t="str">
        <f t="shared" si="32"/>
        <v>May'23/24</v>
      </c>
      <c r="H189" s="11" t="str">
        <f t="shared" si="33"/>
        <v>May'23/24</v>
      </c>
      <c r="I189" s="11">
        <f t="shared" si="34"/>
        <v>4.308678679213334</v>
      </c>
    </row>
    <row r="190" spans="2:9" x14ac:dyDescent="0.55000000000000004">
      <c r="B190" s="11">
        <f t="shared" si="35"/>
        <v>10</v>
      </c>
      <c r="C190" s="11">
        <f t="shared" si="36"/>
        <v>9</v>
      </c>
      <c r="D190" s="12">
        <f t="shared" si="29"/>
        <v>346777.58262833342</v>
      </c>
      <c r="E190" s="11" t="str">
        <f t="shared" si="30"/>
        <v>23/24</v>
      </c>
      <c r="F190" s="11" t="str">
        <f t="shared" si="31"/>
        <v>Jun</v>
      </c>
      <c r="G190" s="11" t="str">
        <f t="shared" si="32"/>
        <v>Jun'23/24</v>
      </c>
      <c r="H190" s="11" t="str">
        <f t="shared" si="33"/>
        <v>Jun'23/24</v>
      </c>
      <c r="I190" s="11">
        <f t="shared" si="34"/>
        <v>4.1662837562650008</v>
      </c>
    </row>
    <row r="191" spans="2:9" x14ac:dyDescent="0.55000000000000004">
      <c r="B191" s="11">
        <f t="shared" si="35"/>
        <v>10</v>
      </c>
      <c r="C191" s="11">
        <f t="shared" si="36"/>
        <v>10</v>
      </c>
      <c r="D191" s="12">
        <f t="shared" si="29"/>
        <v>544837.50969166681</v>
      </c>
      <c r="E191" s="11" t="str">
        <f t="shared" si="30"/>
        <v>23/24</v>
      </c>
      <c r="F191" s="11" t="str">
        <f t="shared" si="31"/>
        <v>Jul</v>
      </c>
      <c r="G191" s="11" t="str">
        <f t="shared" si="32"/>
        <v>Jul'23/24</v>
      </c>
      <c r="H191" s="11" t="str">
        <f t="shared" si="33"/>
        <v>Jul'23/24</v>
      </c>
      <c r="I191" s="11">
        <f t="shared" si="34"/>
        <v>4.2513825705133339</v>
      </c>
    </row>
    <row r="192" spans="2:9" x14ac:dyDescent="0.55000000000000004">
      <c r="B192" s="11">
        <f t="shared" si="35"/>
        <v>10</v>
      </c>
      <c r="C192" s="11">
        <f t="shared" si="36"/>
        <v>11</v>
      </c>
      <c r="D192" s="12">
        <f t="shared" si="29"/>
        <v>674431.90803833341</v>
      </c>
      <c r="E192" s="11" t="str">
        <f t="shared" si="30"/>
        <v>23/24</v>
      </c>
      <c r="F192" s="11" t="str">
        <f t="shared" si="31"/>
        <v>Aug</v>
      </c>
      <c r="G192" s="11" t="str">
        <f t="shared" si="32"/>
        <v>Aug'23/24</v>
      </c>
      <c r="H192" s="11" t="str">
        <f t="shared" si="33"/>
        <v>Aug'23/24</v>
      </c>
      <c r="I192" s="11">
        <f t="shared" si="34"/>
        <v>4.4178319421049999</v>
      </c>
    </row>
    <row r="193" spans="2:9" x14ac:dyDescent="0.55000000000000004">
      <c r="B193" s="11">
        <f t="shared" si="35"/>
        <v>10</v>
      </c>
      <c r="C193" s="11">
        <f t="shared" si="36"/>
        <v>12</v>
      </c>
      <c r="D193" s="12">
        <f t="shared" si="29"/>
        <v>701992.77901833341</v>
      </c>
      <c r="E193" s="11" t="str">
        <f t="shared" si="30"/>
        <v>23/24</v>
      </c>
      <c r="F193" s="11" t="str">
        <f t="shared" si="31"/>
        <v>Sep</v>
      </c>
      <c r="G193" s="11" t="str">
        <f t="shared" si="32"/>
        <v>Sep'23/24</v>
      </c>
      <c r="H193" s="11" t="str">
        <f t="shared" si="33"/>
        <v>Sep'23/24</v>
      </c>
      <c r="I193" s="11">
        <f t="shared" si="34"/>
        <v>4.7100382838883332</v>
      </c>
    </row>
    <row r="194" spans="2:9" x14ac:dyDescent="0.55000000000000004">
      <c r="B194" s="11">
        <f t="shared" si="35"/>
        <v>11</v>
      </c>
      <c r="C194" s="11">
        <f t="shared" si="36"/>
        <v>1</v>
      </c>
      <c r="D194" s="12">
        <f t="shared" si="29"/>
        <v>876677.8469266668</v>
      </c>
      <c r="E194" s="11" t="str">
        <f t="shared" si="30"/>
        <v>24/25</v>
      </c>
      <c r="F194" s="11" t="str">
        <f t="shared" si="31"/>
        <v>Oct</v>
      </c>
      <c r="G194" s="11" t="str">
        <f t="shared" si="32"/>
        <v>Oct'24/25</v>
      </c>
      <c r="H194" s="11" t="str">
        <f t="shared" si="33"/>
        <v>Oct'24/25</v>
      </c>
      <c r="I194" s="11">
        <f t="shared" si="34"/>
        <v>5.0995862174200006</v>
      </c>
    </row>
    <row r="195" spans="2:9" x14ac:dyDescent="0.55000000000000004">
      <c r="B195" s="11">
        <f t="shared" si="35"/>
        <v>11</v>
      </c>
      <c r="C195" s="11">
        <f t="shared" si="36"/>
        <v>2</v>
      </c>
      <c r="D195" s="12">
        <f t="shared" si="29"/>
        <v>550330.72848666681</v>
      </c>
      <c r="E195" s="11" t="str">
        <f t="shared" si="30"/>
        <v>24/25</v>
      </c>
      <c r="F195" s="11" t="str">
        <f t="shared" si="31"/>
        <v>Nov</v>
      </c>
      <c r="G195" s="11" t="str">
        <f t="shared" si="32"/>
        <v>Nov'24/25</v>
      </c>
      <c r="H195" s="11" t="str">
        <f t="shared" si="33"/>
        <v>Nov'24/25</v>
      </c>
      <c r="I195" s="11">
        <f t="shared" si="34"/>
        <v>5.2699625704233339</v>
      </c>
    </row>
    <row r="196" spans="2:9" x14ac:dyDescent="0.55000000000000004">
      <c r="B196" s="11">
        <f t="shared" si="35"/>
        <v>11</v>
      </c>
      <c r="C196" s="11">
        <f t="shared" si="36"/>
        <v>3</v>
      </c>
      <c r="D196" s="12">
        <f t="shared" si="29"/>
        <v>557203.90992000001</v>
      </c>
      <c r="E196" s="11" t="str">
        <f t="shared" si="30"/>
        <v>24/25</v>
      </c>
      <c r="F196" s="11" t="str">
        <f t="shared" si="31"/>
        <v>Dec</v>
      </c>
      <c r="G196" s="11" t="str">
        <f t="shared" si="32"/>
        <v>Dec'24/25</v>
      </c>
      <c r="H196" s="11" t="str">
        <f t="shared" si="33"/>
        <v>Dec'24/25</v>
      </c>
      <c r="I196" s="11">
        <f t="shared" si="34"/>
        <v>5.5512015395733343</v>
      </c>
    </row>
    <row r="197" spans="2:9" x14ac:dyDescent="0.55000000000000004">
      <c r="B197" s="11">
        <f t="shared" si="35"/>
        <v>11</v>
      </c>
      <c r="C197" s="11">
        <f t="shared" si="36"/>
        <v>4</v>
      </c>
      <c r="D197" s="12">
        <f t="shared" si="29"/>
        <v>536036.14021666674</v>
      </c>
      <c r="E197" s="11" t="str">
        <f t="shared" si="30"/>
        <v>24/25</v>
      </c>
      <c r="F197" s="11" t="str">
        <f t="shared" si="31"/>
        <v>Jan</v>
      </c>
      <c r="G197" s="11" t="str">
        <f t="shared" si="32"/>
        <v>Jan'24/25</v>
      </c>
      <c r="H197" s="11" t="str">
        <f t="shared" si="33"/>
        <v>Jan'24/25</v>
      </c>
      <c r="I197" s="11">
        <f t="shared" si="34"/>
        <v>5.8430554326766675</v>
      </c>
    </row>
    <row r="198" spans="2:9" x14ac:dyDescent="0.55000000000000004">
      <c r="B198" s="11">
        <f t="shared" si="35"/>
        <v>11</v>
      </c>
      <c r="C198" s="11">
        <f t="shared" si="36"/>
        <v>5</v>
      </c>
      <c r="D198" s="12">
        <f t="shared" si="29"/>
        <v>591785.2043216665</v>
      </c>
      <c r="E198" s="11" t="str">
        <f t="shared" si="30"/>
        <v>24/25</v>
      </c>
      <c r="F198" s="11" t="str">
        <f t="shared" si="31"/>
        <v>Feb</v>
      </c>
      <c r="G198" s="11" t="str">
        <f t="shared" si="32"/>
        <v>Feb'24/25</v>
      </c>
      <c r="H198" s="11" t="str">
        <f t="shared" si="33"/>
        <v>Feb'24/25</v>
      </c>
      <c r="I198" s="11">
        <f t="shared" si="34"/>
        <v>6.1658607180216674</v>
      </c>
    </row>
    <row r="199" spans="2:9" x14ac:dyDescent="0.55000000000000004">
      <c r="B199" s="11">
        <f t="shared" si="35"/>
        <v>11</v>
      </c>
      <c r="C199" s="11">
        <f t="shared" si="36"/>
        <v>6</v>
      </c>
      <c r="D199" s="12">
        <f t="shared" si="29"/>
        <v>623762.78320333327</v>
      </c>
      <c r="E199" s="11" t="str">
        <f t="shared" si="30"/>
        <v>24/25</v>
      </c>
      <c r="F199" s="11" t="str">
        <f t="shared" si="31"/>
        <v>Mar</v>
      </c>
      <c r="G199" s="11" t="str">
        <f t="shared" si="32"/>
        <v>Mar'24/25</v>
      </c>
      <c r="H199" s="11" t="str">
        <f t="shared" si="33"/>
        <v>Mar'24/25</v>
      </c>
      <c r="I199" s="11">
        <f t="shared" si="34"/>
        <v>6.5075739300366688</v>
      </c>
    </row>
    <row r="200" spans="2:9" x14ac:dyDescent="0.55000000000000004">
      <c r="B200" s="11">
        <f t="shared" si="35"/>
        <v>11</v>
      </c>
      <c r="C200" s="11">
        <f t="shared" si="36"/>
        <v>7</v>
      </c>
      <c r="D200" s="12">
        <f t="shared" si="29"/>
        <v>470976.34277166671</v>
      </c>
      <c r="E200" s="11" t="str">
        <f t="shared" si="30"/>
        <v>24/25</v>
      </c>
      <c r="F200" s="11" t="str">
        <f t="shared" si="31"/>
        <v>Apr</v>
      </c>
      <c r="G200" s="11" t="str">
        <f t="shared" si="32"/>
        <v>Apr'24/25</v>
      </c>
      <c r="H200" s="11" t="str">
        <f t="shared" si="33"/>
        <v>Apr'24/25</v>
      </c>
      <c r="I200" s="11">
        <f t="shared" si="34"/>
        <v>6.7727094887316674</v>
      </c>
    </row>
    <row r="201" spans="2:9" x14ac:dyDescent="0.55000000000000004">
      <c r="B201" s="11">
        <f t="shared" si="35"/>
        <v>11</v>
      </c>
      <c r="C201" s="11">
        <f t="shared" si="36"/>
        <v>8</v>
      </c>
      <c r="D201" s="12">
        <f t="shared" si="29"/>
        <v>661521.07700999978</v>
      </c>
      <c r="E201" s="11" t="str">
        <f t="shared" si="30"/>
        <v>24/25</v>
      </c>
      <c r="F201" s="11" t="str">
        <f t="shared" si="31"/>
        <v>May</v>
      </c>
      <c r="G201" s="11" t="str">
        <f t="shared" si="32"/>
        <v>May'24/25</v>
      </c>
      <c r="H201" s="11" t="str">
        <f t="shared" si="33"/>
        <v>May'24/25</v>
      </c>
      <c r="I201" s="11">
        <f t="shared" si="34"/>
        <v>7.1363338122333344</v>
      </c>
    </row>
    <row r="202" spans="2:9" x14ac:dyDescent="0.55000000000000004">
      <c r="B202" s="11">
        <f t="shared" si="35"/>
        <v>11</v>
      </c>
      <c r="C202" s="11">
        <f t="shared" si="36"/>
        <v>9</v>
      </c>
      <c r="D202" s="12">
        <f t="shared" si="29"/>
        <v>753371.76617500023</v>
      </c>
      <c r="E202" s="11" t="str">
        <f t="shared" si="30"/>
        <v>24/25</v>
      </c>
      <c r="F202" s="11" t="str">
        <f t="shared" si="31"/>
        <v>Jun</v>
      </c>
      <c r="G202" s="11" t="str">
        <f t="shared" si="32"/>
        <v>Jun'24/25</v>
      </c>
      <c r="H202" s="11" t="str">
        <f t="shared" si="33"/>
        <v>Jun'24/25</v>
      </c>
      <c r="I202" s="11">
        <f t="shared" si="34"/>
        <v>7.5429279957800022</v>
      </c>
    </row>
    <row r="203" spans="2:9" x14ac:dyDescent="0.55000000000000004">
      <c r="B203" s="11">
        <f t="shared" si="35"/>
        <v>11</v>
      </c>
      <c r="C203" s="11">
        <f t="shared" si="36"/>
        <v>10</v>
      </c>
      <c r="D203" s="12">
        <f t="shared" ref="D203:D229" si="37">INDEX($C$7:$N$19,MATCH(B203,$A$7:$A$19),MATCH(C203,$C$4:$N$4))</f>
        <v>765482.71802666667</v>
      </c>
      <c r="E203" s="11" t="str">
        <f t="shared" ref="E203:E229" si="38">_xlfn.XLOOKUP(B203,$A$7:$A$19,$B$7:$B$19)</f>
        <v>24/25</v>
      </c>
      <c r="F203" s="11" t="str">
        <f t="shared" ref="F203:F229" si="39">_xlfn.XLOOKUP(C203,$C$4:$N$4,$C$6:$N$6)</f>
        <v>Jul</v>
      </c>
      <c r="G203" s="11" t="str">
        <f t="shared" ref="G203:G229" si="40">_xlfn.CONCAT(F203,"'",E203)</f>
        <v>Jul'24/25</v>
      </c>
      <c r="H203" s="11" t="str">
        <f t="shared" si="33"/>
        <v>Jul'24/25</v>
      </c>
      <c r="I203" s="11">
        <f t="shared" si="34"/>
        <v>7.7635732041150014</v>
      </c>
    </row>
    <row r="204" spans="2:9" x14ac:dyDescent="0.55000000000000004">
      <c r="B204" s="11">
        <f t="shared" si="35"/>
        <v>11</v>
      </c>
      <c r="C204" s="11">
        <f t="shared" si="36"/>
        <v>11</v>
      </c>
      <c r="D204" s="12">
        <f t="shared" si="37"/>
        <v>1076773.2769983332</v>
      </c>
      <c r="E204" s="11" t="str">
        <f t="shared" si="38"/>
        <v>24/25</v>
      </c>
      <c r="F204" s="11" t="str">
        <f t="shared" si="39"/>
        <v>Aug</v>
      </c>
      <c r="G204" s="11" t="str">
        <f t="shared" si="40"/>
        <v>Aug'24/25</v>
      </c>
      <c r="H204" s="11" t="str">
        <f t="shared" si="33"/>
        <v>Aug'24/25</v>
      </c>
      <c r="I204" s="11">
        <f t="shared" si="34"/>
        <v>8.1659145730749998</v>
      </c>
    </row>
    <row r="205" spans="2:9" x14ac:dyDescent="0.55000000000000004">
      <c r="B205" s="11">
        <f t="shared" si="35"/>
        <v>11</v>
      </c>
      <c r="C205" s="11">
        <f t="shared" si="36"/>
        <v>12</v>
      </c>
      <c r="D205" s="12">
        <f t="shared" si="37"/>
        <v>1080808.9329233333</v>
      </c>
      <c r="E205" s="11" t="str">
        <f t="shared" si="38"/>
        <v>24/25</v>
      </c>
      <c r="F205" s="11" t="str">
        <f t="shared" si="39"/>
        <v>Sep</v>
      </c>
      <c r="G205" s="11" t="str">
        <f t="shared" si="40"/>
        <v>Sep'24/25</v>
      </c>
      <c r="H205" s="11" t="str">
        <f t="shared" si="33"/>
        <v>Sep'24/25</v>
      </c>
      <c r="I205" s="11">
        <f t="shared" si="34"/>
        <v>8.544730726980001</v>
      </c>
    </row>
    <row r="206" spans="2:9" x14ac:dyDescent="0.55000000000000004">
      <c r="B206" s="11">
        <f t="shared" si="35"/>
        <v>12</v>
      </c>
      <c r="C206" s="11">
        <f t="shared" si="36"/>
        <v>1</v>
      </c>
      <c r="D206" s="12">
        <f t="shared" si="37"/>
        <v>940082.62078499992</v>
      </c>
      <c r="E206" s="11" t="str">
        <f t="shared" si="38"/>
        <v>25/26</v>
      </c>
      <c r="F206" s="11" t="str">
        <f t="shared" si="39"/>
        <v>Oct</v>
      </c>
      <c r="G206" s="11" t="str">
        <f t="shared" si="40"/>
        <v>Oct'25/26</v>
      </c>
      <c r="H206" s="11" t="str">
        <f t="shared" si="33"/>
        <v>Oct'25/26</v>
      </c>
      <c r="I206" s="11">
        <f t="shared" si="34"/>
        <v>8.6081355008383333</v>
      </c>
    </row>
    <row r="207" spans="2:9" x14ac:dyDescent="0.55000000000000004">
      <c r="B207" s="11">
        <f t="shared" si="35"/>
        <v>12</v>
      </c>
      <c r="C207" s="11">
        <f t="shared" si="36"/>
        <v>2</v>
      </c>
      <c r="D207" s="12">
        <f t="shared" si="37"/>
        <v>794980.56181500026</v>
      </c>
      <c r="E207" s="11" t="str">
        <f t="shared" si="38"/>
        <v>25/26</v>
      </c>
      <c r="F207" s="11" t="str">
        <f t="shared" si="39"/>
        <v>Nov</v>
      </c>
      <c r="G207" s="11" t="str">
        <f t="shared" si="40"/>
        <v>Nov'25/26</v>
      </c>
      <c r="H207" s="11" t="str">
        <f t="shared" si="33"/>
        <v>Nov'25/26</v>
      </c>
      <c r="I207" s="11">
        <f t="shared" si="34"/>
        <v>8.8527853341666685</v>
      </c>
    </row>
    <row r="208" spans="2:9" x14ac:dyDescent="0.55000000000000004">
      <c r="B208" s="11">
        <f t="shared" si="35"/>
        <v>12</v>
      </c>
      <c r="C208" s="11">
        <f t="shared" si="36"/>
        <v>3</v>
      </c>
      <c r="D208" s="12">
        <f t="shared" si="37"/>
        <v>655155.07113166654</v>
      </c>
      <c r="E208" s="11" t="str">
        <f t="shared" si="38"/>
        <v>25/26</v>
      </c>
      <c r="F208" s="11" t="str">
        <f t="shared" si="39"/>
        <v>Dec</v>
      </c>
      <c r="G208" s="11" t="str">
        <f t="shared" si="40"/>
        <v>Dec'25/26</v>
      </c>
      <c r="H208" s="11" t="str">
        <f t="shared" si="33"/>
        <v>Dec'25/26</v>
      </c>
      <c r="I208" s="11">
        <f t="shared" si="34"/>
        <v>8.950736495378333</v>
      </c>
    </row>
    <row r="209" spans="2:9" x14ac:dyDescent="0.55000000000000004">
      <c r="B209" s="11">
        <f t="shared" si="35"/>
        <v>12</v>
      </c>
      <c r="C209" s="11">
        <f t="shared" si="36"/>
        <v>4</v>
      </c>
      <c r="D209" s="12">
        <f t="shared" si="37"/>
        <v>418916.66666666669</v>
      </c>
      <c r="E209" s="11" t="str">
        <f t="shared" si="38"/>
        <v>25/26</v>
      </c>
      <c r="F209" s="11" t="str">
        <f t="shared" si="39"/>
        <v>Jan</v>
      </c>
      <c r="G209" s="11" t="str">
        <f t="shared" si="40"/>
        <v>Jan'25/26</v>
      </c>
      <c r="H209" s="11" t="str">
        <f t="shared" si="33"/>
        <v>Jan'25/26</v>
      </c>
      <c r="I209" s="11">
        <f t="shared" si="34"/>
        <v>8.8336170218283332</v>
      </c>
    </row>
    <row r="210" spans="2:9" x14ac:dyDescent="0.55000000000000004">
      <c r="B210" s="11">
        <f t="shared" si="35"/>
        <v>12</v>
      </c>
      <c r="C210" s="11">
        <f t="shared" si="36"/>
        <v>5</v>
      </c>
      <c r="D210" s="12">
        <f t="shared" si="37"/>
        <v>371500</v>
      </c>
      <c r="E210" s="11" t="str">
        <f t="shared" si="38"/>
        <v>25/26</v>
      </c>
      <c r="F210" s="11" t="str">
        <f t="shared" si="39"/>
        <v>Feb</v>
      </c>
      <c r="G210" s="11" t="str">
        <f t="shared" si="40"/>
        <v>Feb'25/26</v>
      </c>
      <c r="H210" s="11" t="str">
        <f t="shared" si="33"/>
        <v>Feb'25/26</v>
      </c>
      <c r="I210" s="11">
        <f t="shared" si="34"/>
        <v>8.6133318175066673</v>
      </c>
    </row>
    <row r="211" spans="2:9" x14ac:dyDescent="0.55000000000000004">
      <c r="B211" s="11">
        <f t="shared" si="35"/>
        <v>12</v>
      </c>
      <c r="C211" s="11">
        <f t="shared" si="36"/>
        <v>6</v>
      </c>
      <c r="D211" s="12">
        <f t="shared" si="37"/>
        <v>241450</v>
      </c>
      <c r="E211" s="11" t="str">
        <f t="shared" si="38"/>
        <v>25/26</v>
      </c>
      <c r="F211" s="11" t="str">
        <f t="shared" si="39"/>
        <v>Mar</v>
      </c>
      <c r="G211" s="11" t="str">
        <f t="shared" si="40"/>
        <v>Mar'25/26</v>
      </c>
      <c r="H211" s="11" t="str">
        <f t="shared" si="33"/>
        <v>Mar'25/26</v>
      </c>
      <c r="I211" s="11">
        <f t="shared" si="34"/>
        <v>8.2310190343033334</v>
      </c>
    </row>
    <row r="212" spans="2:9" x14ac:dyDescent="0.55000000000000004">
      <c r="B212" s="11">
        <f t="shared" si="35"/>
        <v>12</v>
      </c>
      <c r="C212" s="11">
        <f t="shared" si="36"/>
        <v>7</v>
      </c>
      <c r="D212" s="12">
        <f t="shared" si="37"/>
        <v>400800</v>
      </c>
      <c r="E212" s="11" t="str">
        <f t="shared" si="38"/>
        <v>25/26</v>
      </c>
      <c r="F212" s="11" t="str">
        <f t="shared" si="39"/>
        <v>Apr</v>
      </c>
      <c r="G212" s="11" t="str">
        <f t="shared" si="40"/>
        <v>Apr'25/26</v>
      </c>
      <c r="H212" s="11" t="str">
        <f t="shared" si="33"/>
        <v>Apr'25/26</v>
      </c>
      <c r="I212" s="11">
        <f t="shared" si="34"/>
        <v>8.1608426915316663</v>
      </c>
    </row>
    <row r="213" spans="2:9" x14ac:dyDescent="0.55000000000000004">
      <c r="B213" s="11">
        <f t="shared" si="35"/>
        <v>12</v>
      </c>
      <c r="C213" s="11">
        <f t="shared" si="36"/>
        <v>8</v>
      </c>
      <c r="D213" s="12" t="e">
        <f t="shared" si="37"/>
        <v>#N/A</v>
      </c>
      <c r="E213" s="11" t="str">
        <f t="shared" si="38"/>
        <v>25/26</v>
      </c>
      <c r="F213" s="11" t="str">
        <f t="shared" si="39"/>
        <v>May</v>
      </c>
      <c r="G213" s="11" t="str">
        <f t="shared" si="40"/>
        <v>May'25/26</v>
      </c>
      <c r="H213" s="11" t="str">
        <f t="shared" si="33"/>
        <v>May'25/26</v>
      </c>
      <c r="I213" s="11" t="e">
        <f t="shared" si="34"/>
        <v>#N/A</v>
      </c>
    </row>
    <row r="214" spans="2:9" x14ac:dyDescent="0.55000000000000004">
      <c r="B214" s="11">
        <f t="shared" si="35"/>
        <v>12</v>
      </c>
      <c r="C214" s="11">
        <f t="shared" si="36"/>
        <v>9</v>
      </c>
      <c r="D214" s="12" t="e">
        <f t="shared" si="37"/>
        <v>#N/A</v>
      </c>
      <c r="E214" s="11" t="str">
        <f t="shared" si="38"/>
        <v>25/26</v>
      </c>
      <c r="F214" s="11" t="str">
        <f t="shared" si="39"/>
        <v>Jun</v>
      </c>
      <c r="G214" s="11" t="str">
        <f t="shared" si="40"/>
        <v>Jun'25/26</v>
      </c>
      <c r="H214" s="11" t="str">
        <f t="shared" ref="H214:H229" si="41">G214</f>
        <v>Jun'25/26</v>
      </c>
      <c r="I214" s="11" t="e">
        <f t="shared" ref="I214:I229" si="42">SUM(D203:D214)/1000000</f>
        <v>#N/A</v>
      </c>
    </row>
    <row r="215" spans="2:9" x14ac:dyDescent="0.55000000000000004">
      <c r="B215" s="11">
        <f t="shared" ref="B215:B229" si="43">B203+1</f>
        <v>12</v>
      </c>
      <c r="C215" s="11">
        <f t="shared" ref="C215:C229" si="44">C203</f>
        <v>10</v>
      </c>
      <c r="D215" s="12" t="e">
        <f t="shared" si="37"/>
        <v>#N/A</v>
      </c>
      <c r="E215" s="11" t="str">
        <f t="shared" si="38"/>
        <v>25/26</v>
      </c>
      <c r="F215" s="11" t="str">
        <f t="shared" si="39"/>
        <v>Jul</v>
      </c>
      <c r="G215" s="11" t="str">
        <f t="shared" si="40"/>
        <v>Jul'25/26</v>
      </c>
      <c r="H215" s="11" t="str">
        <f t="shared" si="41"/>
        <v>Jul'25/26</v>
      </c>
      <c r="I215" s="11" t="e">
        <f t="shared" si="42"/>
        <v>#N/A</v>
      </c>
    </row>
    <row r="216" spans="2:9" x14ac:dyDescent="0.55000000000000004">
      <c r="B216" s="11">
        <f t="shared" si="43"/>
        <v>12</v>
      </c>
      <c r="C216" s="11">
        <f t="shared" si="44"/>
        <v>11</v>
      </c>
      <c r="D216" s="12" t="e">
        <f t="shared" si="37"/>
        <v>#N/A</v>
      </c>
      <c r="E216" s="11" t="str">
        <f t="shared" si="38"/>
        <v>25/26</v>
      </c>
      <c r="F216" s="11" t="str">
        <f t="shared" si="39"/>
        <v>Aug</v>
      </c>
      <c r="G216" s="11" t="str">
        <f t="shared" si="40"/>
        <v>Aug'25/26</v>
      </c>
      <c r="H216" s="11" t="str">
        <f t="shared" si="41"/>
        <v>Aug'25/26</v>
      </c>
      <c r="I216" s="11" t="e">
        <f t="shared" si="42"/>
        <v>#N/A</v>
      </c>
    </row>
    <row r="217" spans="2:9" x14ac:dyDescent="0.55000000000000004">
      <c r="B217" s="11">
        <f t="shared" si="43"/>
        <v>12</v>
      </c>
      <c r="C217" s="11">
        <f t="shared" si="44"/>
        <v>12</v>
      </c>
      <c r="D217" s="12" t="e">
        <f t="shared" si="37"/>
        <v>#N/A</v>
      </c>
      <c r="E217" s="11" t="str">
        <f t="shared" si="38"/>
        <v>25/26</v>
      </c>
      <c r="F217" s="11" t="str">
        <f t="shared" si="39"/>
        <v>Sep</v>
      </c>
      <c r="G217" s="11" t="str">
        <f t="shared" si="40"/>
        <v>Sep'25/26</v>
      </c>
      <c r="H217" s="11" t="str">
        <f t="shared" si="41"/>
        <v>Sep'25/26</v>
      </c>
      <c r="I217" s="11" t="e">
        <f t="shared" si="42"/>
        <v>#N/A</v>
      </c>
    </row>
    <row r="218" spans="2:9" x14ac:dyDescent="0.55000000000000004">
      <c r="B218" s="11">
        <f t="shared" si="43"/>
        <v>13</v>
      </c>
      <c r="C218" s="11">
        <f t="shared" si="44"/>
        <v>1</v>
      </c>
      <c r="D218" s="12" t="e">
        <f t="shared" si="37"/>
        <v>#N/A</v>
      </c>
      <c r="E218" s="11" t="str">
        <f t="shared" si="38"/>
        <v>26/27</v>
      </c>
      <c r="F218" s="11" t="str">
        <f t="shared" si="39"/>
        <v>Oct</v>
      </c>
      <c r="G218" s="11" t="str">
        <f t="shared" si="40"/>
        <v>Oct'26/27</v>
      </c>
      <c r="H218" s="11" t="str">
        <f t="shared" si="41"/>
        <v>Oct'26/27</v>
      </c>
      <c r="I218" s="11" t="e">
        <f t="shared" si="42"/>
        <v>#N/A</v>
      </c>
    </row>
    <row r="219" spans="2:9" x14ac:dyDescent="0.55000000000000004">
      <c r="B219" s="11">
        <f t="shared" si="43"/>
        <v>13</v>
      </c>
      <c r="C219" s="11">
        <f t="shared" si="44"/>
        <v>2</v>
      </c>
      <c r="D219" s="12" t="e">
        <f t="shared" si="37"/>
        <v>#N/A</v>
      </c>
      <c r="E219" s="11" t="str">
        <f t="shared" si="38"/>
        <v>26/27</v>
      </c>
      <c r="F219" s="11" t="str">
        <f t="shared" si="39"/>
        <v>Nov</v>
      </c>
      <c r="G219" s="11" t="str">
        <f t="shared" si="40"/>
        <v>Nov'26/27</v>
      </c>
      <c r="H219" s="11" t="str">
        <f t="shared" si="41"/>
        <v>Nov'26/27</v>
      </c>
      <c r="I219" s="11" t="e">
        <f t="shared" si="42"/>
        <v>#N/A</v>
      </c>
    </row>
    <row r="220" spans="2:9" x14ac:dyDescent="0.55000000000000004">
      <c r="B220" s="11">
        <f t="shared" si="43"/>
        <v>13</v>
      </c>
      <c r="C220" s="11">
        <f t="shared" si="44"/>
        <v>3</v>
      </c>
      <c r="D220" s="12" t="e">
        <f t="shared" si="37"/>
        <v>#N/A</v>
      </c>
      <c r="E220" s="11" t="str">
        <f t="shared" si="38"/>
        <v>26/27</v>
      </c>
      <c r="F220" s="11" t="str">
        <f t="shared" si="39"/>
        <v>Dec</v>
      </c>
      <c r="G220" s="11" t="str">
        <f t="shared" si="40"/>
        <v>Dec'26/27</v>
      </c>
      <c r="H220" s="11" t="str">
        <f t="shared" si="41"/>
        <v>Dec'26/27</v>
      </c>
      <c r="I220" s="11" t="e">
        <f t="shared" si="42"/>
        <v>#N/A</v>
      </c>
    </row>
    <row r="221" spans="2:9" x14ac:dyDescent="0.55000000000000004">
      <c r="B221" s="11">
        <f t="shared" si="43"/>
        <v>13</v>
      </c>
      <c r="C221" s="11">
        <f t="shared" si="44"/>
        <v>4</v>
      </c>
      <c r="D221" s="12" t="e">
        <f t="shared" si="37"/>
        <v>#N/A</v>
      </c>
      <c r="E221" s="11" t="str">
        <f t="shared" si="38"/>
        <v>26/27</v>
      </c>
      <c r="F221" s="11" t="str">
        <f t="shared" si="39"/>
        <v>Jan</v>
      </c>
      <c r="G221" s="11" t="str">
        <f t="shared" si="40"/>
        <v>Jan'26/27</v>
      </c>
      <c r="H221" s="11" t="str">
        <f t="shared" si="41"/>
        <v>Jan'26/27</v>
      </c>
      <c r="I221" s="11" t="e">
        <f t="shared" si="42"/>
        <v>#N/A</v>
      </c>
    </row>
    <row r="222" spans="2:9" x14ac:dyDescent="0.55000000000000004">
      <c r="B222" s="11">
        <f t="shared" si="43"/>
        <v>13</v>
      </c>
      <c r="C222" s="11">
        <f t="shared" si="44"/>
        <v>5</v>
      </c>
      <c r="D222" s="12" t="e">
        <f t="shared" si="37"/>
        <v>#N/A</v>
      </c>
      <c r="E222" s="11" t="str">
        <f t="shared" si="38"/>
        <v>26/27</v>
      </c>
      <c r="F222" s="11" t="str">
        <f t="shared" si="39"/>
        <v>Feb</v>
      </c>
      <c r="G222" s="11" t="str">
        <f t="shared" si="40"/>
        <v>Feb'26/27</v>
      </c>
      <c r="H222" s="11" t="str">
        <f t="shared" si="41"/>
        <v>Feb'26/27</v>
      </c>
      <c r="I222" s="11" t="e">
        <f t="shared" si="42"/>
        <v>#N/A</v>
      </c>
    </row>
    <row r="223" spans="2:9" x14ac:dyDescent="0.55000000000000004">
      <c r="B223" s="11">
        <f t="shared" si="43"/>
        <v>13</v>
      </c>
      <c r="C223" s="11">
        <f t="shared" si="44"/>
        <v>6</v>
      </c>
      <c r="D223" s="12" t="e">
        <f t="shared" si="37"/>
        <v>#N/A</v>
      </c>
      <c r="E223" s="11" t="str">
        <f t="shared" si="38"/>
        <v>26/27</v>
      </c>
      <c r="F223" s="11" t="str">
        <f t="shared" si="39"/>
        <v>Mar</v>
      </c>
      <c r="G223" s="11" t="str">
        <f t="shared" si="40"/>
        <v>Mar'26/27</v>
      </c>
      <c r="H223" s="11" t="str">
        <f t="shared" si="41"/>
        <v>Mar'26/27</v>
      </c>
      <c r="I223" s="11" t="e">
        <f t="shared" si="42"/>
        <v>#N/A</v>
      </c>
    </row>
    <row r="224" spans="2:9" x14ac:dyDescent="0.55000000000000004">
      <c r="B224" s="11">
        <f t="shared" si="43"/>
        <v>13</v>
      </c>
      <c r="C224" s="11">
        <f t="shared" si="44"/>
        <v>7</v>
      </c>
      <c r="D224" s="12" t="e">
        <f t="shared" si="37"/>
        <v>#N/A</v>
      </c>
      <c r="E224" s="11" t="str">
        <f t="shared" si="38"/>
        <v>26/27</v>
      </c>
      <c r="F224" s="11" t="str">
        <f t="shared" si="39"/>
        <v>Apr</v>
      </c>
      <c r="G224" s="11" t="str">
        <f t="shared" si="40"/>
        <v>Apr'26/27</v>
      </c>
      <c r="H224" s="11" t="str">
        <f t="shared" si="41"/>
        <v>Apr'26/27</v>
      </c>
      <c r="I224" s="11" t="e">
        <f t="shared" si="42"/>
        <v>#N/A</v>
      </c>
    </row>
    <row r="225" spans="2:9" x14ac:dyDescent="0.55000000000000004">
      <c r="B225" s="11">
        <f t="shared" si="43"/>
        <v>13</v>
      </c>
      <c r="C225" s="11">
        <f t="shared" si="44"/>
        <v>8</v>
      </c>
      <c r="D225" s="12" t="e">
        <f t="shared" si="37"/>
        <v>#N/A</v>
      </c>
      <c r="E225" s="11" t="str">
        <f t="shared" si="38"/>
        <v>26/27</v>
      </c>
      <c r="F225" s="11" t="str">
        <f t="shared" si="39"/>
        <v>May</v>
      </c>
      <c r="G225" s="11" t="str">
        <f t="shared" si="40"/>
        <v>May'26/27</v>
      </c>
      <c r="H225" s="11" t="str">
        <f t="shared" si="41"/>
        <v>May'26/27</v>
      </c>
      <c r="I225" s="11" t="e">
        <f t="shared" si="42"/>
        <v>#N/A</v>
      </c>
    </row>
    <row r="226" spans="2:9" x14ac:dyDescent="0.55000000000000004">
      <c r="B226" s="11">
        <f t="shared" si="43"/>
        <v>13</v>
      </c>
      <c r="C226" s="11">
        <f t="shared" si="44"/>
        <v>9</v>
      </c>
      <c r="D226" s="12" t="e">
        <f t="shared" si="37"/>
        <v>#N/A</v>
      </c>
      <c r="E226" s="11" t="str">
        <f t="shared" si="38"/>
        <v>26/27</v>
      </c>
      <c r="F226" s="11" t="str">
        <f t="shared" si="39"/>
        <v>Jun</v>
      </c>
      <c r="G226" s="11" t="str">
        <f t="shared" si="40"/>
        <v>Jun'26/27</v>
      </c>
      <c r="H226" s="11" t="str">
        <f t="shared" si="41"/>
        <v>Jun'26/27</v>
      </c>
      <c r="I226" s="11" t="e">
        <f t="shared" si="42"/>
        <v>#N/A</v>
      </c>
    </row>
    <row r="227" spans="2:9" x14ac:dyDescent="0.55000000000000004">
      <c r="B227" s="11">
        <f t="shared" si="43"/>
        <v>13</v>
      </c>
      <c r="C227" s="11">
        <f t="shared" si="44"/>
        <v>10</v>
      </c>
      <c r="D227" s="12" t="e">
        <f t="shared" si="37"/>
        <v>#N/A</v>
      </c>
      <c r="E227" s="11" t="str">
        <f t="shared" si="38"/>
        <v>26/27</v>
      </c>
      <c r="F227" s="11" t="str">
        <f t="shared" si="39"/>
        <v>Jul</v>
      </c>
      <c r="G227" s="11" t="str">
        <f t="shared" si="40"/>
        <v>Jul'26/27</v>
      </c>
      <c r="H227" s="11" t="str">
        <f t="shared" si="41"/>
        <v>Jul'26/27</v>
      </c>
      <c r="I227" s="11" t="e">
        <f t="shared" si="42"/>
        <v>#N/A</v>
      </c>
    </row>
    <row r="228" spans="2:9" x14ac:dyDescent="0.55000000000000004">
      <c r="B228" s="11">
        <f t="shared" si="43"/>
        <v>13</v>
      </c>
      <c r="C228" s="11">
        <f t="shared" si="44"/>
        <v>11</v>
      </c>
      <c r="D228" s="12" t="e">
        <f t="shared" si="37"/>
        <v>#N/A</v>
      </c>
      <c r="E228" s="11" t="str">
        <f t="shared" si="38"/>
        <v>26/27</v>
      </c>
      <c r="F228" s="11" t="str">
        <f t="shared" si="39"/>
        <v>Aug</v>
      </c>
      <c r="G228" s="11" t="str">
        <f t="shared" si="40"/>
        <v>Aug'26/27</v>
      </c>
      <c r="H228" s="11" t="str">
        <f t="shared" si="41"/>
        <v>Aug'26/27</v>
      </c>
      <c r="I228" s="11" t="e">
        <f t="shared" si="42"/>
        <v>#N/A</v>
      </c>
    </row>
    <row r="229" spans="2:9" x14ac:dyDescent="0.55000000000000004">
      <c r="B229" s="11">
        <f t="shared" si="43"/>
        <v>13</v>
      </c>
      <c r="C229" s="11">
        <f t="shared" si="44"/>
        <v>12</v>
      </c>
      <c r="D229" s="12" t="e">
        <f t="shared" si="37"/>
        <v>#N/A</v>
      </c>
      <c r="E229" s="11" t="str">
        <f t="shared" si="38"/>
        <v>26/27</v>
      </c>
      <c r="F229" s="11" t="str">
        <f t="shared" si="39"/>
        <v>Sep</v>
      </c>
      <c r="G229" s="11" t="str">
        <f t="shared" si="40"/>
        <v>Sep'26/27</v>
      </c>
      <c r="H229" s="11" t="str">
        <f t="shared" si="41"/>
        <v>Sep'26/27</v>
      </c>
      <c r="I229" s="11" t="e">
        <f t="shared" si="42"/>
        <v>#N/A</v>
      </c>
    </row>
  </sheetData>
  <mergeCells count="4">
    <mergeCell ref="A1:Y2"/>
    <mergeCell ref="C5:N5"/>
    <mergeCell ref="S6:U6"/>
    <mergeCell ref="N74:Y74"/>
  </mergeCells>
  <conditionalFormatting sqref="C7:N19">
    <cfRule type="cellIs" dxfId="4" priority="1" operator="greaterThanOrEqual">
      <formula>0</formula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{036758C5-676E-424D-979C-FEE5DA95FA4C}</x14:id>
        </ext>
      </extLst>
    </cfRule>
  </conditionalFormatting>
  <conditionalFormatting sqref="Q17:Q1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{961E88F8-D98C-42DB-8032-270C05A52FB9}</x14:id>
        </ext>
      </extLst>
    </cfRule>
  </conditionalFormatting>
  <conditionalFormatting sqref="T7:T19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{E88CF9B0-8A1C-435F-92FE-61B41DEA865D}</x14:id>
        </ext>
      </extLst>
    </cfRule>
  </conditionalFormatting>
  <conditionalFormatting sqref="U1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{60262C3C-3476-4F76-B668-0FE872FAB5AF}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6758C5-676E-424D-979C-FEE5DA95FA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Q8:Q16</xm:sqref>
        </x14:conditionalFormatting>
        <x14:conditionalFormatting xmlns:xm="http://schemas.microsoft.com/office/excel/2006/main">
          <x14:cfRule type="dataBar" id="{961E88F8-D98C-42DB-8032-270C05A52F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Q17:Q19</xm:sqref>
        </x14:conditionalFormatting>
        <x14:conditionalFormatting xmlns:xm="http://schemas.microsoft.com/office/excel/2006/main">
          <x14:cfRule type="dataBar" id="{E88CF9B0-8A1C-435F-92FE-61B41DEA86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60262C3C-3476-4F76-B668-0FE872FAB5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1DC2-BB0C-4F76-BBE5-3F73D9F594A1}">
  <sheetPr codeName="Sheet10"/>
  <dimension ref="A1:AI229"/>
  <sheetViews>
    <sheetView showGridLines="0" zoomScale="70" zoomScaleNormal="70" workbookViewId="0">
      <selection activeCell="B6" sqref="B6:N18"/>
    </sheetView>
  </sheetViews>
  <sheetFormatPr defaultColWidth="8.83984375" defaultRowHeight="14.4" x14ac:dyDescent="0.55000000000000004"/>
  <cols>
    <col min="1" max="16384" width="8.83984375" style="11"/>
  </cols>
  <sheetData>
    <row r="1" spans="1:35" s="17" customFormat="1" ht="25.8" x14ac:dyDescent="0.55000000000000004">
      <c r="A1" s="73" t="s">
        <v>87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Oct-Jul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Uganda : Coffee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Oct-Jul</v>
      </c>
      <c r="T6" s="75"/>
      <c r="U6" s="75"/>
    </row>
    <row r="7" spans="1:35" x14ac:dyDescent="0.55000000000000004">
      <c r="A7" s="14">
        <v>1</v>
      </c>
      <c r="B7" s="6" t="s">
        <v>15</v>
      </c>
      <c r="C7" s="24">
        <v>55746</v>
      </c>
      <c r="D7" s="24">
        <v>219948</v>
      </c>
      <c r="E7" s="24">
        <v>224803</v>
      </c>
      <c r="F7" s="24">
        <v>310829</v>
      </c>
      <c r="G7" s="24">
        <v>290475</v>
      </c>
      <c r="H7" s="24">
        <v>96178</v>
      </c>
      <c r="I7" s="24">
        <v>263425</v>
      </c>
      <c r="J7" s="24">
        <v>91365</v>
      </c>
      <c r="K7" s="24">
        <v>334785</v>
      </c>
      <c r="L7" s="24">
        <v>130215</v>
      </c>
      <c r="M7" s="24">
        <v>91171</v>
      </c>
      <c r="N7" s="24">
        <v>286322</v>
      </c>
      <c r="O7" s="6" t="s">
        <v>15</v>
      </c>
      <c r="P7" s="20">
        <f t="shared" ref="P7:P19" si="0">IF(COUNT(C7:N7)=12,SUM(C7:N7),"")</f>
        <v>2395262</v>
      </c>
      <c r="Q7" s="2"/>
      <c r="R7" s="2"/>
      <c r="S7" s="6" t="s">
        <v>15</v>
      </c>
      <c r="T7" s="20">
        <f ca="1">IFERROR(IF(SUM(OFFSET(C7,0,0,1,$C$56))=0,"",SUM(OFFSET(C7,0,0,1,$C$56))),"")</f>
        <v>2017769</v>
      </c>
      <c r="U7" s="2"/>
    </row>
    <row r="8" spans="1:35" x14ac:dyDescent="0.55000000000000004">
      <c r="A8" s="14">
        <v>2</v>
      </c>
      <c r="B8" s="6" t="s">
        <v>16</v>
      </c>
      <c r="C8" s="24">
        <v>73725</v>
      </c>
      <c r="D8" s="24">
        <v>248321</v>
      </c>
      <c r="E8" s="24">
        <v>188177</v>
      </c>
      <c r="F8" s="24">
        <v>272949</v>
      </c>
      <c r="G8" s="24">
        <v>271941</v>
      </c>
      <c r="H8" s="24">
        <v>247838</v>
      </c>
      <c r="I8" s="24">
        <v>326793</v>
      </c>
      <c r="J8" s="24">
        <v>286758</v>
      </c>
      <c r="K8" s="24">
        <v>90759</v>
      </c>
      <c r="L8" s="24">
        <v>268490</v>
      </c>
      <c r="M8" s="24">
        <v>291013</v>
      </c>
      <c r="N8" s="24">
        <v>208956</v>
      </c>
      <c r="O8" s="6" t="s">
        <v>16</v>
      </c>
      <c r="P8" s="20">
        <f t="shared" si="0"/>
        <v>2775720</v>
      </c>
      <c r="Q8" s="7">
        <f t="shared" ref="Q8:Q16" si="1">IFERROR(P8/P7-1,"")</f>
        <v>0.15883773883608554</v>
      </c>
      <c r="R8" s="2"/>
      <c r="S8" s="6" t="s">
        <v>16</v>
      </c>
      <c r="T8" s="20">
        <f t="shared" ref="T8:T19" ca="1" si="2">IFERROR(IF(SUM(OFFSET(C8,0,0,1,$C$56))=0,"",SUM(OFFSET(C8,0,0,1,$C$56))),"")</f>
        <v>2275751</v>
      </c>
      <c r="U8" s="7">
        <f t="shared" ref="U8:U17" ca="1" si="3">IFERROR(T8/T7-1,"")</f>
        <v>0.12785507161622567</v>
      </c>
    </row>
    <row r="9" spans="1:35" x14ac:dyDescent="0.55000000000000004">
      <c r="A9" s="14">
        <v>3</v>
      </c>
      <c r="B9" s="6" t="s">
        <v>17</v>
      </c>
      <c r="C9" s="24">
        <v>209478</v>
      </c>
      <c r="D9" s="24">
        <v>408027</v>
      </c>
      <c r="E9" s="24">
        <v>422111</v>
      </c>
      <c r="F9" s="24">
        <v>404673</v>
      </c>
      <c r="G9" s="24">
        <v>397883</v>
      </c>
      <c r="H9" s="24">
        <v>409916</v>
      </c>
      <c r="I9" s="24">
        <v>326232</v>
      </c>
      <c r="J9" s="24">
        <v>408454</v>
      </c>
      <c r="K9" s="24">
        <v>430565</v>
      </c>
      <c r="L9" s="24">
        <v>427204</v>
      </c>
      <c r="M9" s="24">
        <v>418340</v>
      </c>
      <c r="N9" s="24">
        <v>341839</v>
      </c>
      <c r="O9" s="6" t="s">
        <v>17</v>
      </c>
      <c r="P9" s="20">
        <f t="shared" si="0"/>
        <v>4604722</v>
      </c>
      <c r="Q9" s="7">
        <f t="shared" si="1"/>
        <v>0.65892885449541017</v>
      </c>
      <c r="R9" s="2"/>
      <c r="S9" s="6" t="s">
        <v>17</v>
      </c>
      <c r="T9" s="20">
        <f t="shared" ca="1" si="2"/>
        <v>3844543</v>
      </c>
      <c r="U9" s="7">
        <f t="shared" ca="1" si="3"/>
        <v>0.68935133940400339</v>
      </c>
    </row>
    <row r="10" spans="1:35" x14ac:dyDescent="0.55000000000000004">
      <c r="A10" s="14">
        <v>4</v>
      </c>
      <c r="B10" s="6" t="s">
        <v>18</v>
      </c>
      <c r="C10" s="24">
        <v>381636</v>
      </c>
      <c r="D10" s="24">
        <v>443100</v>
      </c>
      <c r="E10" s="24">
        <v>386217</v>
      </c>
      <c r="F10" s="24">
        <v>401930</v>
      </c>
      <c r="G10" s="24">
        <v>390378</v>
      </c>
      <c r="H10" s="24">
        <v>333346</v>
      </c>
      <c r="I10" s="24">
        <v>295194</v>
      </c>
      <c r="J10" s="24">
        <v>319035</v>
      </c>
      <c r="K10" s="24">
        <v>320339</v>
      </c>
      <c r="L10" s="24">
        <v>393022</v>
      </c>
      <c r="M10" s="24">
        <v>348952</v>
      </c>
      <c r="N10" s="24">
        <v>293199</v>
      </c>
      <c r="O10" s="6" t="s">
        <v>18</v>
      </c>
      <c r="P10" s="20">
        <f t="shared" si="0"/>
        <v>4306348</v>
      </c>
      <c r="Q10" s="7">
        <f t="shared" si="1"/>
        <v>-6.4797397106709176E-2</v>
      </c>
      <c r="R10" s="2"/>
      <c r="S10" s="6" t="s">
        <v>18</v>
      </c>
      <c r="T10" s="20">
        <f t="shared" ca="1" si="2"/>
        <v>3664197</v>
      </c>
      <c r="U10" s="7">
        <f t="shared" ca="1" si="3"/>
        <v>-4.6909606681470373E-2</v>
      </c>
    </row>
    <row r="11" spans="1:35" x14ac:dyDescent="0.55000000000000004">
      <c r="A11" s="14">
        <v>5</v>
      </c>
      <c r="B11" s="6" t="s">
        <v>19</v>
      </c>
      <c r="C11" s="24">
        <v>350743</v>
      </c>
      <c r="D11" s="24">
        <v>362343</v>
      </c>
      <c r="E11" s="24">
        <v>314439</v>
      </c>
      <c r="F11" s="24">
        <v>395097</v>
      </c>
      <c r="G11" s="24">
        <v>320894</v>
      </c>
      <c r="H11" s="24">
        <v>348230</v>
      </c>
      <c r="I11" s="24">
        <v>306315</v>
      </c>
      <c r="J11" s="24">
        <v>348532</v>
      </c>
      <c r="K11" s="24">
        <v>341628</v>
      </c>
      <c r="L11" s="24">
        <v>463709</v>
      </c>
      <c r="M11" s="24">
        <v>489184</v>
      </c>
      <c r="N11" s="24">
        <v>362219</v>
      </c>
      <c r="O11" s="6" t="s">
        <v>19</v>
      </c>
      <c r="P11" s="20">
        <f t="shared" si="0"/>
        <v>4403333</v>
      </c>
      <c r="Q11" s="7">
        <f t="shared" si="1"/>
        <v>2.2521403286497099E-2</v>
      </c>
      <c r="R11" s="2"/>
      <c r="S11" s="6" t="s">
        <v>19</v>
      </c>
      <c r="T11" s="20">
        <f t="shared" ca="1" si="2"/>
        <v>3551930</v>
      </c>
      <c r="U11" s="7">
        <f t="shared" ca="1" si="3"/>
        <v>-3.0638909425448446E-2</v>
      </c>
    </row>
    <row r="12" spans="1:35" x14ac:dyDescent="0.55000000000000004">
      <c r="A12" s="14">
        <v>6</v>
      </c>
      <c r="B12" s="6" t="s">
        <v>20</v>
      </c>
      <c r="C12" s="24">
        <v>378238</v>
      </c>
      <c r="D12" s="24">
        <v>438815</v>
      </c>
      <c r="E12" s="24">
        <v>330248</v>
      </c>
      <c r="F12" s="24">
        <v>469951</v>
      </c>
      <c r="G12" s="24">
        <v>472994</v>
      </c>
      <c r="H12" s="24">
        <v>477561</v>
      </c>
      <c r="I12" s="24">
        <v>359973</v>
      </c>
      <c r="J12" s="24">
        <v>437597</v>
      </c>
      <c r="K12" s="24">
        <v>420373</v>
      </c>
      <c r="L12" s="24">
        <v>543251</v>
      </c>
      <c r="M12" s="24">
        <v>519683</v>
      </c>
      <c r="N12" s="24">
        <v>506470</v>
      </c>
      <c r="O12" s="6" t="s">
        <v>20</v>
      </c>
      <c r="P12" s="20">
        <f t="shared" si="0"/>
        <v>5355154</v>
      </c>
      <c r="Q12" s="7">
        <f t="shared" si="1"/>
        <v>0.21615921394089432</v>
      </c>
      <c r="R12" s="2"/>
      <c r="S12" s="6" t="s">
        <v>20</v>
      </c>
      <c r="T12" s="20">
        <f t="shared" ca="1" si="2"/>
        <v>4329001</v>
      </c>
      <c r="U12" s="7">
        <f t="shared" ca="1" si="3"/>
        <v>0.21877430016920374</v>
      </c>
    </row>
    <row r="13" spans="1:35" x14ac:dyDescent="0.55000000000000004">
      <c r="A13" s="14">
        <v>7</v>
      </c>
      <c r="B13" s="6" t="s">
        <v>21</v>
      </c>
      <c r="C13" s="24">
        <v>428015</v>
      </c>
      <c r="D13" s="24">
        <v>430324</v>
      </c>
      <c r="E13" s="24">
        <v>417070</v>
      </c>
      <c r="F13" s="24">
        <v>446560</v>
      </c>
      <c r="G13" s="24">
        <v>562763</v>
      </c>
      <c r="H13" s="24">
        <v>572839</v>
      </c>
      <c r="I13" s="24">
        <v>537538</v>
      </c>
      <c r="J13" s="24">
        <v>494050</v>
      </c>
      <c r="K13" s="24">
        <v>618388</v>
      </c>
      <c r="L13" s="24">
        <v>700035</v>
      </c>
      <c r="M13" s="24">
        <v>700990</v>
      </c>
      <c r="N13" s="24">
        <v>585576</v>
      </c>
      <c r="O13" s="6" t="s">
        <v>21</v>
      </c>
      <c r="P13" s="20">
        <f t="shared" si="0"/>
        <v>6494148</v>
      </c>
      <c r="Q13" s="7">
        <f t="shared" si="1"/>
        <v>0.21269117564126083</v>
      </c>
      <c r="R13" s="2"/>
      <c r="S13" s="6" t="s">
        <v>21</v>
      </c>
      <c r="T13" s="20">
        <f t="shared" ca="1" si="2"/>
        <v>5207582</v>
      </c>
      <c r="U13" s="7">
        <f t="shared" ca="1" si="3"/>
        <v>0.20295236707037034</v>
      </c>
    </row>
    <row r="14" spans="1:35" x14ac:dyDescent="0.55000000000000004">
      <c r="A14" s="14">
        <v>8</v>
      </c>
      <c r="B14" s="6" t="s">
        <v>22</v>
      </c>
      <c r="C14" s="24">
        <v>486534</v>
      </c>
      <c r="D14" s="24">
        <v>524902</v>
      </c>
      <c r="E14" s="24">
        <v>536569</v>
      </c>
      <c r="F14" s="24">
        <v>402212</v>
      </c>
      <c r="G14" s="24">
        <v>448957</v>
      </c>
      <c r="H14" s="24">
        <v>478023</v>
      </c>
      <c r="I14" s="24">
        <v>407762</v>
      </c>
      <c r="J14" s="24">
        <v>455166</v>
      </c>
      <c r="K14" s="24">
        <v>530365</v>
      </c>
      <c r="L14" s="24">
        <v>576468</v>
      </c>
      <c r="M14" s="24">
        <v>501054</v>
      </c>
      <c r="N14" s="24">
        <v>503695</v>
      </c>
      <c r="O14" s="6" t="s">
        <v>22</v>
      </c>
      <c r="P14" s="20">
        <f t="shared" si="0"/>
        <v>5851707</v>
      </c>
      <c r="Q14" s="7">
        <f t="shared" si="1"/>
        <v>-9.892614088868934E-2</v>
      </c>
      <c r="R14" s="2"/>
      <c r="S14" s="6" t="s">
        <v>22</v>
      </c>
      <c r="T14" s="20">
        <f t="shared" ca="1" si="2"/>
        <v>4846958</v>
      </c>
      <c r="U14" s="7">
        <f t="shared" ca="1" si="3"/>
        <v>-6.9249797698816895E-2</v>
      </c>
    </row>
    <row r="15" spans="1:35" x14ac:dyDescent="0.55000000000000004">
      <c r="A15" s="14">
        <v>9</v>
      </c>
      <c r="B15" s="6" t="s">
        <v>23</v>
      </c>
      <c r="C15" s="24">
        <v>457244</v>
      </c>
      <c r="D15" s="24">
        <v>447162</v>
      </c>
      <c r="E15" s="24">
        <v>418829</v>
      </c>
      <c r="F15" s="24">
        <v>494226</v>
      </c>
      <c r="G15" s="24">
        <v>478646</v>
      </c>
      <c r="H15" s="24">
        <v>487797</v>
      </c>
      <c r="I15" s="24">
        <v>373610</v>
      </c>
      <c r="J15" s="24">
        <v>453169</v>
      </c>
      <c r="K15" s="24">
        <v>563832</v>
      </c>
      <c r="L15" s="24">
        <v>645832</v>
      </c>
      <c r="M15" s="24">
        <v>743517</v>
      </c>
      <c r="N15" s="24">
        <v>577063</v>
      </c>
      <c r="O15" s="6" t="s">
        <v>23</v>
      </c>
      <c r="P15" s="20">
        <f t="shared" si="0"/>
        <v>6140927</v>
      </c>
      <c r="Q15" s="7">
        <f t="shared" si="1"/>
        <v>4.9424894308617962E-2</v>
      </c>
      <c r="R15" s="2"/>
      <c r="S15" s="6" t="s">
        <v>23</v>
      </c>
      <c r="T15" s="20">
        <f t="shared" ca="1" si="2"/>
        <v>4820347</v>
      </c>
      <c r="U15" s="7">
        <f t="shared" ca="1" si="3"/>
        <v>-5.4902476976280701E-3</v>
      </c>
    </row>
    <row r="16" spans="1:35" x14ac:dyDescent="0.55000000000000004">
      <c r="A16" s="14">
        <v>10</v>
      </c>
      <c r="B16" s="6" t="s">
        <v>24</v>
      </c>
      <c r="C16" s="24">
        <v>472790.29600000003</v>
      </c>
      <c r="D16" s="24">
        <v>469889.13841835706</v>
      </c>
      <c r="E16" s="24">
        <v>431393.87</v>
      </c>
      <c r="F16" s="24">
        <v>481586</v>
      </c>
      <c r="G16" s="24">
        <v>443472.7098627513</v>
      </c>
      <c r="H16" s="24">
        <v>329686</v>
      </c>
      <c r="I16" s="24">
        <v>390977</v>
      </c>
      <c r="J16" s="24">
        <v>553529</v>
      </c>
      <c r="K16" s="24">
        <v>667037</v>
      </c>
      <c r="L16" s="24">
        <v>821529</v>
      </c>
      <c r="M16" s="24">
        <v>837915</v>
      </c>
      <c r="N16" s="24">
        <v>532212</v>
      </c>
      <c r="O16" s="6" t="s">
        <v>24</v>
      </c>
      <c r="P16" s="20">
        <f t="shared" si="0"/>
        <v>6432017.014281109</v>
      </c>
      <c r="Q16" s="7">
        <f t="shared" si="1"/>
        <v>4.7401640547283685E-2</v>
      </c>
      <c r="R16" s="2"/>
      <c r="S16" s="6" t="s">
        <v>24</v>
      </c>
      <c r="T16" s="20">
        <f t="shared" ca="1" si="2"/>
        <v>5061890.014281109</v>
      </c>
      <c r="U16" s="7">
        <f t="shared" ca="1" si="3"/>
        <v>5.0109051128707005E-2</v>
      </c>
    </row>
    <row r="17" spans="1:21" x14ac:dyDescent="0.55000000000000004">
      <c r="A17" s="14">
        <v>11</v>
      </c>
      <c r="B17" s="6" t="s">
        <v>25</v>
      </c>
      <c r="C17" s="24">
        <v>496820</v>
      </c>
      <c r="D17" s="24">
        <v>400536</v>
      </c>
      <c r="E17" s="24">
        <v>413079</v>
      </c>
      <c r="F17" s="24">
        <v>550341</v>
      </c>
      <c r="G17" s="24">
        <v>555760</v>
      </c>
      <c r="H17" s="24">
        <v>642981</v>
      </c>
      <c r="I17" s="24">
        <v>694318</v>
      </c>
      <c r="J17" s="24">
        <v>793445</v>
      </c>
      <c r="K17" s="24">
        <v>1014062</v>
      </c>
      <c r="L17" s="24">
        <v>997105</v>
      </c>
      <c r="M17" s="24">
        <v>855441</v>
      </c>
      <c r="N17" s="24">
        <v>844949</v>
      </c>
      <c r="O17" s="6" t="s">
        <v>25</v>
      </c>
      <c r="P17" s="5">
        <f t="shared" si="0"/>
        <v>8258837</v>
      </c>
      <c r="Q17" s="7"/>
      <c r="R17" s="2"/>
      <c r="S17" s="6" t="s">
        <v>25</v>
      </c>
      <c r="T17" s="20">
        <f t="shared" ca="1" si="2"/>
        <v>6558447</v>
      </c>
      <c r="U17" s="7">
        <f t="shared" ca="1" si="3"/>
        <v>0.29565181809495167</v>
      </c>
    </row>
    <row r="18" spans="1:21" x14ac:dyDescent="0.55000000000000004">
      <c r="A18" s="14">
        <v>12</v>
      </c>
      <c r="B18" s="6" t="s">
        <v>26</v>
      </c>
      <c r="C18" s="24">
        <v>685720</v>
      </c>
      <c r="D18" s="24">
        <v>640328</v>
      </c>
      <c r="E18" s="24">
        <v>502582</v>
      </c>
      <c r="F18" s="24">
        <v>569454</v>
      </c>
      <c r="G18" s="24">
        <v>651933</v>
      </c>
      <c r="H18" s="24">
        <v>650000</v>
      </c>
      <c r="I18" s="24">
        <v>591687</v>
      </c>
      <c r="J18" s="24">
        <v>617491</v>
      </c>
      <c r="K18" s="24">
        <v>744540</v>
      </c>
      <c r="L18" s="24">
        <v>846376</v>
      </c>
      <c r="M18" s="24" t="e">
        <f>NA()</f>
        <v>#N/A</v>
      </c>
      <c r="N18" s="24" t="e">
        <f>NA()</f>
        <v>#N/A</v>
      </c>
      <c r="O18" s="6" t="s">
        <v>26</v>
      </c>
      <c r="P18" s="5" t="str">
        <f t="shared" si="0"/>
        <v/>
      </c>
      <c r="Q18" s="7"/>
      <c r="R18" s="2"/>
      <c r="S18" s="6" t="s">
        <v>26</v>
      </c>
      <c r="T18" s="20">
        <f t="shared" ca="1" si="2"/>
        <v>6500111</v>
      </c>
      <c r="U18" s="72">
        <f ca="1">IFERROR(T18/T17-1,"")</f>
        <v>-8.8947886595713843E-3</v>
      </c>
    </row>
    <row r="19" spans="1:21" x14ac:dyDescent="0.55000000000000004">
      <c r="A19" s="14">
        <v>13</v>
      </c>
      <c r="B19" s="6" t="s">
        <v>27</v>
      </c>
      <c r="C19" s="24" t="e">
        <f>NA()</f>
        <v>#N/A</v>
      </c>
      <c r="D19" s="24" t="e">
        <f>NA()</f>
        <v>#N/A</v>
      </c>
      <c r="E19" s="24" t="e">
        <f>NA()</f>
        <v>#N/A</v>
      </c>
      <c r="F19" s="24" t="e">
        <f>NA()</f>
        <v>#N/A</v>
      </c>
      <c r="G19" s="24" t="e">
        <f>NA()</f>
        <v>#N/A</v>
      </c>
      <c r="H19" s="24" t="e">
        <f>NA()</f>
        <v>#N/A</v>
      </c>
      <c r="I19" s="24" t="e">
        <f>NA()</f>
        <v>#N/A</v>
      </c>
      <c r="J19" s="24" t="e">
        <f>NA()</f>
        <v>#N/A</v>
      </c>
      <c r="K19" s="24" t="e">
        <f>NA()</f>
        <v>#N/A</v>
      </c>
      <c r="L19" s="24" t="e">
        <f>NA()</f>
        <v>#N/A</v>
      </c>
      <c r="M19" s="24" t="e">
        <f>NA()</f>
        <v>#N/A</v>
      </c>
      <c r="N19" s="24" t="e">
        <f>NA()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t="shared" ca="1" si="2"/>
        <v/>
      </c>
      <c r="U19" s="7"/>
    </row>
    <row r="20" spans="1:21" x14ac:dyDescent="0.55000000000000004">
      <c r="B20" s="8" t="s">
        <v>28</v>
      </c>
      <c r="C20" s="22">
        <f>IFERROR(C18/C17-1,"")</f>
        <v>0.38021818767360416</v>
      </c>
      <c r="D20" s="22">
        <f t="shared" ref="D20:N20" si="4">IFERROR(D18/D17-1,"")</f>
        <v>0.59867777178580694</v>
      </c>
      <c r="E20" s="22">
        <f t="shared" si="4"/>
        <v>0.21667283981998597</v>
      </c>
      <c r="F20" s="22">
        <f t="shared" si="4"/>
        <v>3.4729376877245199E-2</v>
      </c>
      <c r="G20" s="22">
        <f t="shared" si="4"/>
        <v>0.1730477184396142</v>
      </c>
      <c r="H20" s="22">
        <f t="shared" si="4"/>
        <v>1.0916341229367577E-2</v>
      </c>
      <c r="I20" s="22">
        <f t="shared" si="4"/>
        <v>-0.14781555425611892</v>
      </c>
      <c r="J20" s="22">
        <f t="shared" si="4"/>
        <v>-0.22175954224930527</v>
      </c>
      <c r="K20" s="22">
        <f t="shared" si="4"/>
        <v>-0.26578453782904787</v>
      </c>
      <c r="L20" s="22">
        <f t="shared" si="4"/>
        <v>-0.15116662738628328</v>
      </c>
      <c r="M20" s="22" t="str">
        <f t="shared" si="4"/>
        <v/>
      </c>
      <c r="N20" s="22" t="str">
        <f t="shared" si="4"/>
        <v/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Uganda : Coffee Exports | YTD : Oct-Jul</v>
      </c>
      <c r="Q27" s="13" t="str">
        <f>_xlfn.CONCAT(A1," | ","Cumulative")</f>
        <v>Uganda : Coffee Exports | Cumulative</v>
      </c>
    </row>
    <row r="56" spans="2:6" x14ac:dyDescent="0.55000000000000004">
      <c r="B56" s="9" t="s">
        <v>29</v>
      </c>
      <c r="C56" s="9">
        <f>COUNT(C18:N18)</f>
        <v>10</v>
      </c>
      <c r="D56" s="25" t="str">
        <f ca="1">OFFSET(B6,0,$C$56,1,1)</f>
        <v>Jul</v>
      </c>
      <c r="E56" s="11" t="str">
        <f>B18</f>
        <v>25/26</v>
      </c>
      <c r="F56" s="11" t="str">
        <f ca="1">_xlfn.CONCAT(D56,"'",E56)</f>
        <v>Jul'25/26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685720</v>
      </c>
      <c r="C66" s="12">
        <f t="shared" ref="C66:M66" si="5">D18</f>
        <v>640328</v>
      </c>
      <c r="D66" s="12">
        <f t="shared" si="5"/>
        <v>502582</v>
      </c>
      <c r="E66" s="12">
        <f t="shared" si="5"/>
        <v>569454</v>
      </c>
      <c r="F66" s="12">
        <f t="shared" si="5"/>
        <v>651933</v>
      </c>
      <c r="G66" s="12">
        <f t="shared" si="5"/>
        <v>650000</v>
      </c>
      <c r="H66" s="12">
        <f t="shared" si="5"/>
        <v>591687</v>
      </c>
      <c r="I66" s="12">
        <f t="shared" si="5"/>
        <v>617491</v>
      </c>
      <c r="J66" s="12">
        <f t="shared" si="5"/>
        <v>744540</v>
      </c>
      <c r="K66" s="12">
        <f t="shared" si="5"/>
        <v>846376</v>
      </c>
      <c r="L66" s="12" t="e">
        <f t="shared" si="5"/>
        <v>#N/A</v>
      </c>
      <c r="M66" s="12" t="e">
        <f t="shared" si="5"/>
        <v>#N/A</v>
      </c>
    </row>
    <row r="67" spans="1:25" x14ac:dyDescent="0.55000000000000004">
      <c r="A67" s="11" t="s">
        <v>30</v>
      </c>
      <c r="B67" s="12">
        <f>MIN(C7:C17)</f>
        <v>55746</v>
      </c>
      <c r="C67" s="12">
        <f t="shared" ref="C67:M67" si="6">MIN(D7:D17)</f>
        <v>219948</v>
      </c>
      <c r="D67" s="12">
        <f t="shared" si="6"/>
        <v>188177</v>
      </c>
      <c r="E67" s="12">
        <f t="shared" si="6"/>
        <v>272949</v>
      </c>
      <c r="F67" s="12">
        <f t="shared" si="6"/>
        <v>271941</v>
      </c>
      <c r="G67" s="12">
        <f t="shared" si="6"/>
        <v>96178</v>
      </c>
      <c r="H67" s="12">
        <f t="shared" si="6"/>
        <v>263425</v>
      </c>
      <c r="I67" s="12">
        <f t="shared" si="6"/>
        <v>91365</v>
      </c>
      <c r="J67" s="12">
        <f t="shared" si="6"/>
        <v>90759</v>
      </c>
      <c r="K67" s="12">
        <f t="shared" si="6"/>
        <v>130215</v>
      </c>
      <c r="L67" s="12">
        <f t="shared" si="6"/>
        <v>91171</v>
      </c>
      <c r="M67" s="12">
        <f t="shared" si="6"/>
        <v>208956</v>
      </c>
      <c r="N67" s="12"/>
    </row>
    <row r="68" spans="1:25" x14ac:dyDescent="0.55000000000000004">
      <c r="A68" s="11" t="s">
        <v>31</v>
      </c>
      <c r="B68" s="12">
        <f>MAX(C7:C17)</f>
        <v>496820</v>
      </c>
      <c r="C68" s="12">
        <f t="shared" ref="C68:M68" si="7">MAX(D7:D17)</f>
        <v>524902</v>
      </c>
      <c r="D68" s="12">
        <f t="shared" si="7"/>
        <v>536569</v>
      </c>
      <c r="E68" s="12">
        <f t="shared" si="7"/>
        <v>550341</v>
      </c>
      <c r="F68" s="12">
        <f t="shared" si="7"/>
        <v>562763</v>
      </c>
      <c r="G68" s="12">
        <f t="shared" si="7"/>
        <v>642981</v>
      </c>
      <c r="H68" s="12">
        <f t="shared" si="7"/>
        <v>694318</v>
      </c>
      <c r="I68" s="12">
        <f t="shared" si="7"/>
        <v>793445</v>
      </c>
      <c r="J68" s="12">
        <f t="shared" si="7"/>
        <v>1014062</v>
      </c>
      <c r="K68" s="12">
        <f t="shared" si="7"/>
        <v>997105</v>
      </c>
      <c r="L68" s="12">
        <f t="shared" si="7"/>
        <v>855441</v>
      </c>
      <c r="M68" s="12">
        <f t="shared" si="7"/>
        <v>844949</v>
      </c>
      <c r="N68" s="12"/>
    </row>
    <row r="69" spans="1:25" x14ac:dyDescent="0.55000000000000004">
      <c r="A69" s="11" t="s">
        <v>32</v>
      </c>
      <c r="B69" s="12">
        <f>AVERAGE(C13:C17)</f>
        <v>468280.65919999999</v>
      </c>
      <c r="C69" s="12">
        <f t="shared" ref="C69:M69" si="8">AVERAGE(D13:D17)</f>
        <v>454562.62768367137</v>
      </c>
      <c r="D69" s="12">
        <f t="shared" si="8"/>
        <v>443388.174</v>
      </c>
      <c r="E69" s="12">
        <f t="shared" si="8"/>
        <v>474985</v>
      </c>
      <c r="F69" s="12">
        <f t="shared" si="8"/>
        <v>497919.74197255028</v>
      </c>
      <c r="G69" s="12">
        <f t="shared" si="8"/>
        <v>502265.2</v>
      </c>
      <c r="H69" s="12">
        <f t="shared" si="8"/>
        <v>480841</v>
      </c>
      <c r="I69" s="12">
        <f t="shared" si="8"/>
        <v>549871.80000000005</v>
      </c>
      <c r="J69" s="12">
        <f t="shared" si="8"/>
        <v>678736.8</v>
      </c>
      <c r="K69" s="12">
        <f t="shared" si="8"/>
        <v>748193.8</v>
      </c>
      <c r="L69" s="12">
        <f t="shared" si="8"/>
        <v>727783.4</v>
      </c>
      <c r="M69" s="12">
        <f t="shared" si="8"/>
        <v>608699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55746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9">INDEX($C$7:$N$19,MATCH(B75,$A$7:$A$19),MATCH(C75,$C$4:$N$4))</f>
        <v>219948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9"/>
        <v>224803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>
        <f>C7</f>
        <v>55746</v>
      </c>
      <c r="O76" s="5">
        <f t="shared" ref="O76:O88" si="13">N76+D7</f>
        <v>275694</v>
      </c>
      <c r="P76" s="5">
        <f t="shared" ref="P76:P88" si="14">O76+E7</f>
        <v>500497</v>
      </c>
      <c r="Q76" s="5">
        <f t="shared" ref="Q76:Q88" si="15">P76+F7</f>
        <v>811326</v>
      </c>
      <c r="R76" s="5">
        <f t="shared" ref="R76:R88" si="16">Q76+G7</f>
        <v>1101801</v>
      </c>
      <c r="S76" s="5">
        <f t="shared" ref="S76:S88" si="17">R76+H7</f>
        <v>1197979</v>
      </c>
      <c r="T76" s="5">
        <f t="shared" ref="T76:T88" si="18">S76+I7</f>
        <v>1461404</v>
      </c>
      <c r="U76" s="5">
        <f t="shared" ref="U76:U88" si="19">T76+J7</f>
        <v>1552769</v>
      </c>
      <c r="V76" s="5">
        <f t="shared" ref="V76:V88" si="20">U76+K7</f>
        <v>1887554</v>
      </c>
      <c r="W76" s="5">
        <f t="shared" ref="W76:W88" si="21">V76+L7</f>
        <v>2017769</v>
      </c>
      <c r="X76" s="5">
        <f t="shared" ref="X76:X88" si="22">W76+M7</f>
        <v>2108940</v>
      </c>
      <c r="Y76" s="5">
        <f t="shared" ref="Y76:Y88" si="23">X76+N7</f>
        <v>2395262</v>
      </c>
    </row>
    <row r="77" spans="1:25" x14ac:dyDescent="0.55000000000000004">
      <c r="B77" s="11">
        <v>1</v>
      </c>
      <c r="C77" s="11">
        <v>4</v>
      </c>
      <c r="D77" s="12">
        <f t="shared" si="9"/>
        <v>310829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24">C8</f>
        <v>73725</v>
      </c>
      <c r="O77" s="5">
        <f t="shared" si="13"/>
        <v>322046</v>
      </c>
      <c r="P77" s="5">
        <f t="shared" si="14"/>
        <v>510223</v>
      </c>
      <c r="Q77" s="5">
        <f t="shared" si="15"/>
        <v>783172</v>
      </c>
      <c r="R77" s="5">
        <f t="shared" si="16"/>
        <v>1055113</v>
      </c>
      <c r="S77" s="5">
        <f t="shared" si="17"/>
        <v>1302951</v>
      </c>
      <c r="T77" s="5">
        <f t="shared" si="18"/>
        <v>1629744</v>
      </c>
      <c r="U77" s="5">
        <f t="shared" si="19"/>
        <v>1916502</v>
      </c>
      <c r="V77" s="5">
        <f t="shared" si="20"/>
        <v>2007261</v>
      </c>
      <c r="W77" s="5">
        <f t="shared" si="21"/>
        <v>2275751</v>
      </c>
      <c r="X77" s="5">
        <f t="shared" si="22"/>
        <v>2566764</v>
      </c>
      <c r="Y77" s="5">
        <f t="shared" si="23"/>
        <v>2775720</v>
      </c>
    </row>
    <row r="78" spans="1:25" x14ac:dyDescent="0.55000000000000004">
      <c r="B78" s="11">
        <v>1</v>
      </c>
      <c r="C78" s="11">
        <v>5</v>
      </c>
      <c r="D78" s="12">
        <f t="shared" si="9"/>
        <v>290475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24"/>
        <v>209478</v>
      </c>
      <c r="O78" s="5">
        <f t="shared" si="13"/>
        <v>617505</v>
      </c>
      <c r="P78" s="5">
        <f t="shared" si="14"/>
        <v>1039616</v>
      </c>
      <c r="Q78" s="5">
        <f t="shared" si="15"/>
        <v>1444289</v>
      </c>
      <c r="R78" s="5">
        <f t="shared" si="16"/>
        <v>1842172</v>
      </c>
      <c r="S78" s="5">
        <f t="shared" si="17"/>
        <v>2252088</v>
      </c>
      <c r="T78" s="5">
        <f t="shared" si="18"/>
        <v>2578320</v>
      </c>
      <c r="U78" s="5">
        <f t="shared" si="19"/>
        <v>2986774</v>
      </c>
      <c r="V78" s="5">
        <f t="shared" si="20"/>
        <v>3417339</v>
      </c>
      <c r="W78" s="5">
        <f t="shared" si="21"/>
        <v>3844543</v>
      </c>
      <c r="X78" s="5">
        <f t="shared" si="22"/>
        <v>4262883</v>
      </c>
      <c r="Y78" s="5">
        <f t="shared" si="23"/>
        <v>4604722</v>
      </c>
    </row>
    <row r="79" spans="1:25" x14ac:dyDescent="0.55000000000000004">
      <c r="B79" s="11">
        <v>1</v>
      </c>
      <c r="C79" s="11">
        <v>6</v>
      </c>
      <c r="D79" s="12">
        <f t="shared" si="9"/>
        <v>96178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24"/>
        <v>381636</v>
      </c>
      <c r="O79" s="5">
        <f t="shared" si="13"/>
        <v>824736</v>
      </c>
      <c r="P79" s="5">
        <f t="shared" si="14"/>
        <v>1210953</v>
      </c>
      <c r="Q79" s="5">
        <f t="shared" si="15"/>
        <v>1612883</v>
      </c>
      <c r="R79" s="5">
        <f t="shared" si="16"/>
        <v>2003261</v>
      </c>
      <c r="S79" s="5">
        <f t="shared" si="17"/>
        <v>2336607</v>
      </c>
      <c r="T79" s="5">
        <f t="shared" si="18"/>
        <v>2631801</v>
      </c>
      <c r="U79" s="5">
        <f t="shared" si="19"/>
        <v>2950836</v>
      </c>
      <c r="V79" s="5">
        <f t="shared" si="20"/>
        <v>3271175</v>
      </c>
      <c r="W79" s="5">
        <f t="shared" si="21"/>
        <v>3664197</v>
      </c>
      <c r="X79" s="5">
        <f t="shared" si="22"/>
        <v>4013149</v>
      </c>
      <c r="Y79" s="5">
        <f t="shared" si="23"/>
        <v>4306348</v>
      </c>
    </row>
    <row r="80" spans="1:25" x14ac:dyDescent="0.55000000000000004">
      <c r="B80" s="11">
        <v>1</v>
      </c>
      <c r="C80" s="11">
        <v>7</v>
      </c>
      <c r="D80" s="12">
        <f t="shared" si="9"/>
        <v>263425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24"/>
        <v>350743</v>
      </c>
      <c r="O80" s="5">
        <f t="shared" si="13"/>
        <v>713086</v>
      </c>
      <c r="P80" s="5">
        <f t="shared" si="14"/>
        <v>1027525</v>
      </c>
      <c r="Q80" s="5">
        <f t="shared" si="15"/>
        <v>1422622</v>
      </c>
      <c r="R80" s="5">
        <f t="shared" si="16"/>
        <v>1743516</v>
      </c>
      <c r="S80" s="5">
        <f t="shared" si="17"/>
        <v>2091746</v>
      </c>
      <c r="T80" s="5">
        <f t="shared" si="18"/>
        <v>2398061</v>
      </c>
      <c r="U80" s="5">
        <f t="shared" si="19"/>
        <v>2746593</v>
      </c>
      <c r="V80" s="5">
        <f t="shared" si="20"/>
        <v>3088221</v>
      </c>
      <c r="W80" s="5">
        <f t="shared" si="21"/>
        <v>3551930</v>
      </c>
      <c r="X80" s="5">
        <f t="shared" si="22"/>
        <v>4041114</v>
      </c>
      <c r="Y80" s="5">
        <f t="shared" si="23"/>
        <v>4403333</v>
      </c>
    </row>
    <row r="81" spans="2:25" x14ac:dyDescent="0.55000000000000004">
      <c r="B81" s="11">
        <v>1</v>
      </c>
      <c r="C81" s="11">
        <v>8</v>
      </c>
      <c r="D81" s="12">
        <f t="shared" si="9"/>
        <v>91365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24"/>
        <v>378238</v>
      </c>
      <c r="O81" s="5">
        <f t="shared" si="13"/>
        <v>817053</v>
      </c>
      <c r="P81" s="5">
        <f t="shared" si="14"/>
        <v>1147301</v>
      </c>
      <c r="Q81" s="5">
        <f t="shared" si="15"/>
        <v>1617252</v>
      </c>
      <c r="R81" s="5">
        <f t="shared" si="16"/>
        <v>2090246</v>
      </c>
      <c r="S81" s="5">
        <f t="shared" si="17"/>
        <v>2567807</v>
      </c>
      <c r="T81" s="5">
        <f t="shared" si="18"/>
        <v>2927780</v>
      </c>
      <c r="U81" s="5">
        <f t="shared" si="19"/>
        <v>3365377</v>
      </c>
      <c r="V81" s="5">
        <f t="shared" si="20"/>
        <v>3785750</v>
      </c>
      <c r="W81" s="5">
        <f t="shared" si="21"/>
        <v>4329001</v>
      </c>
      <c r="X81" s="5">
        <f t="shared" si="22"/>
        <v>4848684</v>
      </c>
      <c r="Y81" s="5">
        <f t="shared" si="23"/>
        <v>5355154</v>
      </c>
    </row>
    <row r="82" spans="2:25" x14ac:dyDescent="0.55000000000000004">
      <c r="B82" s="11">
        <v>1</v>
      </c>
      <c r="C82" s="11">
        <v>9</v>
      </c>
      <c r="D82" s="12">
        <f t="shared" si="9"/>
        <v>334785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24"/>
        <v>428015</v>
      </c>
      <c r="O82" s="5">
        <f t="shared" si="13"/>
        <v>858339</v>
      </c>
      <c r="P82" s="5">
        <f t="shared" si="14"/>
        <v>1275409</v>
      </c>
      <c r="Q82" s="5">
        <f t="shared" si="15"/>
        <v>1721969</v>
      </c>
      <c r="R82" s="5">
        <f t="shared" si="16"/>
        <v>2284732</v>
      </c>
      <c r="S82" s="5">
        <f t="shared" si="17"/>
        <v>2857571</v>
      </c>
      <c r="T82" s="5">
        <f t="shared" si="18"/>
        <v>3395109</v>
      </c>
      <c r="U82" s="5">
        <f t="shared" si="19"/>
        <v>3889159</v>
      </c>
      <c r="V82" s="5">
        <f t="shared" si="20"/>
        <v>4507547</v>
      </c>
      <c r="W82" s="5">
        <f t="shared" si="21"/>
        <v>5207582</v>
      </c>
      <c r="X82" s="5">
        <f t="shared" si="22"/>
        <v>5908572</v>
      </c>
      <c r="Y82" s="5">
        <f t="shared" si="23"/>
        <v>6494148</v>
      </c>
    </row>
    <row r="83" spans="2:25" x14ac:dyDescent="0.55000000000000004">
      <c r="B83" s="11">
        <v>1</v>
      </c>
      <c r="C83" s="11">
        <v>10</v>
      </c>
      <c r="D83" s="12">
        <f t="shared" si="9"/>
        <v>130215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24"/>
        <v>486534</v>
      </c>
      <c r="O83" s="5">
        <f t="shared" si="13"/>
        <v>1011436</v>
      </c>
      <c r="P83" s="5">
        <f t="shared" si="14"/>
        <v>1548005</v>
      </c>
      <c r="Q83" s="5">
        <f t="shared" si="15"/>
        <v>1950217</v>
      </c>
      <c r="R83" s="5">
        <f t="shared" si="16"/>
        <v>2399174</v>
      </c>
      <c r="S83" s="5">
        <f t="shared" si="17"/>
        <v>2877197</v>
      </c>
      <c r="T83" s="5">
        <f t="shared" si="18"/>
        <v>3284959</v>
      </c>
      <c r="U83" s="5">
        <f t="shared" si="19"/>
        <v>3740125</v>
      </c>
      <c r="V83" s="5">
        <f t="shared" si="20"/>
        <v>4270490</v>
      </c>
      <c r="W83" s="5">
        <f t="shared" si="21"/>
        <v>4846958</v>
      </c>
      <c r="X83" s="5">
        <f t="shared" si="22"/>
        <v>5348012</v>
      </c>
      <c r="Y83" s="5">
        <f t="shared" si="23"/>
        <v>5851707</v>
      </c>
    </row>
    <row r="84" spans="2:25" x14ac:dyDescent="0.55000000000000004">
      <c r="B84" s="11">
        <v>1</v>
      </c>
      <c r="C84" s="11">
        <v>11</v>
      </c>
      <c r="D84" s="12">
        <f t="shared" si="9"/>
        <v>91171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24"/>
        <v>457244</v>
      </c>
      <c r="O84" s="5">
        <f t="shared" si="13"/>
        <v>904406</v>
      </c>
      <c r="P84" s="5">
        <f t="shared" si="14"/>
        <v>1323235</v>
      </c>
      <c r="Q84" s="5">
        <f t="shared" si="15"/>
        <v>1817461</v>
      </c>
      <c r="R84" s="5">
        <f t="shared" si="16"/>
        <v>2296107</v>
      </c>
      <c r="S84" s="5">
        <f t="shared" si="17"/>
        <v>2783904</v>
      </c>
      <c r="T84" s="5">
        <f t="shared" si="18"/>
        <v>3157514</v>
      </c>
      <c r="U84" s="5">
        <f t="shared" si="19"/>
        <v>3610683</v>
      </c>
      <c r="V84" s="5">
        <f t="shared" si="20"/>
        <v>4174515</v>
      </c>
      <c r="W84" s="5">
        <f t="shared" si="21"/>
        <v>4820347</v>
      </c>
      <c r="X84" s="5">
        <f t="shared" si="22"/>
        <v>5563864</v>
      </c>
      <c r="Y84" s="5">
        <f t="shared" si="23"/>
        <v>6140927</v>
      </c>
    </row>
    <row r="85" spans="2:25" x14ac:dyDescent="0.55000000000000004">
      <c r="B85" s="11">
        <v>1</v>
      </c>
      <c r="C85" s="11">
        <v>12</v>
      </c>
      <c r="D85" s="12">
        <f t="shared" si="9"/>
        <v>286322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>
        <f>SUM(D74:D85)/1000000</f>
        <v>2.3952619999999998</v>
      </c>
      <c r="M85" s="6" t="s">
        <v>24</v>
      </c>
      <c r="N85" s="5">
        <f t="shared" si="24"/>
        <v>472790.29600000003</v>
      </c>
      <c r="O85" s="5">
        <f t="shared" si="13"/>
        <v>942679.43441835709</v>
      </c>
      <c r="P85" s="5">
        <f t="shared" si="14"/>
        <v>1374073.3044183571</v>
      </c>
      <c r="Q85" s="5">
        <f t="shared" si="15"/>
        <v>1855659.3044183571</v>
      </c>
      <c r="R85" s="5">
        <f t="shared" si="16"/>
        <v>2299132.0142811085</v>
      </c>
      <c r="S85" s="5">
        <f t="shared" si="17"/>
        <v>2628818.0142811085</v>
      </c>
      <c r="T85" s="5">
        <f t="shared" si="18"/>
        <v>3019795.0142811085</v>
      </c>
      <c r="U85" s="5">
        <f t="shared" si="19"/>
        <v>3573324.0142811085</v>
      </c>
      <c r="V85" s="5">
        <f t="shared" si="20"/>
        <v>4240361.014281109</v>
      </c>
      <c r="W85" s="5">
        <f t="shared" si="21"/>
        <v>5061890.014281109</v>
      </c>
      <c r="X85" s="5">
        <f t="shared" si="22"/>
        <v>5899805.014281109</v>
      </c>
      <c r="Y85" s="5">
        <f t="shared" si="23"/>
        <v>6432017.014281109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73725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25">G86</f>
        <v>Oct'15/16</v>
      </c>
      <c r="I86" s="11">
        <f t="shared" ref="I86:I149" si="26">SUM(D75:D86)/1000000</f>
        <v>2.4132410000000002</v>
      </c>
      <c r="M86" s="6" t="s">
        <v>25</v>
      </c>
      <c r="N86" s="5">
        <f t="shared" si="24"/>
        <v>496820</v>
      </c>
      <c r="O86" s="5">
        <f t="shared" si="13"/>
        <v>897356</v>
      </c>
      <c r="P86" s="5">
        <f t="shared" si="14"/>
        <v>1310435</v>
      </c>
      <c r="Q86" s="5">
        <f t="shared" si="15"/>
        <v>1860776</v>
      </c>
      <c r="R86" s="5">
        <f t="shared" si="16"/>
        <v>2416536</v>
      </c>
      <c r="S86" s="5">
        <f t="shared" si="17"/>
        <v>3059517</v>
      </c>
      <c r="T86" s="5">
        <f t="shared" si="18"/>
        <v>3753835</v>
      </c>
      <c r="U86" s="5">
        <f t="shared" si="19"/>
        <v>4547280</v>
      </c>
      <c r="V86" s="5">
        <f t="shared" si="20"/>
        <v>5561342</v>
      </c>
      <c r="W86" s="5">
        <f t="shared" si="21"/>
        <v>6558447</v>
      </c>
      <c r="X86" s="5">
        <f t="shared" si="22"/>
        <v>7413888</v>
      </c>
      <c r="Y86" s="5">
        <f t="shared" si="23"/>
        <v>8258837</v>
      </c>
    </row>
    <row r="87" spans="2:25" x14ac:dyDescent="0.55000000000000004">
      <c r="B87" s="11">
        <f t="shared" ref="B87:B150" si="27">B75+1</f>
        <v>2</v>
      </c>
      <c r="C87" s="11">
        <f t="shared" ref="C87:C150" si="28">C75</f>
        <v>2</v>
      </c>
      <c r="D87" s="12">
        <f t="shared" si="9"/>
        <v>248321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25"/>
        <v>Nov'15/16</v>
      </c>
      <c r="I87" s="11">
        <f t="shared" si="26"/>
        <v>2.441614</v>
      </c>
      <c r="M87" s="6" t="s">
        <v>26</v>
      </c>
      <c r="N87" s="5">
        <f t="shared" si="24"/>
        <v>685720</v>
      </c>
      <c r="O87" s="5">
        <f t="shared" si="13"/>
        <v>1326048</v>
      </c>
      <c r="P87" s="5">
        <f t="shared" si="14"/>
        <v>1828630</v>
      </c>
      <c r="Q87" s="5">
        <f t="shared" si="15"/>
        <v>2398084</v>
      </c>
      <c r="R87" s="5">
        <f t="shared" si="16"/>
        <v>3050017</v>
      </c>
      <c r="S87" s="5">
        <f t="shared" si="17"/>
        <v>3700017</v>
      </c>
      <c r="T87" s="5">
        <f t="shared" si="18"/>
        <v>4291704</v>
      </c>
      <c r="U87" s="5">
        <f t="shared" si="19"/>
        <v>4909195</v>
      </c>
      <c r="V87" s="5">
        <f t="shared" si="20"/>
        <v>5653735</v>
      </c>
      <c r="W87" s="5">
        <f t="shared" si="21"/>
        <v>6500111</v>
      </c>
      <c r="X87" s="5" t="e">
        <f t="shared" si="22"/>
        <v>#N/A</v>
      </c>
      <c r="Y87" s="5" t="e">
        <f t="shared" si="23"/>
        <v>#N/A</v>
      </c>
    </row>
    <row r="88" spans="2:25" x14ac:dyDescent="0.55000000000000004">
      <c r="B88" s="11">
        <f t="shared" si="27"/>
        <v>2</v>
      </c>
      <c r="C88" s="11">
        <f t="shared" si="28"/>
        <v>3</v>
      </c>
      <c r="D88" s="12">
        <f t="shared" si="9"/>
        <v>188177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25"/>
        <v>Dec'15/16</v>
      </c>
      <c r="I88" s="11">
        <f t="shared" si="26"/>
        <v>2.4049879999999999</v>
      </c>
      <c r="M88" s="6" t="s">
        <v>27</v>
      </c>
      <c r="N88" s="5" t="e">
        <f t="shared" si="24"/>
        <v>#N/A</v>
      </c>
      <c r="O88" s="5" t="e">
        <f t="shared" si="13"/>
        <v>#N/A</v>
      </c>
      <c r="P88" s="5" t="e">
        <f t="shared" si="14"/>
        <v>#N/A</v>
      </c>
      <c r="Q88" s="5" t="e">
        <f t="shared" si="15"/>
        <v>#N/A</v>
      </c>
      <c r="R88" s="5" t="e">
        <f t="shared" si="16"/>
        <v>#N/A</v>
      </c>
      <c r="S88" s="5" t="e">
        <f t="shared" si="17"/>
        <v>#N/A</v>
      </c>
      <c r="T88" s="5" t="e">
        <f t="shared" si="18"/>
        <v>#N/A</v>
      </c>
      <c r="U88" s="5" t="e">
        <f t="shared" si="19"/>
        <v>#N/A</v>
      </c>
      <c r="V88" s="5" t="e">
        <f t="shared" si="20"/>
        <v>#N/A</v>
      </c>
      <c r="W88" s="5" t="e">
        <f t="shared" si="21"/>
        <v>#N/A</v>
      </c>
      <c r="X88" s="5" t="e">
        <f t="shared" si="22"/>
        <v>#N/A</v>
      </c>
      <c r="Y88" s="5" t="e">
        <f t="shared" si="23"/>
        <v>#N/A</v>
      </c>
    </row>
    <row r="89" spans="2:25" x14ac:dyDescent="0.55000000000000004">
      <c r="B89" s="11">
        <f t="shared" si="27"/>
        <v>2</v>
      </c>
      <c r="C89" s="11">
        <f t="shared" si="28"/>
        <v>4</v>
      </c>
      <c r="D89" s="12">
        <f t="shared" si="9"/>
        <v>272949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25"/>
        <v>Jan'15/16</v>
      </c>
      <c r="I89" s="11">
        <f t="shared" si="26"/>
        <v>2.367108</v>
      </c>
    </row>
    <row r="90" spans="2:25" x14ac:dyDescent="0.55000000000000004">
      <c r="B90" s="11">
        <f t="shared" si="27"/>
        <v>2</v>
      </c>
      <c r="C90" s="11">
        <f t="shared" si="28"/>
        <v>5</v>
      </c>
      <c r="D90" s="12">
        <f t="shared" si="9"/>
        <v>271941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25"/>
        <v>Feb'15/16</v>
      </c>
      <c r="I90" s="11">
        <f t="shared" si="26"/>
        <v>2.3485740000000002</v>
      </c>
    </row>
    <row r="91" spans="2:25" x14ac:dyDescent="0.55000000000000004">
      <c r="B91" s="11">
        <f t="shared" si="27"/>
        <v>2</v>
      </c>
      <c r="C91" s="11">
        <f t="shared" si="28"/>
        <v>6</v>
      </c>
      <c r="D91" s="12">
        <f t="shared" si="9"/>
        <v>247838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25"/>
        <v>Mar'15/16</v>
      </c>
      <c r="I91" s="11">
        <f t="shared" si="26"/>
        <v>2.5002339999999998</v>
      </c>
    </row>
    <row r="92" spans="2:25" x14ac:dyDescent="0.55000000000000004">
      <c r="B92" s="11">
        <f t="shared" si="27"/>
        <v>2</v>
      </c>
      <c r="C92" s="11">
        <f t="shared" si="28"/>
        <v>7</v>
      </c>
      <c r="D92" s="12">
        <f t="shared" si="9"/>
        <v>326793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25"/>
        <v>Apr'15/16</v>
      </c>
      <c r="I92" s="11">
        <f t="shared" si="26"/>
        <v>2.5636019999999999</v>
      </c>
    </row>
    <row r="93" spans="2:25" x14ac:dyDescent="0.55000000000000004">
      <c r="B93" s="11">
        <f t="shared" si="27"/>
        <v>2</v>
      </c>
      <c r="C93" s="11">
        <f t="shared" si="28"/>
        <v>8</v>
      </c>
      <c r="D93" s="12">
        <f t="shared" si="9"/>
        <v>286758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25"/>
        <v>May'15/16</v>
      </c>
      <c r="I93" s="11">
        <f t="shared" si="26"/>
        <v>2.7589950000000001</v>
      </c>
    </row>
    <row r="94" spans="2:25" x14ac:dyDescent="0.55000000000000004">
      <c r="B94" s="11">
        <f t="shared" si="27"/>
        <v>2</v>
      </c>
      <c r="C94" s="11">
        <f t="shared" si="28"/>
        <v>9</v>
      </c>
      <c r="D94" s="12">
        <f t="shared" si="9"/>
        <v>90759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25"/>
        <v>Jun'15/16</v>
      </c>
      <c r="I94" s="11">
        <f t="shared" si="26"/>
        <v>2.5149689999999998</v>
      </c>
    </row>
    <row r="95" spans="2:25" x14ac:dyDescent="0.55000000000000004">
      <c r="B95" s="11">
        <f t="shared" si="27"/>
        <v>2</v>
      </c>
      <c r="C95" s="11">
        <f t="shared" si="28"/>
        <v>10</v>
      </c>
      <c r="D95" s="12">
        <f t="shared" si="9"/>
        <v>268490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25"/>
        <v>Jul'15/16</v>
      </c>
      <c r="I95" s="11">
        <f t="shared" si="26"/>
        <v>2.6532439999999999</v>
      </c>
    </row>
    <row r="96" spans="2:25" x14ac:dyDescent="0.55000000000000004">
      <c r="B96" s="11">
        <f t="shared" si="27"/>
        <v>2</v>
      </c>
      <c r="C96" s="11">
        <f t="shared" si="28"/>
        <v>11</v>
      </c>
      <c r="D96" s="12">
        <f t="shared" si="9"/>
        <v>291013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25"/>
        <v>Aug'15/16</v>
      </c>
      <c r="I96" s="11">
        <f t="shared" si="26"/>
        <v>2.8530859999999998</v>
      </c>
    </row>
    <row r="97" spans="2:9" x14ac:dyDescent="0.55000000000000004">
      <c r="B97" s="11">
        <f t="shared" si="27"/>
        <v>2</v>
      </c>
      <c r="C97" s="11">
        <f t="shared" si="28"/>
        <v>12</v>
      </c>
      <c r="D97" s="12">
        <f t="shared" si="9"/>
        <v>208956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25"/>
        <v>Sep'15/16</v>
      </c>
      <c r="I97" s="11">
        <f t="shared" si="26"/>
        <v>2.7757200000000002</v>
      </c>
    </row>
    <row r="98" spans="2:9" x14ac:dyDescent="0.55000000000000004">
      <c r="B98" s="11">
        <f t="shared" si="27"/>
        <v>3</v>
      </c>
      <c r="C98" s="11">
        <f t="shared" si="28"/>
        <v>1</v>
      </c>
      <c r="D98" s="12">
        <f t="shared" si="9"/>
        <v>209478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25"/>
        <v>Oct'16/17</v>
      </c>
      <c r="I98" s="11">
        <f t="shared" si="26"/>
        <v>2.911473</v>
      </c>
    </row>
    <row r="99" spans="2:9" x14ac:dyDescent="0.55000000000000004">
      <c r="B99" s="11">
        <f t="shared" si="27"/>
        <v>3</v>
      </c>
      <c r="C99" s="11">
        <f t="shared" si="28"/>
        <v>2</v>
      </c>
      <c r="D99" s="12">
        <f t="shared" si="9"/>
        <v>408027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25"/>
        <v>Nov'16/17</v>
      </c>
      <c r="I99" s="11">
        <f t="shared" si="26"/>
        <v>3.0711789999999999</v>
      </c>
    </row>
    <row r="100" spans="2:9" x14ac:dyDescent="0.55000000000000004">
      <c r="B100" s="11">
        <f t="shared" si="27"/>
        <v>3</v>
      </c>
      <c r="C100" s="11">
        <f t="shared" si="28"/>
        <v>3</v>
      </c>
      <c r="D100" s="12">
        <f t="shared" si="9"/>
        <v>422111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25"/>
        <v>Dec'16/17</v>
      </c>
      <c r="I100" s="11">
        <f t="shared" si="26"/>
        <v>3.305113</v>
      </c>
    </row>
    <row r="101" spans="2:9" x14ac:dyDescent="0.55000000000000004">
      <c r="B101" s="11">
        <f t="shared" si="27"/>
        <v>3</v>
      </c>
      <c r="C101" s="11">
        <f t="shared" si="28"/>
        <v>4</v>
      </c>
      <c r="D101" s="12">
        <f t="shared" si="9"/>
        <v>404673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25"/>
        <v>Jan'16/17</v>
      </c>
      <c r="I101" s="11">
        <f t="shared" si="26"/>
        <v>3.4368370000000001</v>
      </c>
    </row>
    <row r="102" spans="2:9" x14ac:dyDescent="0.55000000000000004">
      <c r="B102" s="11">
        <f t="shared" si="27"/>
        <v>3</v>
      </c>
      <c r="C102" s="11">
        <f t="shared" si="28"/>
        <v>5</v>
      </c>
      <c r="D102" s="12">
        <f t="shared" si="9"/>
        <v>397883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25"/>
        <v>Feb'16/17</v>
      </c>
      <c r="I102" s="11">
        <f t="shared" si="26"/>
        <v>3.5627789999999999</v>
      </c>
    </row>
    <row r="103" spans="2:9" x14ac:dyDescent="0.55000000000000004">
      <c r="B103" s="11">
        <f t="shared" si="27"/>
        <v>3</v>
      </c>
      <c r="C103" s="11">
        <f t="shared" si="28"/>
        <v>6</v>
      </c>
      <c r="D103" s="12">
        <f t="shared" si="9"/>
        <v>409916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25"/>
        <v>Mar'16/17</v>
      </c>
      <c r="I103" s="11">
        <f t="shared" si="26"/>
        <v>3.7248570000000001</v>
      </c>
    </row>
    <row r="104" spans="2:9" x14ac:dyDescent="0.55000000000000004">
      <c r="B104" s="11">
        <f t="shared" si="27"/>
        <v>3</v>
      </c>
      <c r="C104" s="11">
        <f t="shared" si="28"/>
        <v>7</v>
      </c>
      <c r="D104" s="12">
        <f t="shared" si="9"/>
        <v>326232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25"/>
        <v>Apr'16/17</v>
      </c>
      <c r="I104" s="11">
        <f t="shared" si="26"/>
        <v>3.7242959999999998</v>
      </c>
    </row>
    <row r="105" spans="2:9" x14ac:dyDescent="0.55000000000000004">
      <c r="B105" s="11">
        <f t="shared" si="27"/>
        <v>3</v>
      </c>
      <c r="C105" s="11">
        <f t="shared" si="28"/>
        <v>8</v>
      </c>
      <c r="D105" s="12">
        <f t="shared" si="9"/>
        <v>408454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25"/>
        <v>May'16/17</v>
      </c>
      <c r="I105" s="11">
        <f t="shared" si="26"/>
        <v>3.8459919999999999</v>
      </c>
    </row>
    <row r="106" spans="2:9" x14ac:dyDescent="0.55000000000000004">
      <c r="B106" s="11">
        <f t="shared" si="27"/>
        <v>3</v>
      </c>
      <c r="C106" s="11">
        <f t="shared" si="28"/>
        <v>9</v>
      </c>
      <c r="D106" s="12">
        <f t="shared" si="9"/>
        <v>430565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25"/>
        <v>Jun'16/17</v>
      </c>
      <c r="I106" s="11">
        <f t="shared" si="26"/>
        <v>4.1857980000000001</v>
      </c>
    </row>
    <row r="107" spans="2:9" x14ac:dyDescent="0.55000000000000004">
      <c r="B107" s="11">
        <f t="shared" si="27"/>
        <v>3</v>
      </c>
      <c r="C107" s="11">
        <f t="shared" si="28"/>
        <v>10</v>
      </c>
      <c r="D107" s="12">
        <f t="shared" si="9"/>
        <v>427204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25"/>
        <v>Jul'16/17</v>
      </c>
      <c r="I107" s="11">
        <f t="shared" si="26"/>
        <v>4.3445119999999999</v>
      </c>
    </row>
    <row r="108" spans="2:9" x14ac:dyDescent="0.55000000000000004">
      <c r="B108" s="11">
        <f t="shared" si="27"/>
        <v>3</v>
      </c>
      <c r="C108" s="11">
        <f t="shared" si="28"/>
        <v>11</v>
      </c>
      <c r="D108" s="12">
        <f t="shared" si="9"/>
        <v>418340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25"/>
        <v>Aug'16/17</v>
      </c>
      <c r="I108" s="11">
        <f t="shared" si="26"/>
        <v>4.4718390000000001</v>
      </c>
    </row>
    <row r="109" spans="2:9" x14ac:dyDescent="0.55000000000000004">
      <c r="B109" s="11">
        <f t="shared" si="27"/>
        <v>3</v>
      </c>
      <c r="C109" s="11">
        <f t="shared" si="28"/>
        <v>12</v>
      </c>
      <c r="D109" s="12">
        <f t="shared" si="9"/>
        <v>341839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25"/>
        <v>Sep'16/17</v>
      </c>
      <c r="I109" s="11">
        <f t="shared" si="26"/>
        <v>4.6047219999999998</v>
      </c>
    </row>
    <row r="110" spans="2:9" x14ac:dyDescent="0.55000000000000004">
      <c r="B110" s="11">
        <f t="shared" si="27"/>
        <v>4</v>
      </c>
      <c r="C110" s="11">
        <f t="shared" si="28"/>
        <v>1</v>
      </c>
      <c r="D110" s="12">
        <f t="shared" si="9"/>
        <v>381636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25"/>
        <v>Oct'17/18</v>
      </c>
      <c r="I110" s="11">
        <f t="shared" si="26"/>
        <v>4.7768800000000002</v>
      </c>
    </row>
    <row r="111" spans="2:9" x14ac:dyDescent="0.55000000000000004">
      <c r="B111" s="11">
        <f t="shared" si="27"/>
        <v>4</v>
      </c>
      <c r="C111" s="11">
        <f t="shared" si="28"/>
        <v>2</v>
      </c>
      <c r="D111" s="12">
        <f t="shared" si="9"/>
        <v>443100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25"/>
        <v>Nov'17/18</v>
      </c>
      <c r="I111" s="11">
        <f t="shared" si="26"/>
        <v>4.8119529999999999</v>
      </c>
    </row>
    <row r="112" spans="2:9" x14ac:dyDescent="0.55000000000000004">
      <c r="B112" s="11">
        <f t="shared" si="27"/>
        <v>4</v>
      </c>
      <c r="C112" s="11">
        <f t="shared" si="28"/>
        <v>3</v>
      </c>
      <c r="D112" s="12">
        <f t="shared" si="9"/>
        <v>386217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25"/>
        <v>Dec'17/18</v>
      </c>
      <c r="I112" s="11">
        <f t="shared" si="26"/>
        <v>4.7760590000000001</v>
      </c>
    </row>
    <row r="113" spans="2:9" x14ac:dyDescent="0.55000000000000004">
      <c r="B113" s="11">
        <f t="shared" si="27"/>
        <v>4</v>
      </c>
      <c r="C113" s="11">
        <f t="shared" si="28"/>
        <v>4</v>
      </c>
      <c r="D113" s="12">
        <f t="shared" si="9"/>
        <v>401930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25"/>
        <v>Jan'17/18</v>
      </c>
      <c r="I113" s="11">
        <f t="shared" si="26"/>
        <v>4.7733160000000003</v>
      </c>
    </row>
    <row r="114" spans="2:9" x14ac:dyDescent="0.55000000000000004">
      <c r="B114" s="11">
        <f t="shared" si="27"/>
        <v>4</v>
      </c>
      <c r="C114" s="11">
        <f t="shared" si="28"/>
        <v>5</v>
      </c>
      <c r="D114" s="12">
        <f t="shared" si="9"/>
        <v>390378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25"/>
        <v>Feb'17/18</v>
      </c>
      <c r="I114" s="11">
        <f t="shared" si="26"/>
        <v>4.7658110000000002</v>
      </c>
    </row>
    <row r="115" spans="2:9" x14ac:dyDescent="0.55000000000000004">
      <c r="B115" s="11">
        <f t="shared" si="27"/>
        <v>4</v>
      </c>
      <c r="C115" s="11">
        <f t="shared" si="28"/>
        <v>6</v>
      </c>
      <c r="D115" s="12">
        <f t="shared" si="9"/>
        <v>333346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25"/>
        <v>Mar'17/18</v>
      </c>
      <c r="I115" s="11">
        <f t="shared" si="26"/>
        <v>4.689241</v>
      </c>
    </row>
    <row r="116" spans="2:9" x14ac:dyDescent="0.55000000000000004">
      <c r="B116" s="11">
        <f t="shared" si="27"/>
        <v>4</v>
      </c>
      <c r="C116" s="11">
        <f t="shared" si="28"/>
        <v>7</v>
      </c>
      <c r="D116" s="12">
        <f t="shared" si="9"/>
        <v>295194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25"/>
        <v>Apr'17/18</v>
      </c>
      <c r="I116" s="11">
        <f t="shared" si="26"/>
        <v>4.6582030000000003</v>
      </c>
    </row>
    <row r="117" spans="2:9" x14ac:dyDescent="0.55000000000000004">
      <c r="B117" s="11">
        <f t="shared" si="27"/>
        <v>4</v>
      </c>
      <c r="C117" s="11">
        <f t="shared" si="28"/>
        <v>8</v>
      </c>
      <c r="D117" s="12">
        <f t="shared" si="9"/>
        <v>319035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25"/>
        <v>May'17/18</v>
      </c>
      <c r="I117" s="11">
        <f t="shared" si="26"/>
        <v>4.568784</v>
      </c>
    </row>
    <row r="118" spans="2:9" x14ac:dyDescent="0.55000000000000004">
      <c r="B118" s="11">
        <f t="shared" si="27"/>
        <v>4</v>
      </c>
      <c r="C118" s="11">
        <f t="shared" si="28"/>
        <v>9</v>
      </c>
      <c r="D118" s="12">
        <f t="shared" si="9"/>
        <v>320339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25"/>
        <v>Jun'17/18</v>
      </c>
      <c r="I118" s="11">
        <f t="shared" si="26"/>
        <v>4.458558</v>
      </c>
    </row>
    <row r="119" spans="2:9" x14ac:dyDescent="0.55000000000000004">
      <c r="B119" s="11">
        <f t="shared" si="27"/>
        <v>4</v>
      </c>
      <c r="C119" s="11">
        <f t="shared" si="28"/>
        <v>10</v>
      </c>
      <c r="D119" s="12">
        <f t="shared" si="9"/>
        <v>393022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25"/>
        <v>Jul'17/18</v>
      </c>
      <c r="I119" s="11">
        <f t="shared" si="26"/>
        <v>4.4243759999999996</v>
      </c>
    </row>
    <row r="120" spans="2:9" x14ac:dyDescent="0.55000000000000004">
      <c r="B120" s="11">
        <f t="shared" si="27"/>
        <v>4</v>
      </c>
      <c r="C120" s="11">
        <f t="shared" si="28"/>
        <v>11</v>
      </c>
      <c r="D120" s="12">
        <f t="shared" si="9"/>
        <v>348952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25"/>
        <v>Aug'17/18</v>
      </c>
      <c r="I120" s="11">
        <f t="shared" si="26"/>
        <v>4.3549879999999996</v>
      </c>
    </row>
    <row r="121" spans="2:9" x14ac:dyDescent="0.55000000000000004">
      <c r="B121" s="11">
        <f t="shared" si="27"/>
        <v>4</v>
      </c>
      <c r="C121" s="11">
        <f t="shared" si="28"/>
        <v>12</v>
      </c>
      <c r="D121" s="12">
        <f t="shared" si="9"/>
        <v>293199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25"/>
        <v>Sep'17/18</v>
      </c>
      <c r="I121" s="11">
        <f t="shared" si="26"/>
        <v>4.3063479999999998</v>
      </c>
    </row>
    <row r="122" spans="2:9" x14ac:dyDescent="0.55000000000000004">
      <c r="B122" s="11">
        <f t="shared" si="27"/>
        <v>5</v>
      </c>
      <c r="C122" s="11">
        <f t="shared" si="28"/>
        <v>1</v>
      </c>
      <c r="D122" s="12">
        <f t="shared" si="9"/>
        <v>350743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25"/>
        <v>Oct'18/19</v>
      </c>
      <c r="I122" s="11">
        <f t="shared" si="26"/>
        <v>4.275455</v>
      </c>
    </row>
    <row r="123" spans="2:9" x14ac:dyDescent="0.55000000000000004">
      <c r="B123" s="11">
        <f t="shared" si="27"/>
        <v>5</v>
      </c>
      <c r="C123" s="11">
        <f t="shared" si="28"/>
        <v>2</v>
      </c>
      <c r="D123" s="12">
        <f t="shared" si="9"/>
        <v>362343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25"/>
        <v>Nov'18/19</v>
      </c>
      <c r="I123" s="11">
        <f t="shared" si="26"/>
        <v>4.1946979999999998</v>
      </c>
    </row>
    <row r="124" spans="2:9" x14ac:dyDescent="0.55000000000000004">
      <c r="B124" s="11">
        <f t="shared" si="27"/>
        <v>5</v>
      </c>
      <c r="C124" s="11">
        <f t="shared" si="28"/>
        <v>3</v>
      </c>
      <c r="D124" s="12">
        <f t="shared" si="9"/>
        <v>314439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25"/>
        <v>Dec'18/19</v>
      </c>
      <c r="I124" s="11">
        <f t="shared" si="26"/>
        <v>4.1229199999999997</v>
      </c>
    </row>
    <row r="125" spans="2:9" x14ac:dyDescent="0.55000000000000004">
      <c r="B125" s="11">
        <f t="shared" si="27"/>
        <v>5</v>
      </c>
      <c r="C125" s="11">
        <f t="shared" si="28"/>
        <v>4</v>
      </c>
      <c r="D125" s="12">
        <f t="shared" si="9"/>
        <v>395097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25"/>
        <v>Jan'18/19</v>
      </c>
      <c r="I125" s="11">
        <f t="shared" si="26"/>
        <v>4.1160870000000003</v>
      </c>
    </row>
    <row r="126" spans="2:9" x14ac:dyDescent="0.55000000000000004">
      <c r="B126" s="11">
        <f t="shared" si="27"/>
        <v>5</v>
      </c>
      <c r="C126" s="11">
        <f t="shared" si="28"/>
        <v>5</v>
      </c>
      <c r="D126" s="12">
        <f t="shared" si="9"/>
        <v>320894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25"/>
        <v>Feb'18/19</v>
      </c>
      <c r="I126" s="11">
        <f t="shared" si="26"/>
        <v>4.0466030000000002</v>
      </c>
    </row>
    <row r="127" spans="2:9" x14ac:dyDescent="0.55000000000000004">
      <c r="B127" s="11">
        <f t="shared" si="27"/>
        <v>5</v>
      </c>
      <c r="C127" s="11">
        <f t="shared" si="28"/>
        <v>6</v>
      </c>
      <c r="D127" s="12">
        <f t="shared" si="9"/>
        <v>348230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25"/>
        <v>Mar'18/19</v>
      </c>
      <c r="I127" s="11">
        <f t="shared" si="26"/>
        <v>4.0614869999999996</v>
      </c>
    </row>
    <row r="128" spans="2:9" x14ac:dyDescent="0.55000000000000004">
      <c r="B128" s="11">
        <f t="shared" si="27"/>
        <v>5</v>
      </c>
      <c r="C128" s="11">
        <f t="shared" si="28"/>
        <v>7</v>
      </c>
      <c r="D128" s="12">
        <f t="shared" si="9"/>
        <v>306315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25"/>
        <v>Apr'18/19</v>
      </c>
      <c r="I128" s="11">
        <f t="shared" si="26"/>
        <v>4.0726079999999998</v>
      </c>
    </row>
    <row r="129" spans="2:9" x14ac:dyDescent="0.55000000000000004">
      <c r="B129" s="11">
        <f t="shared" si="27"/>
        <v>5</v>
      </c>
      <c r="C129" s="11">
        <f t="shared" si="28"/>
        <v>8</v>
      </c>
      <c r="D129" s="12">
        <f t="shared" si="9"/>
        <v>348532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25"/>
        <v>May'18/19</v>
      </c>
      <c r="I129" s="11">
        <f t="shared" si="26"/>
        <v>4.1021049999999999</v>
      </c>
    </row>
    <row r="130" spans="2:9" x14ac:dyDescent="0.55000000000000004">
      <c r="B130" s="11">
        <f t="shared" si="27"/>
        <v>5</v>
      </c>
      <c r="C130" s="11">
        <f t="shared" si="28"/>
        <v>9</v>
      </c>
      <c r="D130" s="12">
        <f t="shared" si="9"/>
        <v>341628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25"/>
        <v>Jun'18/19</v>
      </c>
      <c r="I130" s="11">
        <f t="shared" si="26"/>
        <v>4.1233940000000002</v>
      </c>
    </row>
    <row r="131" spans="2:9" x14ac:dyDescent="0.55000000000000004">
      <c r="B131" s="11">
        <f t="shared" si="27"/>
        <v>5</v>
      </c>
      <c r="C131" s="11">
        <f t="shared" si="28"/>
        <v>10</v>
      </c>
      <c r="D131" s="12">
        <f t="shared" si="9"/>
        <v>463709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25"/>
        <v>Jul'18/19</v>
      </c>
      <c r="I131" s="11">
        <f t="shared" si="26"/>
        <v>4.1940809999999997</v>
      </c>
    </row>
    <row r="132" spans="2:9" x14ac:dyDescent="0.55000000000000004">
      <c r="B132" s="11">
        <f t="shared" si="27"/>
        <v>5</v>
      </c>
      <c r="C132" s="11">
        <f t="shared" si="28"/>
        <v>11</v>
      </c>
      <c r="D132" s="12">
        <f t="shared" si="9"/>
        <v>489184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25"/>
        <v>Aug'18/19</v>
      </c>
      <c r="I132" s="11">
        <f t="shared" si="26"/>
        <v>4.3343129999999999</v>
      </c>
    </row>
    <row r="133" spans="2:9" x14ac:dyDescent="0.55000000000000004">
      <c r="B133" s="11">
        <f t="shared" si="27"/>
        <v>5</v>
      </c>
      <c r="C133" s="11">
        <f t="shared" si="28"/>
        <v>12</v>
      </c>
      <c r="D133" s="12">
        <f t="shared" si="9"/>
        <v>362219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25"/>
        <v>Sep'18/19</v>
      </c>
      <c r="I133" s="11">
        <f t="shared" si="26"/>
        <v>4.4033329999999999</v>
      </c>
    </row>
    <row r="134" spans="2:9" x14ac:dyDescent="0.55000000000000004">
      <c r="B134" s="11">
        <f t="shared" si="27"/>
        <v>6</v>
      </c>
      <c r="C134" s="11">
        <f t="shared" si="28"/>
        <v>1</v>
      </c>
      <c r="D134" s="12">
        <f t="shared" si="9"/>
        <v>378238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25"/>
        <v>Oct'19/20</v>
      </c>
      <c r="I134" s="11">
        <f t="shared" si="26"/>
        <v>4.430828</v>
      </c>
    </row>
    <row r="135" spans="2:9" x14ac:dyDescent="0.55000000000000004">
      <c r="B135" s="11">
        <f t="shared" si="27"/>
        <v>6</v>
      </c>
      <c r="C135" s="11">
        <f t="shared" si="28"/>
        <v>2</v>
      </c>
      <c r="D135" s="12">
        <f t="shared" si="9"/>
        <v>438815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25"/>
        <v>Nov'19/20</v>
      </c>
      <c r="I135" s="11">
        <f t="shared" si="26"/>
        <v>4.5072999999999999</v>
      </c>
    </row>
    <row r="136" spans="2:9" x14ac:dyDescent="0.55000000000000004">
      <c r="B136" s="11">
        <f t="shared" si="27"/>
        <v>6</v>
      </c>
      <c r="C136" s="11">
        <f t="shared" si="28"/>
        <v>3</v>
      </c>
      <c r="D136" s="12">
        <f t="shared" si="9"/>
        <v>330248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25"/>
        <v>Dec'19/20</v>
      </c>
      <c r="I136" s="11">
        <f t="shared" si="26"/>
        <v>4.5231089999999998</v>
      </c>
    </row>
    <row r="137" spans="2:9" x14ac:dyDescent="0.55000000000000004">
      <c r="B137" s="11">
        <f t="shared" si="27"/>
        <v>6</v>
      </c>
      <c r="C137" s="11">
        <f t="shared" si="28"/>
        <v>4</v>
      </c>
      <c r="D137" s="12">
        <f t="shared" si="9"/>
        <v>469951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25"/>
        <v>Jan'19/20</v>
      </c>
      <c r="I137" s="11">
        <f t="shared" si="26"/>
        <v>4.597963</v>
      </c>
    </row>
    <row r="138" spans="2:9" x14ac:dyDescent="0.55000000000000004">
      <c r="B138" s="11">
        <f t="shared" si="27"/>
        <v>6</v>
      </c>
      <c r="C138" s="11">
        <f t="shared" si="28"/>
        <v>5</v>
      </c>
      <c r="D138" s="12">
        <f t="shared" si="9"/>
        <v>472994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25"/>
        <v>Feb'19/20</v>
      </c>
      <c r="I138" s="11">
        <f t="shared" si="26"/>
        <v>4.7500629999999999</v>
      </c>
    </row>
    <row r="139" spans="2:9" x14ac:dyDescent="0.55000000000000004">
      <c r="B139" s="11">
        <f t="shared" si="27"/>
        <v>6</v>
      </c>
      <c r="C139" s="11">
        <f t="shared" si="28"/>
        <v>6</v>
      </c>
      <c r="D139" s="12">
        <f t="shared" ref="D139:D202" si="29">INDEX($C$7:$N$19,MATCH(B139,$A$7:$A$19),MATCH(C139,$C$4:$N$4))</f>
        <v>477561</v>
      </c>
      <c r="E139" s="11" t="str">
        <f t="shared" ref="E139:E202" si="30">_xlfn.XLOOKUP(B139,$A$7:$A$19,$B$7:$B$19)</f>
        <v>19/20</v>
      </c>
      <c r="F139" s="11" t="str">
        <f t="shared" ref="F139:F202" si="31">_xlfn.XLOOKUP(C139,$C$4:$N$4,$C$6:$N$6)</f>
        <v>Mar</v>
      </c>
      <c r="G139" s="11" t="str">
        <f t="shared" ref="G139:G202" si="32">_xlfn.CONCAT(F139,"'",E139)</f>
        <v>Mar'19/20</v>
      </c>
      <c r="H139" s="11" t="str">
        <f t="shared" si="25"/>
        <v>Mar'19/20</v>
      </c>
      <c r="I139" s="11">
        <f t="shared" si="26"/>
        <v>4.8793939999999996</v>
      </c>
    </row>
    <row r="140" spans="2:9" x14ac:dyDescent="0.55000000000000004">
      <c r="B140" s="11">
        <f t="shared" si="27"/>
        <v>6</v>
      </c>
      <c r="C140" s="11">
        <f t="shared" si="28"/>
        <v>7</v>
      </c>
      <c r="D140" s="12">
        <f t="shared" si="29"/>
        <v>359973</v>
      </c>
      <c r="E140" s="11" t="str">
        <f t="shared" si="30"/>
        <v>19/20</v>
      </c>
      <c r="F140" s="11" t="str">
        <f t="shared" si="31"/>
        <v>Apr</v>
      </c>
      <c r="G140" s="11" t="str">
        <f t="shared" si="32"/>
        <v>Apr'19/20</v>
      </c>
      <c r="H140" s="11" t="str">
        <f t="shared" si="25"/>
        <v>Apr'19/20</v>
      </c>
      <c r="I140" s="11">
        <f t="shared" si="26"/>
        <v>4.933052</v>
      </c>
    </row>
    <row r="141" spans="2:9" x14ac:dyDescent="0.55000000000000004">
      <c r="B141" s="11">
        <f t="shared" si="27"/>
        <v>6</v>
      </c>
      <c r="C141" s="11">
        <f t="shared" si="28"/>
        <v>8</v>
      </c>
      <c r="D141" s="12">
        <f t="shared" si="29"/>
        <v>437597</v>
      </c>
      <c r="E141" s="11" t="str">
        <f t="shared" si="30"/>
        <v>19/20</v>
      </c>
      <c r="F141" s="11" t="str">
        <f t="shared" si="31"/>
        <v>May</v>
      </c>
      <c r="G141" s="11" t="str">
        <f t="shared" si="32"/>
        <v>May'19/20</v>
      </c>
      <c r="H141" s="11" t="str">
        <f t="shared" si="25"/>
        <v>May'19/20</v>
      </c>
      <c r="I141" s="11">
        <f t="shared" si="26"/>
        <v>5.0221169999999997</v>
      </c>
    </row>
    <row r="142" spans="2:9" x14ac:dyDescent="0.55000000000000004">
      <c r="B142" s="11">
        <f t="shared" si="27"/>
        <v>6</v>
      </c>
      <c r="C142" s="11">
        <f t="shared" si="28"/>
        <v>9</v>
      </c>
      <c r="D142" s="12">
        <f t="shared" si="29"/>
        <v>420373</v>
      </c>
      <c r="E142" s="11" t="str">
        <f t="shared" si="30"/>
        <v>19/20</v>
      </c>
      <c r="F142" s="11" t="str">
        <f t="shared" si="31"/>
        <v>Jun</v>
      </c>
      <c r="G142" s="11" t="str">
        <f t="shared" si="32"/>
        <v>Jun'19/20</v>
      </c>
      <c r="H142" s="11" t="str">
        <f t="shared" si="25"/>
        <v>Jun'19/20</v>
      </c>
      <c r="I142" s="11">
        <f t="shared" si="26"/>
        <v>5.1008620000000002</v>
      </c>
    </row>
    <row r="143" spans="2:9" x14ac:dyDescent="0.55000000000000004">
      <c r="B143" s="11">
        <f t="shared" si="27"/>
        <v>6</v>
      </c>
      <c r="C143" s="11">
        <f t="shared" si="28"/>
        <v>10</v>
      </c>
      <c r="D143" s="12">
        <f t="shared" si="29"/>
        <v>543251</v>
      </c>
      <c r="E143" s="11" t="str">
        <f t="shared" si="30"/>
        <v>19/20</v>
      </c>
      <c r="F143" s="11" t="str">
        <f t="shared" si="31"/>
        <v>Jul</v>
      </c>
      <c r="G143" s="11" t="str">
        <f t="shared" si="32"/>
        <v>Jul'19/20</v>
      </c>
      <c r="H143" s="11" t="str">
        <f t="shared" si="25"/>
        <v>Jul'19/20</v>
      </c>
      <c r="I143" s="11">
        <f t="shared" si="26"/>
        <v>5.1804040000000002</v>
      </c>
    </row>
    <row r="144" spans="2:9" x14ac:dyDescent="0.55000000000000004">
      <c r="B144" s="11">
        <f t="shared" si="27"/>
        <v>6</v>
      </c>
      <c r="C144" s="11">
        <f t="shared" si="28"/>
        <v>11</v>
      </c>
      <c r="D144" s="12">
        <f t="shared" si="29"/>
        <v>519683</v>
      </c>
      <c r="E144" s="11" t="str">
        <f t="shared" si="30"/>
        <v>19/20</v>
      </c>
      <c r="F144" s="11" t="str">
        <f t="shared" si="31"/>
        <v>Aug</v>
      </c>
      <c r="G144" s="11" t="str">
        <f t="shared" si="32"/>
        <v>Aug'19/20</v>
      </c>
      <c r="H144" s="11" t="str">
        <f t="shared" si="25"/>
        <v>Aug'19/20</v>
      </c>
      <c r="I144" s="11">
        <f t="shared" si="26"/>
        <v>5.2109030000000001</v>
      </c>
    </row>
    <row r="145" spans="2:9" x14ac:dyDescent="0.55000000000000004">
      <c r="B145" s="11">
        <f t="shared" si="27"/>
        <v>6</v>
      </c>
      <c r="C145" s="11">
        <f t="shared" si="28"/>
        <v>12</v>
      </c>
      <c r="D145" s="12">
        <f t="shared" si="29"/>
        <v>506470</v>
      </c>
      <c r="E145" s="11" t="str">
        <f t="shared" si="30"/>
        <v>19/20</v>
      </c>
      <c r="F145" s="11" t="str">
        <f t="shared" si="31"/>
        <v>Sep</v>
      </c>
      <c r="G145" s="11" t="str">
        <f t="shared" si="32"/>
        <v>Sep'19/20</v>
      </c>
      <c r="H145" s="11" t="str">
        <f t="shared" si="25"/>
        <v>Sep'19/20</v>
      </c>
      <c r="I145" s="11">
        <f t="shared" si="26"/>
        <v>5.3551539999999997</v>
      </c>
    </row>
    <row r="146" spans="2:9" x14ac:dyDescent="0.55000000000000004">
      <c r="B146" s="11">
        <f t="shared" si="27"/>
        <v>7</v>
      </c>
      <c r="C146" s="11">
        <f t="shared" si="28"/>
        <v>1</v>
      </c>
      <c r="D146" s="12">
        <f t="shared" si="29"/>
        <v>428015</v>
      </c>
      <c r="E146" s="11" t="str">
        <f t="shared" si="30"/>
        <v>20/21</v>
      </c>
      <c r="F146" s="11" t="str">
        <f t="shared" si="31"/>
        <v>Oct</v>
      </c>
      <c r="G146" s="11" t="str">
        <f t="shared" si="32"/>
        <v>Oct'20/21</v>
      </c>
      <c r="H146" s="11" t="str">
        <f t="shared" si="25"/>
        <v>Oct'20/21</v>
      </c>
      <c r="I146" s="11">
        <f t="shared" si="26"/>
        <v>5.4049310000000004</v>
      </c>
    </row>
    <row r="147" spans="2:9" x14ac:dyDescent="0.55000000000000004">
      <c r="B147" s="11">
        <f t="shared" si="27"/>
        <v>7</v>
      </c>
      <c r="C147" s="11">
        <f t="shared" si="28"/>
        <v>2</v>
      </c>
      <c r="D147" s="12">
        <f t="shared" si="29"/>
        <v>430324</v>
      </c>
      <c r="E147" s="11" t="str">
        <f t="shared" si="30"/>
        <v>20/21</v>
      </c>
      <c r="F147" s="11" t="str">
        <f t="shared" si="31"/>
        <v>Nov</v>
      </c>
      <c r="G147" s="11" t="str">
        <f t="shared" si="32"/>
        <v>Nov'20/21</v>
      </c>
      <c r="H147" s="11" t="str">
        <f t="shared" si="25"/>
        <v>Nov'20/21</v>
      </c>
      <c r="I147" s="11">
        <f t="shared" si="26"/>
        <v>5.3964400000000001</v>
      </c>
    </row>
    <row r="148" spans="2:9" x14ac:dyDescent="0.55000000000000004">
      <c r="B148" s="11">
        <f t="shared" si="27"/>
        <v>7</v>
      </c>
      <c r="C148" s="11">
        <f t="shared" si="28"/>
        <v>3</v>
      </c>
      <c r="D148" s="12">
        <f t="shared" si="29"/>
        <v>417070</v>
      </c>
      <c r="E148" s="11" t="str">
        <f t="shared" si="30"/>
        <v>20/21</v>
      </c>
      <c r="F148" s="11" t="str">
        <f t="shared" si="31"/>
        <v>Dec</v>
      </c>
      <c r="G148" s="11" t="str">
        <f t="shared" si="32"/>
        <v>Dec'20/21</v>
      </c>
      <c r="H148" s="11" t="str">
        <f t="shared" si="25"/>
        <v>Dec'20/21</v>
      </c>
      <c r="I148" s="11">
        <f t="shared" si="26"/>
        <v>5.4832619999999999</v>
      </c>
    </row>
    <row r="149" spans="2:9" x14ac:dyDescent="0.55000000000000004">
      <c r="B149" s="11">
        <f t="shared" si="27"/>
        <v>7</v>
      </c>
      <c r="C149" s="11">
        <f t="shared" si="28"/>
        <v>4</v>
      </c>
      <c r="D149" s="12">
        <f t="shared" si="29"/>
        <v>446560</v>
      </c>
      <c r="E149" s="11" t="str">
        <f t="shared" si="30"/>
        <v>20/21</v>
      </c>
      <c r="F149" s="11" t="str">
        <f t="shared" si="31"/>
        <v>Jan</v>
      </c>
      <c r="G149" s="11" t="str">
        <f t="shared" si="32"/>
        <v>Jan'20/21</v>
      </c>
      <c r="H149" s="11" t="str">
        <f t="shared" si="25"/>
        <v>Jan'20/21</v>
      </c>
      <c r="I149" s="11">
        <f t="shared" si="26"/>
        <v>5.4598709999999997</v>
      </c>
    </row>
    <row r="150" spans="2:9" x14ac:dyDescent="0.55000000000000004">
      <c r="B150" s="11">
        <f t="shared" si="27"/>
        <v>7</v>
      </c>
      <c r="C150" s="11">
        <f t="shared" si="28"/>
        <v>5</v>
      </c>
      <c r="D150" s="12">
        <f t="shared" si="29"/>
        <v>562763</v>
      </c>
      <c r="E150" s="11" t="str">
        <f t="shared" si="30"/>
        <v>20/21</v>
      </c>
      <c r="F150" s="11" t="str">
        <f t="shared" si="31"/>
        <v>Feb</v>
      </c>
      <c r="G150" s="11" t="str">
        <f t="shared" si="32"/>
        <v>Feb'20/21</v>
      </c>
      <c r="H150" s="11" t="str">
        <f t="shared" ref="H150:H213" si="33">G150</f>
        <v>Feb'20/21</v>
      </c>
      <c r="I150" s="11">
        <f t="shared" ref="I150:I213" si="34">SUM(D139:D150)/1000000</f>
        <v>5.5496400000000001</v>
      </c>
    </row>
    <row r="151" spans="2:9" x14ac:dyDescent="0.55000000000000004">
      <c r="B151" s="11">
        <f t="shared" ref="B151:B214" si="35">B139+1</f>
        <v>7</v>
      </c>
      <c r="C151" s="11">
        <f t="shared" ref="C151:C214" si="36">C139</f>
        <v>6</v>
      </c>
      <c r="D151" s="12">
        <f t="shared" si="29"/>
        <v>572839</v>
      </c>
      <c r="E151" s="11" t="str">
        <f t="shared" si="30"/>
        <v>20/21</v>
      </c>
      <c r="F151" s="11" t="str">
        <f t="shared" si="31"/>
        <v>Mar</v>
      </c>
      <c r="G151" s="11" t="str">
        <f t="shared" si="32"/>
        <v>Mar'20/21</v>
      </c>
      <c r="H151" s="11" t="str">
        <f t="shared" si="33"/>
        <v>Mar'20/21</v>
      </c>
      <c r="I151" s="11">
        <f t="shared" si="34"/>
        <v>5.6449179999999997</v>
      </c>
    </row>
    <row r="152" spans="2:9" x14ac:dyDescent="0.55000000000000004">
      <c r="B152" s="11">
        <f t="shared" si="35"/>
        <v>7</v>
      </c>
      <c r="C152" s="11">
        <f t="shared" si="36"/>
        <v>7</v>
      </c>
      <c r="D152" s="12">
        <f t="shared" si="29"/>
        <v>537538</v>
      </c>
      <c r="E152" s="11" t="str">
        <f t="shared" si="30"/>
        <v>20/21</v>
      </c>
      <c r="F152" s="11" t="str">
        <f t="shared" si="31"/>
        <v>Apr</v>
      </c>
      <c r="G152" s="11" t="str">
        <f t="shared" si="32"/>
        <v>Apr'20/21</v>
      </c>
      <c r="H152" s="11" t="str">
        <f t="shared" si="33"/>
        <v>Apr'20/21</v>
      </c>
      <c r="I152" s="11">
        <f t="shared" si="34"/>
        <v>5.8224830000000001</v>
      </c>
    </row>
    <row r="153" spans="2:9" x14ac:dyDescent="0.55000000000000004">
      <c r="B153" s="11">
        <f t="shared" si="35"/>
        <v>7</v>
      </c>
      <c r="C153" s="11">
        <f t="shared" si="36"/>
        <v>8</v>
      </c>
      <c r="D153" s="12">
        <f t="shared" si="29"/>
        <v>494050</v>
      </c>
      <c r="E153" s="11" t="str">
        <f t="shared" si="30"/>
        <v>20/21</v>
      </c>
      <c r="F153" s="11" t="str">
        <f t="shared" si="31"/>
        <v>May</v>
      </c>
      <c r="G153" s="11" t="str">
        <f t="shared" si="32"/>
        <v>May'20/21</v>
      </c>
      <c r="H153" s="11" t="str">
        <f t="shared" si="33"/>
        <v>May'20/21</v>
      </c>
      <c r="I153" s="11">
        <f t="shared" si="34"/>
        <v>5.8789360000000004</v>
      </c>
    </row>
    <row r="154" spans="2:9" x14ac:dyDescent="0.55000000000000004">
      <c r="B154" s="11">
        <f t="shared" si="35"/>
        <v>7</v>
      </c>
      <c r="C154" s="11">
        <f t="shared" si="36"/>
        <v>9</v>
      </c>
      <c r="D154" s="12">
        <f t="shared" si="29"/>
        <v>618388</v>
      </c>
      <c r="E154" s="11" t="str">
        <f t="shared" si="30"/>
        <v>20/21</v>
      </c>
      <c r="F154" s="11" t="str">
        <f t="shared" si="31"/>
        <v>Jun</v>
      </c>
      <c r="G154" s="11" t="str">
        <f t="shared" si="32"/>
        <v>Jun'20/21</v>
      </c>
      <c r="H154" s="11" t="str">
        <f t="shared" si="33"/>
        <v>Jun'20/21</v>
      </c>
      <c r="I154" s="11">
        <f t="shared" si="34"/>
        <v>6.0769510000000002</v>
      </c>
    </row>
    <row r="155" spans="2:9" x14ac:dyDescent="0.55000000000000004">
      <c r="B155" s="11">
        <f t="shared" si="35"/>
        <v>7</v>
      </c>
      <c r="C155" s="11">
        <f t="shared" si="36"/>
        <v>10</v>
      </c>
      <c r="D155" s="12">
        <f t="shared" si="29"/>
        <v>700035</v>
      </c>
      <c r="E155" s="11" t="str">
        <f t="shared" si="30"/>
        <v>20/21</v>
      </c>
      <c r="F155" s="11" t="str">
        <f t="shared" si="31"/>
        <v>Jul</v>
      </c>
      <c r="G155" s="11" t="str">
        <f t="shared" si="32"/>
        <v>Jul'20/21</v>
      </c>
      <c r="H155" s="11" t="str">
        <f t="shared" si="33"/>
        <v>Jul'20/21</v>
      </c>
      <c r="I155" s="11">
        <f t="shared" si="34"/>
        <v>6.2337350000000002</v>
      </c>
    </row>
    <row r="156" spans="2:9" x14ac:dyDescent="0.55000000000000004">
      <c r="B156" s="11">
        <f t="shared" si="35"/>
        <v>7</v>
      </c>
      <c r="C156" s="11">
        <f t="shared" si="36"/>
        <v>11</v>
      </c>
      <c r="D156" s="12">
        <f t="shared" si="29"/>
        <v>700990</v>
      </c>
      <c r="E156" s="11" t="str">
        <f t="shared" si="30"/>
        <v>20/21</v>
      </c>
      <c r="F156" s="11" t="str">
        <f t="shared" si="31"/>
        <v>Aug</v>
      </c>
      <c r="G156" s="11" t="str">
        <f t="shared" si="32"/>
        <v>Aug'20/21</v>
      </c>
      <c r="H156" s="11" t="str">
        <f t="shared" si="33"/>
        <v>Aug'20/21</v>
      </c>
      <c r="I156" s="11">
        <f t="shared" si="34"/>
        <v>6.4150419999999997</v>
      </c>
    </row>
    <row r="157" spans="2:9" x14ac:dyDescent="0.55000000000000004">
      <c r="B157" s="11">
        <f t="shared" si="35"/>
        <v>7</v>
      </c>
      <c r="C157" s="11">
        <f t="shared" si="36"/>
        <v>12</v>
      </c>
      <c r="D157" s="12">
        <f t="shared" si="29"/>
        <v>585576</v>
      </c>
      <c r="E157" s="11" t="str">
        <f t="shared" si="30"/>
        <v>20/21</v>
      </c>
      <c r="F157" s="11" t="str">
        <f t="shared" si="31"/>
        <v>Sep</v>
      </c>
      <c r="G157" s="11" t="str">
        <f t="shared" si="32"/>
        <v>Sep'20/21</v>
      </c>
      <c r="H157" s="11" t="str">
        <f t="shared" si="33"/>
        <v>Sep'20/21</v>
      </c>
      <c r="I157" s="11">
        <f t="shared" si="34"/>
        <v>6.494148</v>
      </c>
    </row>
    <row r="158" spans="2:9" x14ac:dyDescent="0.55000000000000004">
      <c r="B158" s="11">
        <f t="shared" si="35"/>
        <v>8</v>
      </c>
      <c r="C158" s="11">
        <f t="shared" si="36"/>
        <v>1</v>
      </c>
      <c r="D158" s="12">
        <f t="shared" si="29"/>
        <v>486534</v>
      </c>
      <c r="E158" s="11" t="str">
        <f t="shared" si="30"/>
        <v>21/22</v>
      </c>
      <c r="F158" s="11" t="str">
        <f t="shared" si="31"/>
        <v>Oct</v>
      </c>
      <c r="G158" s="11" t="str">
        <f t="shared" si="32"/>
        <v>Oct'21/22</v>
      </c>
      <c r="H158" s="11" t="str">
        <f t="shared" si="33"/>
        <v>Oct'21/22</v>
      </c>
      <c r="I158" s="11">
        <f t="shared" si="34"/>
        <v>6.5526669999999996</v>
      </c>
    </row>
    <row r="159" spans="2:9" x14ac:dyDescent="0.55000000000000004">
      <c r="B159" s="11">
        <f t="shared" si="35"/>
        <v>8</v>
      </c>
      <c r="C159" s="11">
        <f t="shared" si="36"/>
        <v>2</v>
      </c>
      <c r="D159" s="12">
        <f t="shared" si="29"/>
        <v>524902</v>
      </c>
      <c r="E159" s="11" t="str">
        <f t="shared" si="30"/>
        <v>21/22</v>
      </c>
      <c r="F159" s="11" t="str">
        <f t="shared" si="31"/>
        <v>Nov</v>
      </c>
      <c r="G159" s="11" t="str">
        <f t="shared" si="32"/>
        <v>Nov'21/22</v>
      </c>
      <c r="H159" s="11" t="str">
        <f t="shared" si="33"/>
        <v>Nov'21/22</v>
      </c>
      <c r="I159" s="11">
        <f t="shared" si="34"/>
        <v>6.6472449999999998</v>
      </c>
    </row>
    <row r="160" spans="2:9" x14ac:dyDescent="0.55000000000000004">
      <c r="B160" s="11">
        <f t="shared" si="35"/>
        <v>8</v>
      </c>
      <c r="C160" s="11">
        <f t="shared" si="36"/>
        <v>3</v>
      </c>
      <c r="D160" s="12">
        <f t="shared" si="29"/>
        <v>536569</v>
      </c>
      <c r="E160" s="11" t="str">
        <f t="shared" si="30"/>
        <v>21/22</v>
      </c>
      <c r="F160" s="11" t="str">
        <f t="shared" si="31"/>
        <v>Dec</v>
      </c>
      <c r="G160" s="11" t="str">
        <f t="shared" si="32"/>
        <v>Dec'21/22</v>
      </c>
      <c r="H160" s="11" t="str">
        <f t="shared" si="33"/>
        <v>Dec'21/22</v>
      </c>
      <c r="I160" s="11">
        <f t="shared" si="34"/>
        <v>6.7667440000000001</v>
      </c>
    </row>
    <row r="161" spans="2:9" x14ac:dyDescent="0.55000000000000004">
      <c r="B161" s="11">
        <f t="shared" si="35"/>
        <v>8</v>
      </c>
      <c r="C161" s="11">
        <f t="shared" si="36"/>
        <v>4</v>
      </c>
      <c r="D161" s="12">
        <f t="shared" si="29"/>
        <v>402212</v>
      </c>
      <c r="E161" s="11" t="str">
        <f t="shared" si="30"/>
        <v>21/22</v>
      </c>
      <c r="F161" s="11" t="str">
        <f t="shared" si="31"/>
        <v>Jan</v>
      </c>
      <c r="G161" s="11" t="str">
        <f t="shared" si="32"/>
        <v>Jan'21/22</v>
      </c>
      <c r="H161" s="11" t="str">
        <f t="shared" si="33"/>
        <v>Jan'21/22</v>
      </c>
      <c r="I161" s="11">
        <f t="shared" si="34"/>
        <v>6.7223959999999998</v>
      </c>
    </row>
    <row r="162" spans="2:9" x14ac:dyDescent="0.55000000000000004">
      <c r="B162" s="11">
        <f t="shared" si="35"/>
        <v>8</v>
      </c>
      <c r="C162" s="11">
        <f t="shared" si="36"/>
        <v>5</v>
      </c>
      <c r="D162" s="12">
        <f t="shared" si="29"/>
        <v>448957</v>
      </c>
      <c r="E162" s="11" t="str">
        <f t="shared" si="30"/>
        <v>21/22</v>
      </c>
      <c r="F162" s="11" t="str">
        <f t="shared" si="31"/>
        <v>Feb</v>
      </c>
      <c r="G162" s="11" t="str">
        <f t="shared" si="32"/>
        <v>Feb'21/22</v>
      </c>
      <c r="H162" s="11" t="str">
        <f t="shared" si="33"/>
        <v>Feb'21/22</v>
      </c>
      <c r="I162" s="11">
        <f t="shared" si="34"/>
        <v>6.6085900000000004</v>
      </c>
    </row>
    <row r="163" spans="2:9" x14ac:dyDescent="0.55000000000000004">
      <c r="B163" s="11">
        <f t="shared" si="35"/>
        <v>8</v>
      </c>
      <c r="C163" s="11">
        <f t="shared" si="36"/>
        <v>6</v>
      </c>
      <c r="D163" s="12">
        <f t="shared" si="29"/>
        <v>478023</v>
      </c>
      <c r="E163" s="11" t="str">
        <f t="shared" si="30"/>
        <v>21/22</v>
      </c>
      <c r="F163" s="11" t="str">
        <f t="shared" si="31"/>
        <v>Mar</v>
      </c>
      <c r="G163" s="11" t="str">
        <f t="shared" si="32"/>
        <v>Mar'21/22</v>
      </c>
      <c r="H163" s="11" t="str">
        <f t="shared" si="33"/>
        <v>Mar'21/22</v>
      </c>
      <c r="I163" s="11">
        <f t="shared" si="34"/>
        <v>6.5137739999999997</v>
      </c>
    </row>
    <row r="164" spans="2:9" x14ac:dyDescent="0.55000000000000004">
      <c r="B164" s="11">
        <f t="shared" si="35"/>
        <v>8</v>
      </c>
      <c r="C164" s="11">
        <f t="shared" si="36"/>
        <v>7</v>
      </c>
      <c r="D164" s="12">
        <f t="shared" si="29"/>
        <v>407762</v>
      </c>
      <c r="E164" s="11" t="str">
        <f t="shared" si="30"/>
        <v>21/22</v>
      </c>
      <c r="F164" s="11" t="str">
        <f t="shared" si="31"/>
        <v>Apr</v>
      </c>
      <c r="G164" s="11" t="str">
        <f t="shared" si="32"/>
        <v>Apr'21/22</v>
      </c>
      <c r="H164" s="11" t="str">
        <f t="shared" si="33"/>
        <v>Apr'21/22</v>
      </c>
      <c r="I164" s="11">
        <f t="shared" si="34"/>
        <v>6.3839980000000001</v>
      </c>
    </row>
    <row r="165" spans="2:9" x14ac:dyDescent="0.55000000000000004">
      <c r="B165" s="11">
        <f t="shared" si="35"/>
        <v>8</v>
      </c>
      <c r="C165" s="11">
        <f t="shared" si="36"/>
        <v>8</v>
      </c>
      <c r="D165" s="12">
        <f t="shared" si="29"/>
        <v>455166</v>
      </c>
      <c r="E165" s="11" t="str">
        <f t="shared" si="30"/>
        <v>21/22</v>
      </c>
      <c r="F165" s="11" t="str">
        <f t="shared" si="31"/>
        <v>May</v>
      </c>
      <c r="G165" s="11" t="str">
        <f t="shared" si="32"/>
        <v>May'21/22</v>
      </c>
      <c r="H165" s="11" t="str">
        <f t="shared" si="33"/>
        <v>May'21/22</v>
      </c>
      <c r="I165" s="11">
        <f t="shared" si="34"/>
        <v>6.3451139999999997</v>
      </c>
    </row>
    <row r="166" spans="2:9" x14ac:dyDescent="0.55000000000000004">
      <c r="B166" s="11">
        <f t="shared" si="35"/>
        <v>8</v>
      </c>
      <c r="C166" s="11">
        <f t="shared" si="36"/>
        <v>9</v>
      </c>
      <c r="D166" s="12">
        <f t="shared" si="29"/>
        <v>530365</v>
      </c>
      <c r="E166" s="11" t="str">
        <f t="shared" si="30"/>
        <v>21/22</v>
      </c>
      <c r="F166" s="11" t="str">
        <f t="shared" si="31"/>
        <v>Jun</v>
      </c>
      <c r="G166" s="11" t="str">
        <f t="shared" si="32"/>
        <v>Jun'21/22</v>
      </c>
      <c r="H166" s="11" t="str">
        <f t="shared" si="33"/>
        <v>Jun'21/22</v>
      </c>
      <c r="I166" s="11">
        <f t="shared" si="34"/>
        <v>6.257091</v>
      </c>
    </row>
    <row r="167" spans="2:9" x14ac:dyDescent="0.55000000000000004">
      <c r="B167" s="11">
        <f t="shared" si="35"/>
        <v>8</v>
      </c>
      <c r="C167" s="11">
        <f t="shared" si="36"/>
        <v>10</v>
      </c>
      <c r="D167" s="12">
        <f t="shared" si="29"/>
        <v>576468</v>
      </c>
      <c r="E167" s="11" t="str">
        <f t="shared" si="30"/>
        <v>21/22</v>
      </c>
      <c r="F167" s="11" t="str">
        <f t="shared" si="31"/>
        <v>Jul</v>
      </c>
      <c r="G167" s="11" t="str">
        <f t="shared" si="32"/>
        <v>Jul'21/22</v>
      </c>
      <c r="H167" s="11" t="str">
        <f t="shared" si="33"/>
        <v>Jul'21/22</v>
      </c>
      <c r="I167" s="11">
        <f t="shared" si="34"/>
        <v>6.1335240000000004</v>
      </c>
    </row>
    <row r="168" spans="2:9" x14ac:dyDescent="0.55000000000000004">
      <c r="B168" s="11">
        <f t="shared" si="35"/>
        <v>8</v>
      </c>
      <c r="C168" s="11">
        <f t="shared" si="36"/>
        <v>11</v>
      </c>
      <c r="D168" s="12">
        <f t="shared" si="29"/>
        <v>501054</v>
      </c>
      <c r="E168" s="11" t="str">
        <f t="shared" si="30"/>
        <v>21/22</v>
      </c>
      <c r="F168" s="11" t="str">
        <f t="shared" si="31"/>
        <v>Aug</v>
      </c>
      <c r="G168" s="11" t="str">
        <f t="shared" si="32"/>
        <v>Aug'21/22</v>
      </c>
      <c r="H168" s="11" t="str">
        <f t="shared" si="33"/>
        <v>Aug'21/22</v>
      </c>
      <c r="I168" s="11">
        <f t="shared" si="34"/>
        <v>5.9335880000000003</v>
      </c>
    </row>
    <row r="169" spans="2:9" x14ac:dyDescent="0.55000000000000004">
      <c r="B169" s="11">
        <f t="shared" si="35"/>
        <v>8</v>
      </c>
      <c r="C169" s="11">
        <f t="shared" si="36"/>
        <v>12</v>
      </c>
      <c r="D169" s="12">
        <f t="shared" si="29"/>
        <v>503695</v>
      </c>
      <c r="E169" s="11" t="str">
        <f t="shared" si="30"/>
        <v>21/22</v>
      </c>
      <c r="F169" s="11" t="str">
        <f t="shared" si="31"/>
        <v>Sep</v>
      </c>
      <c r="G169" s="11" t="str">
        <f t="shared" si="32"/>
        <v>Sep'21/22</v>
      </c>
      <c r="H169" s="11" t="str">
        <f t="shared" si="33"/>
        <v>Sep'21/22</v>
      </c>
      <c r="I169" s="11">
        <f t="shared" si="34"/>
        <v>5.8517070000000002</v>
      </c>
    </row>
    <row r="170" spans="2:9" x14ac:dyDescent="0.55000000000000004">
      <c r="B170" s="11">
        <f t="shared" si="35"/>
        <v>9</v>
      </c>
      <c r="C170" s="11">
        <f t="shared" si="36"/>
        <v>1</v>
      </c>
      <c r="D170" s="12">
        <f t="shared" si="29"/>
        <v>457244</v>
      </c>
      <c r="E170" s="11" t="str">
        <f t="shared" si="30"/>
        <v>22/23</v>
      </c>
      <c r="F170" s="11" t="str">
        <f t="shared" si="31"/>
        <v>Oct</v>
      </c>
      <c r="G170" s="11" t="str">
        <f t="shared" si="32"/>
        <v>Oct'22/23</v>
      </c>
      <c r="H170" s="11" t="str">
        <f t="shared" si="33"/>
        <v>Oct'22/23</v>
      </c>
      <c r="I170" s="11">
        <f t="shared" si="34"/>
        <v>5.8224169999999997</v>
      </c>
    </row>
    <row r="171" spans="2:9" x14ac:dyDescent="0.55000000000000004">
      <c r="B171" s="11">
        <f t="shared" si="35"/>
        <v>9</v>
      </c>
      <c r="C171" s="11">
        <f t="shared" si="36"/>
        <v>2</v>
      </c>
      <c r="D171" s="12">
        <f t="shared" si="29"/>
        <v>447162</v>
      </c>
      <c r="E171" s="11" t="str">
        <f t="shared" si="30"/>
        <v>22/23</v>
      </c>
      <c r="F171" s="11" t="str">
        <f t="shared" si="31"/>
        <v>Nov</v>
      </c>
      <c r="G171" s="11" t="str">
        <f t="shared" si="32"/>
        <v>Nov'22/23</v>
      </c>
      <c r="H171" s="11" t="str">
        <f t="shared" si="33"/>
        <v>Nov'22/23</v>
      </c>
      <c r="I171" s="11">
        <f t="shared" si="34"/>
        <v>5.7446770000000003</v>
      </c>
    </row>
    <row r="172" spans="2:9" x14ac:dyDescent="0.55000000000000004">
      <c r="B172" s="11">
        <f t="shared" si="35"/>
        <v>9</v>
      </c>
      <c r="C172" s="11">
        <f t="shared" si="36"/>
        <v>3</v>
      </c>
      <c r="D172" s="12">
        <f t="shared" si="29"/>
        <v>418829</v>
      </c>
      <c r="E172" s="11" t="str">
        <f t="shared" si="30"/>
        <v>22/23</v>
      </c>
      <c r="F172" s="11" t="str">
        <f t="shared" si="31"/>
        <v>Dec</v>
      </c>
      <c r="G172" s="11" t="str">
        <f t="shared" si="32"/>
        <v>Dec'22/23</v>
      </c>
      <c r="H172" s="11" t="str">
        <f t="shared" si="33"/>
        <v>Dec'22/23</v>
      </c>
      <c r="I172" s="11">
        <f t="shared" si="34"/>
        <v>5.6269369999999999</v>
      </c>
    </row>
    <row r="173" spans="2:9" x14ac:dyDescent="0.55000000000000004">
      <c r="B173" s="11">
        <f t="shared" si="35"/>
        <v>9</v>
      </c>
      <c r="C173" s="11">
        <f t="shared" si="36"/>
        <v>4</v>
      </c>
      <c r="D173" s="12">
        <f t="shared" si="29"/>
        <v>494226</v>
      </c>
      <c r="E173" s="11" t="str">
        <f t="shared" si="30"/>
        <v>22/23</v>
      </c>
      <c r="F173" s="11" t="str">
        <f t="shared" si="31"/>
        <v>Jan</v>
      </c>
      <c r="G173" s="11" t="str">
        <f t="shared" si="32"/>
        <v>Jan'22/23</v>
      </c>
      <c r="H173" s="11" t="str">
        <f t="shared" si="33"/>
        <v>Jan'22/23</v>
      </c>
      <c r="I173" s="11">
        <f t="shared" si="34"/>
        <v>5.7189509999999997</v>
      </c>
    </row>
    <row r="174" spans="2:9" x14ac:dyDescent="0.55000000000000004">
      <c r="B174" s="11">
        <f t="shared" si="35"/>
        <v>9</v>
      </c>
      <c r="C174" s="11">
        <f t="shared" si="36"/>
        <v>5</v>
      </c>
      <c r="D174" s="12">
        <f t="shared" si="29"/>
        <v>478646</v>
      </c>
      <c r="E174" s="11" t="str">
        <f t="shared" si="30"/>
        <v>22/23</v>
      </c>
      <c r="F174" s="11" t="str">
        <f t="shared" si="31"/>
        <v>Feb</v>
      </c>
      <c r="G174" s="11" t="str">
        <f t="shared" si="32"/>
        <v>Feb'22/23</v>
      </c>
      <c r="H174" s="11" t="str">
        <f t="shared" si="33"/>
        <v>Feb'22/23</v>
      </c>
      <c r="I174" s="11">
        <f t="shared" si="34"/>
        <v>5.74864</v>
      </c>
    </row>
    <row r="175" spans="2:9" x14ac:dyDescent="0.55000000000000004">
      <c r="B175" s="11">
        <f t="shared" si="35"/>
        <v>9</v>
      </c>
      <c r="C175" s="11">
        <f t="shared" si="36"/>
        <v>6</v>
      </c>
      <c r="D175" s="12">
        <f t="shared" si="29"/>
        <v>487797</v>
      </c>
      <c r="E175" s="11" t="str">
        <f t="shared" si="30"/>
        <v>22/23</v>
      </c>
      <c r="F175" s="11" t="str">
        <f t="shared" si="31"/>
        <v>Mar</v>
      </c>
      <c r="G175" s="11" t="str">
        <f t="shared" si="32"/>
        <v>Mar'22/23</v>
      </c>
      <c r="H175" s="11" t="str">
        <f t="shared" si="33"/>
        <v>Mar'22/23</v>
      </c>
      <c r="I175" s="11">
        <f t="shared" si="34"/>
        <v>5.7584140000000001</v>
      </c>
    </row>
    <row r="176" spans="2:9" x14ac:dyDescent="0.55000000000000004">
      <c r="B176" s="11">
        <f t="shared" si="35"/>
        <v>9</v>
      </c>
      <c r="C176" s="11">
        <f t="shared" si="36"/>
        <v>7</v>
      </c>
      <c r="D176" s="12">
        <f t="shared" si="29"/>
        <v>373610</v>
      </c>
      <c r="E176" s="11" t="str">
        <f t="shared" si="30"/>
        <v>22/23</v>
      </c>
      <c r="F176" s="11" t="str">
        <f t="shared" si="31"/>
        <v>Apr</v>
      </c>
      <c r="G176" s="11" t="str">
        <f t="shared" si="32"/>
        <v>Apr'22/23</v>
      </c>
      <c r="H176" s="11" t="str">
        <f t="shared" si="33"/>
        <v>Apr'22/23</v>
      </c>
      <c r="I176" s="11">
        <f t="shared" si="34"/>
        <v>5.7242620000000004</v>
      </c>
    </row>
    <row r="177" spans="2:9" x14ac:dyDescent="0.55000000000000004">
      <c r="B177" s="11">
        <f t="shared" si="35"/>
        <v>9</v>
      </c>
      <c r="C177" s="11">
        <f t="shared" si="36"/>
        <v>8</v>
      </c>
      <c r="D177" s="12">
        <f t="shared" si="29"/>
        <v>453169</v>
      </c>
      <c r="E177" s="11" t="str">
        <f t="shared" si="30"/>
        <v>22/23</v>
      </c>
      <c r="F177" s="11" t="str">
        <f t="shared" si="31"/>
        <v>May</v>
      </c>
      <c r="G177" s="11" t="str">
        <f t="shared" si="32"/>
        <v>May'22/23</v>
      </c>
      <c r="H177" s="11" t="str">
        <f t="shared" si="33"/>
        <v>May'22/23</v>
      </c>
      <c r="I177" s="11">
        <f t="shared" si="34"/>
        <v>5.7222650000000002</v>
      </c>
    </row>
    <row r="178" spans="2:9" x14ac:dyDescent="0.55000000000000004">
      <c r="B178" s="11">
        <f t="shared" si="35"/>
        <v>9</v>
      </c>
      <c r="C178" s="11">
        <f t="shared" si="36"/>
        <v>9</v>
      </c>
      <c r="D178" s="12">
        <f t="shared" si="29"/>
        <v>563832</v>
      </c>
      <c r="E178" s="11" t="str">
        <f t="shared" si="30"/>
        <v>22/23</v>
      </c>
      <c r="F178" s="11" t="str">
        <f t="shared" si="31"/>
        <v>Jun</v>
      </c>
      <c r="G178" s="11" t="str">
        <f t="shared" si="32"/>
        <v>Jun'22/23</v>
      </c>
      <c r="H178" s="11" t="str">
        <f t="shared" si="33"/>
        <v>Jun'22/23</v>
      </c>
      <c r="I178" s="11">
        <f t="shared" si="34"/>
        <v>5.7557320000000001</v>
      </c>
    </row>
    <row r="179" spans="2:9" x14ac:dyDescent="0.55000000000000004">
      <c r="B179" s="11">
        <f t="shared" si="35"/>
        <v>9</v>
      </c>
      <c r="C179" s="11">
        <f t="shared" si="36"/>
        <v>10</v>
      </c>
      <c r="D179" s="12">
        <f t="shared" si="29"/>
        <v>645832</v>
      </c>
      <c r="E179" s="11" t="str">
        <f t="shared" si="30"/>
        <v>22/23</v>
      </c>
      <c r="F179" s="11" t="str">
        <f t="shared" si="31"/>
        <v>Jul</v>
      </c>
      <c r="G179" s="11" t="str">
        <f t="shared" si="32"/>
        <v>Jul'22/23</v>
      </c>
      <c r="H179" s="11" t="str">
        <f t="shared" si="33"/>
        <v>Jul'22/23</v>
      </c>
      <c r="I179" s="11">
        <f t="shared" si="34"/>
        <v>5.8250960000000003</v>
      </c>
    </row>
    <row r="180" spans="2:9" x14ac:dyDescent="0.55000000000000004">
      <c r="B180" s="11">
        <f t="shared" si="35"/>
        <v>9</v>
      </c>
      <c r="C180" s="11">
        <f t="shared" si="36"/>
        <v>11</v>
      </c>
      <c r="D180" s="12">
        <f t="shared" si="29"/>
        <v>743517</v>
      </c>
      <c r="E180" s="11" t="str">
        <f t="shared" si="30"/>
        <v>22/23</v>
      </c>
      <c r="F180" s="11" t="str">
        <f t="shared" si="31"/>
        <v>Aug</v>
      </c>
      <c r="G180" s="11" t="str">
        <f t="shared" si="32"/>
        <v>Aug'22/23</v>
      </c>
      <c r="H180" s="11" t="str">
        <f t="shared" si="33"/>
        <v>Aug'22/23</v>
      </c>
      <c r="I180" s="11">
        <f t="shared" si="34"/>
        <v>6.0675590000000001</v>
      </c>
    </row>
    <row r="181" spans="2:9" x14ac:dyDescent="0.55000000000000004">
      <c r="B181" s="11">
        <f t="shared" si="35"/>
        <v>9</v>
      </c>
      <c r="C181" s="11">
        <f t="shared" si="36"/>
        <v>12</v>
      </c>
      <c r="D181" s="12">
        <f t="shared" si="29"/>
        <v>577063</v>
      </c>
      <c r="E181" s="11" t="str">
        <f t="shared" si="30"/>
        <v>22/23</v>
      </c>
      <c r="F181" s="11" t="str">
        <f t="shared" si="31"/>
        <v>Sep</v>
      </c>
      <c r="G181" s="11" t="str">
        <f t="shared" si="32"/>
        <v>Sep'22/23</v>
      </c>
      <c r="H181" s="11" t="str">
        <f t="shared" si="33"/>
        <v>Sep'22/23</v>
      </c>
      <c r="I181" s="11">
        <f t="shared" si="34"/>
        <v>6.1409269999999996</v>
      </c>
    </row>
    <row r="182" spans="2:9" x14ac:dyDescent="0.55000000000000004">
      <c r="B182" s="11">
        <f t="shared" si="35"/>
        <v>10</v>
      </c>
      <c r="C182" s="11">
        <f t="shared" si="36"/>
        <v>1</v>
      </c>
      <c r="D182" s="12">
        <f t="shared" si="29"/>
        <v>472790.29600000003</v>
      </c>
      <c r="E182" s="11" t="str">
        <f t="shared" si="30"/>
        <v>23/24</v>
      </c>
      <c r="F182" s="11" t="str">
        <f t="shared" si="31"/>
        <v>Oct</v>
      </c>
      <c r="G182" s="11" t="str">
        <f t="shared" si="32"/>
        <v>Oct'23/24</v>
      </c>
      <c r="H182" s="11" t="str">
        <f t="shared" si="33"/>
        <v>Oct'23/24</v>
      </c>
      <c r="I182" s="11">
        <f t="shared" si="34"/>
        <v>6.1564732959999997</v>
      </c>
    </row>
    <row r="183" spans="2:9" x14ac:dyDescent="0.55000000000000004">
      <c r="B183" s="11">
        <f t="shared" si="35"/>
        <v>10</v>
      </c>
      <c r="C183" s="11">
        <f t="shared" si="36"/>
        <v>2</v>
      </c>
      <c r="D183" s="12">
        <f t="shared" si="29"/>
        <v>469889.13841835706</v>
      </c>
      <c r="E183" s="11" t="str">
        <f t="shared" si="30"/>
        <v>23/24</v>
      </c>
      <c r="F183" s="11" t="str">
        <f t="shared" si="31"/>
        <v>Nov</v>
      </c>
      <c r="G183" s="11" t="str">
        <f t="shared" si="32"/>
        <v>Nov'23/24</v>
      </c>
      <c r="H183" s="11" t="str">
        <f t="shared" si="33"/>
        <v>Nov'23/24</v>
      </c>
      <c r="I183" s="11">
        <f t="shared" si="34"/>
        <v>6.1792004344183571</v>
      </c>
    </row>
    <row r="184" spans="2:9" x14ac:dyDescent="0.55000000000000004">
      <c r="B184" s="11">
        <f t="shared" si="35"/>
        <v>10</v>
      </c>
      <c r="C184" s="11">
        <f t="shared" si="36"/>
        <v>3</v>
      </c>
      <c r="D184" s="12">
        <f t="shared" si="29"/>
        <v>431393.87</v>
      </c>
      <c r="E184" s="11" t="str">
        <f t="shared" si="30"/>
        <v>23/24</v>
      </c>
      <c r="F184" s="11" t="str">
        <f t="shared" si="31"/>
        <v>Dec</v>
      </c>
      <c r="G184" s="11" t="str">
        <f t="shared" si="32"/>
        <v>Dec'23/24</v>
      </c>
      <c r="H184" s="11" t="str">
        <f t="shared" si="33"/>
        <v>Dec'23/24</v>
      </c>
      <c r="I184" s="11">
        <f t="shared" si="34"/>
        <v>6.1917653044183574</v>
      </c>
    </row>
    <row r="185" spans="2:9" x14ac:dyDescent="0.55000000000000004">
      <c r="B185" s="11">
        <f t="shared" si="35"/>
        <v>10</v>
      </c>
      <c r="C185" s="11">
        <f t="shared" si="36"/>
        <v>4</v>
      </c>
      <c r="D185" s="12">
        <f t="shared" si="29"/>
        <v>481586</v>
      </c>
      <c r="E185" s="11" t="str">
        <f t="shared" si="30"/>
        <v>23/24</v>
      </c>
      <c r="F185" s="11" t="str">
        <f t="shared" si="31"/>
        <v>Jan</v>
      </c>
      <c r="G185" s="11" t="str">
        <f t="shared" si="32"/>
        <v>Jan'23/24</v>
      </c>
      <c r="H185" s="11" t="str">
        <f t="shared" si="33"/>
        <v>Jan'23/24</v>
      </c>
      <c r="I185" s="11">
        <f t="shared" si="34"/>
        <v>6.1791253044183572</v>
      </c>
    </row>
    <row r="186" spans="2:9" x14ac:dyDescent="0.55000000000000004">
      <c r="B186" s="11">
        <f t="shared" si="35"/>
        <v>10</v>
      </c>
      <c r="C186" s="11">
        <f t="shared" si="36"/>
        <v>5</v>
      </c>
      <c r="D186" s="12">
        <f t="shared" si="29"/>
        <v>443472.7098627513</v>
      </c>
      <c r="E186" s="11" t="str">
        <f t="shared" si="30"/>
        <v>23/24</v>
      </c>
      <c r="F186" s="11" t="str">
        <f t="shared" si="31"/>
        <v>Feb</v>
      </c>
      <c r="G186" s="11" t="str">
        <f t="shared" si="32"/>
        <v>Feb'23/24</v>
      </c>
      <c r="H186" s="11" t="str">
        <f t="shared" si="33"/>
        <v>Feb'23/24</v>
      </c>
      <c r="I186" s="11">
        <f t="shared" si="34"/>
        <v>6.1439520142811084</v>
      </c>
    </row>
    <row r="187" spans="2:9" x14ac:dyDescent="0.55000000000000004">
      <c r="B187" s="11">
        <f t="shared" si="35"/>
        <v>10</v>
      </c>
      <c r="C187" s="11">
        <f t="shared" si="36"/>
        <v>6</v>
      </c>
      <c r="D187" s="12">
        <f t="shared" si="29"/>
        <v>329686</v>
      </c>
      <c r="E187" s="11" t="str">
        <f t="shared" si="30"/>
        <v>23/24</v>
      </c>
      <c r="F187" s="11" t="str">
        <f t="shared" si="31"/>
        <v>Mar</v>
      </c>
      <c r="G187" s="11" t="str">
        <f t="shared" si="32"/>
        <v>Mar'23/24</v>
      </c>
      <c r="H187" s="11" t="str">
        <f t="shared" si="33"/>
        <v>Mar'23/24</v>
      </c>
      <c r="I187" s="11">
        <f t="shared" si="34"/>
        <v>5.9858410142811085</v>
      </c>
    </row>
    <row r="188" spans="2:9" x14ac:dyDescent="0.55000000000000004">
      <c r="B188" s="11">
        <f t="shared" si="35"/>
        <v>10</v>
      </c>
      <c r="C188" s="11">
        <f t="shared" si="36"/>
        <v>7</v>
      </c>
      <c r="D188" s="12">
        <f t="shared" si="29"/>
        <v>390977</v>
      </c>
      <c r="E188" s="11" t="str">
        <f t="shared" si="30"/>
        <v>23/24</v>
      </c>
      <c r="F188" s="11" t="str">
        <f t="shared" si="31"/>
        <v>Apr</v>
      </c>
      <c r="G188" s="11" t="str">
        <f t="shared" si="32"/>
        <v>Apr'23/24</v>
      </c>
      <c r="H188" s="11" t="str">
        <f t="shared" si="33"/>
        <v>Apr'23/24</v>
      </c>
      <c r="I188" s="11">
        <f t="shared" si="34"/>
        <v>6.0032080142811077</v>
      </c>
    </row>
    <row r="189" spans="2:9" x14ac:dyDescent="0.55000000000000004">
      <c r="B189" s="11">
        <f t="shared" si="35"/>
        <v>10</v>
      </c>
      <c r="C189" s="11">
        <f t="shared" si="36"/>
        <v>8</v>
      </c>
      <c r="D189" s="12">
        <f t="shared" si="29"/>
        <v>553529</v>
      </c>
      <c r="E189" s="11" t="str">
        <f t="shared" si="30"/>
        <v>23/24</v>
      </c>
      <c r="F189" s="11" t="str">
        <f t="shared" si="31"/>
        <v>May</v>
      </c>
      <c r="G189" s="11" t="str">
        <f t="shared" si="32"/>
        <v>May'23/24</v>
      </c>
      <c r="H189" s="11" t="str">
        <f t="shared" si="33"/>
        <v>May'23/24</v>
      </c>
      <c r="I189" s="11">
        <f t="shared" si="34"/>
        <v>6.103568014281108</v>
      </c>
    </row>
    <row r="190" spans="2:9" x14ac:dyDescent="0.55000000000000004">
      <c r="B190" s="11">
        <f t="shared" si="35"/>
        <v>10</v>
      </c>
      <c r="C190" s="11">
        <f t="shared" si="36"/>
        <v>9</v>
      </c>
      <c r="D190" s="12">
        <f t="shared" si="29"/>
        <v>667037</v>
      </c>
      <c r="E190" s="11" t="str">
        <f t="shared" si="30"/>
        <v>23/24</v>
      </c>
      <c r="F190" s="11" t="str">
        <f t="shared" si="31"/>
        <v>Jun</v>
      </c>
      <c r="G190" s="11" t="str">
        <f t="shared" si="32"/>
        <v>Jun'23/24</v>
      </c>
      <c r="H190" s="11" t="str">
        <f t="shared" si="33"/>
        <v>Jun'23/24</v>
      </c>
      <c r="I190" s="11">
        <f t="shared" si="34"/>
        <v>6.2067730142811079</v>
      </c>
    </row>
    <row r="191" spans="2:9" x14ac:dyDescent="0.55000000000000004">
      <c r="B191" s="11">
        <f t="shared" si="35"/>
        <v>10</v>
      </c>
      <c r="C191" s="11">
        <f t="shared" si="36"/>
        <v>10</v>
      </c>
      <c r="D191" s="12">
        <f t="shared" si="29"/>
        <v>821529</v>
      </c>
      <c r="E191" s="11" t="str">
        <f t="shared" si="30"/>
        <v>23/24</v>
      </c>
      <c r="F191" s="11" t="str">
        <f t="shared" si="31"/>
        <v>Jul</v>
      </c>
      <c r="G191" s="11" t="str">
        <f t="shared" si="32"/>
        <v>Jul'23/24</v>
      </c>
      <c r="H191" s="11" t="str">
        <f t="shared" si="33"/>
        <v>Jul'23/24</v>
      </c>
      <c r="I191" s="11">
        <f t="shared" si="34"/>
        <v>6.3824700142811093</v>
      </c>
    </row>
    <row r="192" spans="2:9" x14ac:dyDescent="0.55000000000000004">
      <c r="B192" s="11">
        <f t="shared" si="35"/>
        <v>10</v>
      </c>
      <c r="C192" s="11">
        <f t="shared" si="36"/>
        <v>11</v>
      </c>
      <c r="D192" s="12">
        <f t="shared" si="29"/>
        <v>837915</v>
      </c>
      <c r="E192" s="11" t="str">
        <f t="shared" si="30"/>
        <v>23/24</v>
      </c>
      <c r="F192" s="11" t="str">
        <f t="shared" si="31"/>
        <v>Aug</v>
      </c>
      <c r="G192" s="11" t="str">
        <f t="shared" si="32"/>
        <v>Aug'23/24</v>
      </c>
      <c r="H192" s="11" t="str">
        <f t="shared" si="33"/>
        <v>Aug'23/24</v>
      </c>
      <c r="I192" s="11">
        <f t="shared" si="34"/>
        <v>6.4768680142811093</v>
      </c>
    </row>
    <row r="193" spans="2:9" x14ac:dyDescent="0.55000000000000004">
      <c r="B193" s="11">
        <f t="shared" si="35"/>
        <v>10</v>
      </c>
      <c r="C193" s="11">
        <f t="shared" si="36"/>
        <v>12</v>
      </c>
      <c r="D193" s="12">
        <f t="shared" si="29"/>
        <v>532212</v>
      </c>
      <c r="E193" s="11" t="str">
        <f t="shared" si="30"/>
        <v>23/24</v>
      </c>
      <c r="F193" s="11" t="str">
        <f t="shared" si="31"/>
        <v>Sep</v>
      </c>
      <c r="G193" s="11" t="str">
        <f t="shared" si="32"/>
        <v>Sep'23/24</v>
      </c>
      <c r="H193" s="11" t="str">
        <f t="shared" si="33"/>
        <v>Sep'23/24</v>
      </c>
      <c r="I193" s="11">
        <f t="shared" si="34"/>
        <v>6.4320170142811088</v>
      </c>
    </row>
    <row r="194" spans="2:9" x14ac:dyDescent="0.55000000000000004">
      <c r="B194" s="11">
        <f t="shared" si="35"/>
        <v>11</v>
      </c>
      <c r="C194" s="11">
        <f t="shared" si="36"/>
        <v>1</v>
      </c>
      <c r="D194" s="12">
        <f t="shared" si="29"/>
        <v>496820</v>
      </c>
      <c r="E194" s="11" t="str">
        <f t="shared" si="30"/>
        <v>24/25</v>
      </c>
      <c r="F194" s="11" t="str">
        <f t="shared" si="31"/>
        <v>Oct</v>
      </c>
      <c r="G194" s="11" t="str">
        <f t="shared" si="32"/>
        <v>Oct'24/25</v>
      </c>
      <c r="H194" s="11" t="str">
        <f t="shared" si="33"/>
        <v>Oct'24/25</v>
      </c>
      <c r="I194" s="11">
        <f t="shared" si="34"/>
        <v>6.456046718281109</v>
      </c>
    </row>
    <row r="195" spans="2:9" x14ac:dyDescent="0.55000000000000004">
      <c r="B195" s="11">
        <f t="shared" si="35"/>
        <v>11</v>
      </c>
      <c r="C195" s="11">
        <f t="shared" si="36"/>
        <v>2</v>
      </c>
      <c r="D195" s="12">
        <f t="shared" si="29"/>
        <v>400536</v>
      </c>
      <c r="E195" s="11" t="str">
        <f t="shared" si="30"/>
        <v>24/25</v>
      </c>
      <c r="F195" s="11" t="str">
        <f t="shared" si="31"/>
        <v>Nov</v>
      </c>
      <c r="G195" s="11" t="str">
        <f t="shared" si="32"/>
        <v>Nov'24/25</v>
      </c>
      <c r="H195" s="11" t="str">
        <f t="shared" si="33"/>
        <v>Nov'24/25</v>
      </c>
      <c r="I195" s="11">
        <f t="shared" si="34"/>
        <v>6.3866935798627509</v>
      </c>
    </row>
    <row r="196" spans="2:9" x14ac:dyDescent="0.55000000000000004">
      <c r="B196" s="11">
        <f t="shared" si="35"/>
        <v>11</v>
      </c>
      <c r="C196" s="11">
        <f t="shared" si="36"/>
        <v>3</v>
      </c>
      <c r="D196" s="12">
        <f t="shared" si="29"/>
        <v>413079</v>
      </c>
      <c r="E196" s="11" t="str">
        <f t="shared" si="30"/>
        <v>24/25</v>
      </c>
      <c r="F196" s="11" t="str">
        <f t="shared" si="31"/>
        <v>Dec</v>
      </c>
      <c r="G196" s="11" t="str">
        <f t="shared" si="32"/>
        <v>Dec'24/25</v>
      </c>
      <c r="H196" s="11" t="str">
        <f t="shared" si="33"/>
        <v>Dec'24/25</v>
      </c>
      <c r="I196" s="11">
        <f t="shared" si="34"/>
        <v>6.3683787098627516</v>
      </c>
    </row>
    <row r="197" spans="2:9" x14ac:dyDescent="0.55000000000000004">
      <c r="B197" s="11">
        <f t="shared" si="35"/>
        <v>11</v>
      </c>
      <c r="C197" s="11">
        <f t="shared" si="36"/>
        <v>4</v>
      </c>
      <c r="D197" s="12">
        <f t="shared" si="29"/>
        <v>550341</v>
      </c>
      <c r="E197" s="11" t="str">
        <f t="shared" si="30"/>
        <v>24/25</v>
      </c>
      <c r="F197" s="11" t="str">
        <f t="shared" si="31"/>
        <v>Jan</v>
      </c>
      <c r="G197" s="11" t="str">
        <f t="shared" si="32"/>
        <v>Jan'24/25</v>
      </c>
      <c r="H197" s="11" t="str">
        <f t="shared" si="33"/>
        <v>Jan'24/25</v>
      </c>
      <c r="I197" s="11">
        <f t="shared" si="34"/>
        <v>6.4371337098627519</v>
      </c>
    </row>
    <row r="198" spans="2:9" x14ac:dyDescent="0.55000000000000004">
      <c r="B198" s="11">
        <f t="shared" si="35"/>
        <v>11</v>
      </c>
      <c r="C198" s="11">
        <f t="shared" si="36"/>
        <v>5</v>
      </c>
      <c r="D198" s="12">
        <f t="shared" si="29"/>
        <v>555760</v>
      </c>
      <c r="E198" s="11" t="str">
        <f t="shared" si="30"/>
        <v>24/25</v>
      </c>
      <c r="F198" s="11" t="str">
        <f t="shared" si="31"/>
        <v>Feb</v>
      </c>
      <c r="G198" s="11" t="str">
        <f t="shared" si="32"/>
        <v>Feb'24/25</v>
      </c>
      <c r="H198" s="11" t="str">
        <f t="shared" si="33"/>
        <v>Feb'24/25</v>
      </c>
      <c r="I198" s="11">
        <f t="shared" si="34"/>
        <v>6.5494209999999997</v>
      </c>
    </row>
    <row r="199" spans="2:9" x14ac:dyDescent="0.55000000000000004">
      <c r="B199" s="11">
        <f t="shared" si="35"/>
        <v>11</v>
      </c>
      <c r="C199" s="11">
        <f t="shared" si="36"/>
        <v>6</v>
      </c>
      <c r="D199" s="12">
        <f t="shared" si="29"/>
        <v>642981</v>
      </c>
      <c r="E199" s="11" t="str">
        <f t="shared" si="30"/>
        <v>24/25</v>
      </c>
      <c r="F199" s="11" t="str">
        <f t="shared" si="31"/>
        <v>Mar</v>
      </c>
      <c r="G199" s="11" t="str">
        <f t="shared" si="32"/>
        <v>Mar'24/25</v>
      </c>
      <c r="H199" s="11" t="str">
        <f t="shared" si="33"/>
        <v>Mar'24/25</v>
      </c>
      <c r="I199" s="11">
        <f t="shared" si="34"/>
        <v>6.8627159999999998</v>
      </c>
    </row>
    <row r="200" spans="2:9" x14ac:dyDescent="0.55000000000000004">
      <c r="B200" s="11">
        <f t="shared" si="35"/>
        <v>11</v>
      </c>
      <c r="C200" s="11">
        <f t="shared" si="36"/>
        <v>7</v>
      </c>
      <c r="D200" s="12">
        <f t="shared" si="29"/>
        <v>694318</v>
      </c>
      <c r="E200" s="11" t="str">
        <f t="shared" si="30"/>
        <v>24/25</v>
      </c>
      <c r="F200" s="11" t="str">
        <f t="shared" si="31"/>
        <v>Apr</v>
      </c>
      <c r="G200" s="11" t="str">
        <f t="shared" si="32"/>
        <v>Apr'24/25</v>
      </c>
      <c r="H200" s="11" t="str">
        <f t="shared" si="33"/>
        <v>Apr'24/25</v>
      </c>
      <c r="I200" s="11">
        <f t="shared" si="34"/>
        <v>7.1660570000000003</v>
      </c>
    </row>
    <row r="201" spans="2:9" x14ac:dyDescent="0.55000000000000004">
      <c r="B201" s="11">
        <f t="shared" si="35"/>
        <v>11</v>
      </c>
      <c r="C201" s="11">
        <f t="shared" si="36"/>
        <v>8</v>
      </c>
      <c r="D201" s="12">
        <f t="shared" si="29"/>
        <v>793445</v>
      </c>
      <c r="E201" s="11" t="str">
        <f t="shared" si="30"/>
        <v>24/25</v>
      </c>
      <c r="F201" s="11" t="str">
        <f t="shared" si="31"/>
        <v>May</v>
      </c>
      <c r="G201" s="11" t="str">
        <f t="shared" si="32"/>
        <v>May'24/25</v>
      </c>
      <c r="H201" s="11" t="str">
        <f t="shared" si="33"/>
        <v>May'24/25</v>
      </c>
      <c r="I201" s="11">
        <f t="shared" si="34"/>
        <v>7.4059730000000004</v>
      </c>
    </row>
    <row r="202" spans="2:9" x14ac:dyDescent="0.55000000000000004">
      <c r="B202" s="11">
        <f t="shared" si="35"/>
        <v>11</v>
      </c>
      <c r="C202" s="11">
        <f t="shared" si="36"/>
        <v>9</v>
      </c>
      <c r="D202" s="12">
        <f t="shared" si="29"/>
        <v>1014062</v>
      </c>
      <c r="E202" s="11" t="str">
        <f t="shared" si="30"/>
        <v>24/25</v>
      </c>
      <c r="F202" s="11" t="str">
        <f t="shared" si="31"/>
        <v>Jun</v>
      </c>
      <c r="G202" s="11" t="str">
        <f t="shared" si="32"/>
        <v>Jun'24/25</v>
      </c>
      <c r="H202" s="11" t="str">
        <f t="shared" si="33"/>
        <v>Jun'24/25</v>
      </c>
      <c r="I202" s="11">
        <f t="shared" si="34"/>
        <v>7.7529979999999998</v>
      </c>
    </row>
    <row r="203" spans="2:9" x14ac:dyDescent="0.55000000000000004">
      <c r="B203" s="11">
        <f t="shared" si="35"/>
        <v>11</v>
      </c>
      <c r="C203" s="11">
        <f t="shared" si="36"/>
        <v>10</v>
      </c>
      <c r="D203" s="12">
        <f t="shared" ref="D203:D229" si="37">INDEX($C$7:$N$19,MATCH(B203,$A$7:$A$19),MATCH(C203,$C$4:$N$4))</f>
        <v>997105</v>
      </c>
      <c r="E203" s="11" t="str">
        <f t="shared" ref="E203:E229" si="38">_xlfn.XLOOKUP(B203,$A$7:$A$19,$B$7:$B$19)</f>
        <v>24/25</v>
      </c>
      <c r="F203" s="11" t="str">
        <f t="shared" ref="F203:F229" si="39">_xlfn.XLOOKUP(C203,$C$4:$N$4,$C$6:$N$6)</f>
        <v>Jul</v>
      </c>
      <c r="G203" s="11" t="str">
        <f t="shared" ref="G203:G229" si="40">_xlfn.CONCAT(F203,"'",E203)</f>
        <v>Jul'24/25</v>
      </c>
      <c r="H203" s="11" t="str">
        <f t="shared" si="33"/>
        <v>Jul'24/25</v>
      </c>
      <c r="I203" s="11">
        <f t="shared" si="34"/>
        <v>7.9285740000000002</v>
      </c>
    </row>
    <row r="204" spans="2:9" x14ac:dyDescent="0.55000000000000004">
      <c r="B204" s="11">
        <f t="shared" si="35"/>
        <v>11</v>
      </c>
      <c r="C204" s="11">
        <f t="shared" si="36"/>
        <v>11</v>
      </c>
      <c r="D204" s="12">
        <f t="shared" si="37"/>
        <v>855441</v>
      </c>
      <c r="E204" s="11" t="str">
        <f t="shared" si="38"/>
        <v>24/25</v>
      </c>
      <c r="F204" s="11" t="str">
        <f t="shared" si="39"/>
        <v>Aug</v>
      </c>
      <c r="G204" s="11" t="str">
        <f t="shared" si="40"/>
        <v>Aug'24/25</v>
      </c>
      <c r="H204" s="11" t="str">
        <f t="shared" si="33"/>
        <v>Aug'24/25</v>
      </c>
      <c r="I204" s="11">
        <f t="shared" si="34"/>
        <v>7.9461000000000004</v>
      </c>
    </row>
    <row r="205" spans="2:9" x14ac:dyDescent="0.55000000000000004">
      <c r="B205" s="11">
        <f t="shared" si="35"/>
        <v>11</v>
      </c>
      <c r="C205" s="11">
        <f t="shared" si="36"/>
        <v>12</v>
      </c>
      <c r="D205" s="12">
        <f t="shared" si="37"/>
        <v>844949</v>
      </c>
      <c r="E205" s="11" t="str">
        <f t="shared" si="38"/>
        <v>24/25</v>
      </c>
      <c r="F205" s="11" t="str">
        <f t="shared" si="39"/>
        <v>Sep</v>
      </c>
      <c r="G205" s="11" t="str">
        <f t="shared" si="40"/>
        <v>Sep'24/25</v>
      </c>
      <c r="H205" s="11" t="str">
        <f t="shared" si="33"/>
        <v>Sep'24/25</v>
      </c>
      <c r="I205" s="11">
        <f t="shared" si="34"/>
        <v>8.2588369999999998</v>
      </c>
    </row>
    <row r="206" spans="2:9" x14ac:dyDescent="0.55000000000000004">
      <c r="B206" s="11">
        <f t="shared" si="35"/>
        <v>12</v>
      </c>
      <c r="C206" s="11">
        <f t="shared" si="36"/>
        <v>1</v>
      </c>
      <c r="D206" s="12">
        <f t="shared" si="37"/>
        <v>685720</v>
      </c>
      <c r="E206" s="11" t="str">
        <f t="shared" si="38"/>
        <v>25/26</v>
      </c>
      <c r="F206" s="11" t="str">
        <f t="shared" si="39"/>
        <v>Oct</v>
      </c>
      <c r="G206" s="11" t="str">
        <f t="shared" si="40"/>
        <v>Oct'25/26</v>
      </c>
      <c r="H206" s="11" t="str">
        <f t="shared" si="33"/>
        <v>Oct'25/26</v>
      </c>
      <c r="I206" s="11">
        <f t="shared" si="34"/>
        <v>8.4477370000000001</v>
      </c>
    </row>
    <row r="207" spans="2:9" x14ac:dyDescent="0.55000000000000004">
      <c r="B207" s="11">
        <f t="shared" si="35"/>
        <v>12</v>
      </c>
      <c r="C207" s="11">
        <f t="shared" si="36"/>
        <v>2</v>
      </c>
      <c r="D207" s="12">
        <f t="shared" si="37"/>
        <v>640328</v>
      </c>
      <c r="E207" s="11" t="str">
        <f t="shared" si="38"/>
        <v>25/26</v>
      </c>
      <c r="F207" s="11" t="str">
        <f t="shared" si="39"/>
        <v>Nov</v>
      </c>
      <c r="G207" s="11" t="str">
        <f t="shared" si="40"/>
        <v>Nov'25/26</v>
      </c>
      <c r="H207" s="11" t="str">
        <f t="shared" si="33"/>
        <v>Nov'25/26</v>
      </c>
      <c r="I207" s="11">
        <f t="shared" si="34"/>
        <v>8.6875289999999996</v>
      </c>
    </row>
    <row r="208" spans="2:9" x14ac:dyDescent="0.55000000000000004">
      <c r="B208" s="11">
        <f t="shared" si="35"/>
        <v>12</v>
      </c>
      <c r="C208" s="11">
        <f t="shared" si="36"/>
        <v>3</v>
      </c>
      <c r="D208" s="12">
        <f t="shared" si="37"/>
        <v>502582</v>
      </c>
      <c r="E208" s="11" t="str">
        <f t="shared" si="38"/>
        <v>25/26</v>
      </c>
      <c r="F208" s="11" t="str">
        <f t="shared" si="39"/>
        <v>Dec</v>
      </c>
      <c r="G208" s="11" t="str">
        <f t="shared" si="40"/>
        <v>Dec'25/26</v>
      </c>
      <c r="H208" s="11" t="str">
        <f t="shared" si="33"/>
        <v>Dec'25/26</v>
      </c>
      <c r="I208" s="11">
        <f t="shared" si="34"/>
        <v>8.7770320000000002</v>
      </c>
    </row>
    <row r="209" spans="2:9" x14ac:dyDescent="0.55000000000000004">
      <c r="B209" s="11">
        <f t="shared" si="35"/>
        <v>12</v>
      </c>
      <c r="C209" s="11">
        <f t="shared" si="36"/>
        <v>4</v>
      </c>
      <c r="D209" s="12">
        <f t="shared" si="37"/>
        <v>569454</v>
      </c>
      <c r="E209" s="11" t="str">
        <f t="shared" si="38"/>
        <v>25/26</v>
      </c>
      <c r="F209" s="11" t="str">
        <f t="shared" si="39"/>
        <v>Jan</v>
      </c>
      <c r="G209" s="11" t="str">
        <f t="shared" si="40"/>
        <v>Jan'25/26</v>
      </c>
      <c r="H209" s="11" t="str">
        <f t="shared" si="33"/>
        <v>Jan'25/26</v>
      </c>
      <c r="I209" s="11">
        <f t="shared" si="34"/>
        <v>8.7961449999999992</v>
      </c>
    </row>
    <row r="210" spans="2:9" x14ac:dyDescent="0.55000000000000004">
      <c r="B210" s="11">
        <f t="shared" si="35"/>
        <v>12</v>
      </c>
      <c r="C210" s="11">
        <f t="shared" si="36"/>
        <v>5</v>
      </c>
      <c r="D210" s="12">
        <f t="shared" si="37"/>
        <v>651933</v>
      </c>
      <c r="E210" s="11" t="str">
        <f t="shared" si="38"/>
        <v>25/26</v>
      </c>
      <c r="F210" s="11" t="str">
        <f t="shared" si="39"/>
        <v>Feb</v>
      </c>
      <c r="G210" s="11" t="str">
        <f t="shared" si="40"/>
        <v>Feb'25/26</v>
      </c>
      <c r="H210" s="11" t="str">
        <f t="shared" si="33"/>
        <v>Feb'25/26</v>
      </c>
      <c r="I210" s="11">
        <f t="shared" si="34"/>
        <v>8.8923179999999995</v>
      </c>
    </row>
    <row r="211" spans="2:9" x14ac:dyDescent="0.55000000000000004">
      <c r="B211" s="11">
        <f t="shared" si="35"/>
        <v>12</v>
      </c>
      <c r="C211" s="11">
        <f t="shared" si="36"/>
        <v>6</v>
      </c>
      <c r="D211" s="12">
        <f t="shared" si="37"/>
        <v>650000</v>
      </c>
      <c r="E211" s="11" t="str">
        <f t="shared" si="38"/>
        <v>25/26</v>
      </c>
      <c r="F211" s="11" t="str">
        <f t="shared" si="39"/>
        <v>Mar</v>
      </c>
      <c r="G211" s="11" t="str">
        <f t="shared" si="40"/>
        <v>Mar'25/26</v>
      </c>
      <c r="H211" s="11" t="str">
        <f t="shared" si="33"/>
        <v>Mar'25/26</v>
      </c>
      <c r="I211" s="11">
        <f t="shared" si="34"/>
        <v>8.8993369999999992</v>
      </c>
    </row>
    <row r="212" spans="2:9" x14ac:dyDescent="0.55000000000000004">
      <c r="B212" s="11">
        <f t="shared" si="35"/>
        <v>12</v>
      </c>
      <c r="C212" s="11">
        <f t="shared" si="36"/>
        <v>7</v>
      </c>
      <c r="D212" s="12">
        <f t="shared" si="37"/>
        <v>591687</v>
      </c>
      <c r="E212" s="11" t="str">
        <f t="shared" si="38"/>
        <v>25/26</v>
      </c>
      <c r="F212" s="11" t="str">
        <f t="shared" si="39"/>
        <v>Apr</v>
      </c>
      <c r="G212" s="11" t="str">
        <f t="shared" si="40"/>
        <v>Apr'25/26</v>
      </c>
      <c r="H212" s="11" t="str">
        <f t="shared" si="33"/>
        <v>Apr'25/26</v>
      </c>
      <c r="I212" s="11">
        <f t="shared" si="34"/>
        <v>8.7967060000000004</v>
      </c>
    </row>
    <row r="213" spans="2:9" x14ac:dyDescent="0.55000000000000004">
      <c r="B213" s="11">
        <f t="shared" si="35"/>
        <v>12</v>
      </c>
      <c r="C213" s="11">
        <f t="shared" si="36"/>
        <v>8</v>
      </c>
      <c r="D213" s="12">
        <f t="shared" si="37"/>
        <v>617491</v>
      </c>
      <c r="E213" s="11" t="str">
        <f t="shared" si="38"/>
        <v>25/26</v>
      </c>
      <c r="F213" s="11" t="str">
        <f t="shared" si="39"/>
        <v>May</v>
      </c>
      <c r="G213" s="11" t="str">
        <f t="shared" si="40"/>
        <v>May'25/26</v>
      </c>
      <c r="H213" s="11" t="str">
        <f t="shared" si="33"/>
        <v>May'25/26</v>
      </c>
      <c r="I213" s="11">
        <f t="shared" si="34"/>
        <v>8.6207519999999995</v>
      </c>
    </row>
    <row r="214" spans="2:9" x14ac:dyDescent="0.55000000000000004">
      <c r="B214" s="11">
        <f t="shared" si="35"/>
        <v>12</v>
      </c>
      <c r="C214" s="11">
        <f t="shared" si="36"/>
        <v>9</v>
      </c>
      <c r="D214" s="12">
        <f t="shared" si="37"/>
        <v>744540</v>
      </c>
      <c r="E214" s="11" t="str">
        <f t="shared" si="38"/>
        <v>25/26</v>
      </c>
      <c r="F214" s="11" t="str">
        <f t="shared" si="39"/>
        <v>Jun</v>
      </c>
      <c r="G214" s="11" t="str">
        <f t="shared" si="40"/>
        <v>Jun'25/26</v>
      </c>
      <c r="H214" s="11" t="str">
        <f t="shared" ref="H214:H229" si="41">G214</f>
        <v>Jun'25/26</v>
      </c>
      <c r="I214" s="11">
        <f t="shared" ref="I214:I229" si="42">SUM(D203:D214)/1000000</f>
        <v>8.3512299999999993</v>
      </c>
    </row>
    <row r="215" spans="2:9" x14ac:dyDescent="0.55000000000000004">
      <c r="B215" s="11">
        <f t="shared" ref="B215:B229" si="43">B203+1</f>
        <v>12</v>
      </c>
      <c r="C215" s="11">
        <f t="shared" ref="C215:C229" si="44">C203</f>
        <v>10</v>
      </c>
      <c r="D215" s="12">
        <f t="shared" si="37"/>
        <v>846376</v>
      </c>
      <c r="E215" s="11" t="str">
        <f t="shared" si="38"/>
        <v>25/26</v>
      </c>
      <c r="F215" s="11" t="str">
        <f t="shared" si="39"/>
        <v>Jul</v>
      </c>
      <c r="G215" s="11" t="str">
        <f t="shared" si="40"/>
        <v>Jul'25/26</v>
      </c>
      <c r="H215" s="11" t="str">
        <f t="shared" si="41"/>
        <v>Jul'25/26</v>
      </c>
      <c r="I215" s="11">
        <f t="shared" si="42"/>
        <v>8.2005009999999992</v>
      </c>
    </row>
    <row r="216" spans="2:9" x14ac:dyDescent="0.55000000000000004">
      <c r="B216" s="11">
        <f t="shared" si="43"/>
        <v>12</v>
      </c>
      <c r="C216" s="11">
        <f t="shared" si="44"/>
        <v>11</v>
      </c>
      <c r="D216" s="12" t="e">
        <f t="shared" si="37"/>
        <v>#N/A</v>
      </c>
      <c r="E216" s="11" t="str">
        <f t="shared" si="38"/>
        <v>25/26</v>
      </c>
      <c r="F216" s="11" t="str">
        <f t="shared" si="39"/>
        <v>Aug</v>
      </c>
      <c r="G216" s="11" t="str">
        <f t="shared" si="40"/>
        <v>Aug'25/26</v>
      </c>
      <c r="H216" s="11" t="str">
        <f t="shared" si="41"/>
        <v>Aug'25/26</v>
      </c>
      <c r="I216" s="11" t="e">
        <f t="shared" si="42"/>
        <v>#N/A</v>
      </c>
    </row>
    <row r="217" spans="2:9" x14ac:dyDescent="0.55000000000000004">
      <c r="B217" s="11">
        <f t="shared" si="43"/>
        <v>12</v>
      </c>
      <c r="C217" s="11">
        <f t="shared" si="44"/>
        <v>12</v>
      </c>
      <c r="D217" s="12" t="e">
        <f t="shared" si="37"/>
        <v>#N/A</v>
      </c>
      <c r="E217" s="11" t="str">
        <f t="shared" si="38"/>
        <v>25/26</v>
      </c>
      <c r="F217" s="11" t="str">
        <f t="shared" si="39"/>
        <v>Sep</v>
      </c>
      <c r="G217" s="11" t="str">
        <f t="shared" si="40"/>
        <v>Sep'25/26</v>
      </c>
      <c r="H217" s="11" t="str">
        <f t="shared" si="41"/>
        <v>Sep'25/26</v>
      </c>
      <c r="I217" s="11" t="e">
        <f t="shared" si="42"/>
        <v>#N/A</v>
      </c>
    </row>
    <row r="218" spans="2:9" x14ac:dyDescent="0.55000000000000004">
      <c r="B218" s="11">
        <f t="shared" si="43"/>
        <v>13</v>
      </c>
      <c r="C218" s="11">
        <f t="shared" si="44"/>
        <v>1</v>
      </c>
      <c r="D218" s="12" t="e">
        <f t="shared" si="37"/>
        <v>#N/A</v>
      </c>
      <c r="E218" s="11" t="str">
        <f t="shared" si="38"/>
        <v>26/27</v>
      </c>
      <c r="F218" s="11" t="str">
        <f t="shared" si="39"/>
        <v>Oct</v>
      </c>
      <c r="G218" s="11" t="str">
        <f t="shared" si="40"/>
        <v>Oct'26/27</v>
      </c>
      <c r="H218" s="11" t="str">
        <f t="shared" si="41"/>
        <v>Oct'26/27</v>
      </c>
      <c r="I218" s="11" t="e">
        <f t="shared" si="42"/>
        <v>#N/A</v>
      </c>
    </row>
    <row r="219" spans="2:9" x14ac:dyDescent="0.55000000000000004">
      <c r="B219" s="11">
        <f t="shared" si="43"/>
        <v>13</v>
      </c>
      <c r="C219" s="11">
        <f t="shared" si="44"/>
        <v>2</v>
      </c>
      <c r="D219" s="12" t="e">
        <f t="shared" si="37"/>
        <v>#N/A</v>
      </c>
      <c r="E219" s="11" t="str">
        <f t="shared" si="38"/>
        <v>26/27</v>
      </c>
      <c r="F219" s="11" t="str">
        <f t="shared" si="39"/>
        <v>Nov</v>
      </c>
      <c r="G219" s="11" t="str">
        <f t="shared" si="40"/>
        <v>Nov'26/27</v>
      </c>
      <c r="H219" s="11" t="str">
        <f t="shared" si="41"/>
        <v>Nov'26/27</v>
      </c>
      <c r="I219" s="11" t="e">
        <f t="shared" si="42"/>
        <v>#N/A</v>
      </c>
    </row>
    <row r="220" spans="2:9" x14ac:dyDescent="0.55000000000000004">
      <c r="B220" s="11">
        <f t="shared" si="43"/>
        <v>13</v>
      </c>
      <c r="C220" s="11">
        <f t="shared" si="44"/>
        <v>3</v>
      </c>
      <c r="D220" s="12" t="e">
        <f t="shared" si="37"/>
        <v>#N/A</v>
      </c>
      <c r="E220" s="11" t="str">
        <f t="shared" si="38"/>
        <v>26/27</v>
      </c>
      <c r="F220" s="11" t="str">
        <f t="shared" si="39"/>
        <v>Dec</v>
      </c>
      <c r="G220" s="11" t="str">
        <f t="shared" si="40"/>
        <v>Dec'26/27</v>
      </c>
      <c r="H220" s="11" t="str">
        <f t="shared" si="41"/>
        <v>Dec'26/27</v>
      </c>
      <c r="I220" s="11" t="e">
        <f t="shared" si="42"/>
        <v>#N/A</v>
      </c>
    </row>
    <row r="221" spans="2:9" x14ac:dyDescent="0.55000000000000004">
      <c r="B221" s="11">
        <f t="shared" si="43"/>
        <v>13</v>
      </c>
      <c r="C221" s="11">
        <f t="shared" si="44"/>
        <v>4</v>
      </c>
      <c r="D221" s="12" t="e">
        <f t="shared" si="37"/>
        <v>#N/A</v>
      </c>
      <c r="E221" s="11" t="str">
        <f t="shared" si="38"/>
        <v>26/27</v>
      </c>
      <c r="F221" s="11" t="str">
        <f t="shared" si="39"/>
        <v>Jan</v>
      </c>
      <c r="G221" s="11" t="str">
        <f t="shared" si="40"/>
        <v>Jan'26/27</v>
      </c>
      <c r="H221" s="11" t="str">
        <f t="shared" si="41"/>
        <v>Jan'26/27</v>
      </c>
      <c r="I221" s="11" t="e">
        <f t="shared" si="42"/>
        <v>#N/A</v>
      </c>
    </row>
    <row r="222" spans="2:9" x14ac:dyDescent="0.55000000000000004">
      <c r="B222" s="11">
        <f t="shared" si="43"/>
        <v>13</v>
      </c>
      <c r="C222" s="11">
        <f t="shared" si="44"/>
        <v>5</v>
      </c>
      <c r="D222" s="12" t="e">
        <f t="shared" si="37"/>
        <v>#N/A</v>
      </c>
      <c r="E222" s="11" t="str">
        <f t="shared" si="38"/>
        <v>26/27</v>
      </c>
      <c r="F222" s="11" t="str">
        <f t="shared" si="39"/>
        <v>Feb</v>
      </c>
      <c r="G222" s="11" t="str">
        <f t="shared" si="40"/>
        <v>Feb'26/27</v>
      </c>
      <c r="H222" s="11" t="str">
        <f t="shared" si="41"/>
        <v>Feb'26/27</v>
      </c>
      <c r="I222" s="11" t="e">
        <f t="shared" si="42"/>
        <v>#N/A</v>
      </c>
    </row>
    <row r="223" spans="2:9" x14ac:dyDescent="0.55000000000000004">
      <c r="B223" s="11">
        <f t="shared" si="43"/>
        <v>13</v>
      </c>
      <c r="C223" s="11">
        <f t="shared" si="44"/>
        <v>6</v>
      </c>
      <c r="D223" s="12" t="e">
        <f t="shared" si="37"/>
        <v>#N/A</v>
      </c>
      <c r="E223" s="11" t="str">
        <f t="shared" si="38"/>
        <v>26/27</v>
      </c>
      <c r="F223" s="11" t="str">
        <f t="shared" si="39"/>
        <v>Mar</v>
      </c>
      <c r="G223" s="11" t="str">
        <f t="shared" si="40"/>
        <v>Mar'26/27</v>
      </c>
      <c r="H223" s="11" t="str">
        <f t="shared" si="41"/>
        <v>Mar'26/27</v>
      </c>
      <c r="I223" s="11" t="e">
        <f t="shared" si="42"/>
        <v>#N/A</v>
      </c>
    </row>
    <row r="224" spans="2:9" x14ac:dyDescent="0.55000000000000004">
      <c r="B224" s="11">
        <f t="shared" si="43"/>
        <v>13</v>
      </c>
      <c r="C224" s="11">
        <f t="shared" si="44"/>
        <v>7</v>
      </c>
      <c r="D224" s="12" t="e">
        <f t="shared" si="37"/>
        <v>#N/A</v>
      </c>
      <c r="E224" s="11" t="str">
        <f t="shared" si="38"/>
        <v>26/27</v>
      </c>
      <c r="F224" s="11" t="str">
        <f t="shared" si="39"/>
        <v>Apr</v>
      </c>
      <c r="G224" s="11" t="str">
        <f t="shared" si="40"/>
        <v>Apr'26/27</v>
      </c>
      <c r="H224" s="11" t="str">
        <f t="shared" si="41"/>
        <v>Apr'26/27</v>
      </c>
      <c r="I224" s="11" t="e">
        <f t="shared" si="42"/>
        <v>#N/A</v>
      </c>
    </row>
    <row r="225" spans="2:9" x14ac:dyDescent="0.55000000000000004">
      <c r="B225" s="11">
        <f t="shared" si="43"/>
        <v>13</v>
      </c>
      <c r="C225" s="11">
        <f t="shared" si="44"/>
        <v>8</v>
      </c>
      <c r="D225" s="12" t="e">
        <f t="shared" si="37"/>
        <v>#N/A</v>
      </c>
      <c r="E225" s="11" t="str">
        <f t="shared" si="38"/>
        <v>26/27</v>
      </c>
      <c r="F225" s="11" t="str">
        <f t="shared" si="39"/>
        <v>May</v>
      </c>
      <c r="G225" s="11" t="str">
        <f t="shared" si="40"/>
        <v>May'26/27</v>
      </c>
      <c r="H225" s="11" t="str">
        <f t="shared" si="41"/>
        <v>May'26/27</v>
      </c>
      <c r="I225" s="11" t="e">
        <f t="shared" si="42"/>
        <v>#N/A</v>
      </c>
    </row>
    <row r="226" spans="2:9" x14ac:dyDescent="0.55000000000000004">
      <c r="B226" s="11">
        <f t="shared" si="43"/>
        <v>13</v>
      </c>
      <c r="C226" s="11">
        <f t="shared" si="44"/>
        <v>9</v>
      </c>
      <c r="D226" s="12" t="e">
        <f t="shared" si="37"/>
        <v>#N/A</v>
      </c>
      <c r="E226" s="11" t="str">
        <f t="shared" si="38"/>
        <v>26/27</v>
      </c>
      <c r="F226" s="11" t="str">
        <f t="shared" si="39"/>
        <v>Jun</v>
      </c>
      <c r="G226" s="11" t="str">
        <f t="shared" si="40"/>
        <v>Jun'26/27</v>
      </c>
      <c r="H226" s="11" t="str">
        <f t="shared" si="41"/>
        <v>Jun'26/27</v>
      </c>
      <c r="I226" s="11" t="e">
        <f t="shared" si="42"/>
        <v>#N/A</v>
      </c>
    </row>
    <row r="227" spans="2:9" x14ac:dyDescent="0.55000000000000004">
      <c r="B227" s="11">
        <f t="shared" si="43"/>
        <v>13</v>
      </c>
      <c r="C227" s="11">
        <f t="shared" si="44"/>
        <v>10</v>
      </c>
      <c r="D227" s="12" t="e">
        <f t="shared" si="37"/>
        <v>#N/A</v>
      </c>
      <c r="E227" s="11" t="str">
        <f t="shared" si="38"/>
        <v>26/27</v>
      </c>
      <c r="F227" s="11" t="str">
        <f t="shared" si="39"/>
        <v>Jul</v>
      </c>
      <c r="G227" s="11" t="str">
        <f t="shared" si="40"/>
        <v>Jul'26/27</v>
      </c>
      <c r="H227" s="11" t="str">
        <f t="shared" si="41"/>
        <v>Jul'26/27</v>
      </c>
      <c r="I227" s="11" t="e">
        <f t="shared" si="42"/>
        <v>#N/A</v>
      </c>
    </row>
    <row r="228" spans="2:9" x14ac:dyDescent="0.55000000000000004">
      <c r="B228" s="11">
        <f t="shared" si="43"/>
        <v>13</v>
      </c>
      <c r="C228" s="11">
        <f t="shared" si="44"/>
        <v>11</v>
      </c>
      <c r="D228" s="12" t="e">
        <f t="shared" si="37"/>
        <v>#N/A</v>
      </c>
      <c r="E228" s="11" t="str">
        <f t="shared" si="38"/>
        <v>26/27</v>
      </c>
      <c r="F228" s="11" t="str">
        <f t="shared" si="39"/>
        <v>Aug</v>
      </c>
      <c r="G228" s="11" t="str">
        <f t="shared" si="40"/>
        <v>Aug'26/27</v>
      </c>
      <c r="H228" s="11" t="str">
        <f t="shared" si="41"/>
        <v>Aug'26/27</v>
      </c>
      <c r="I228" s="11" t="e">
        <f t="shared" si="42"/>
        <v>#N/A</v>
      </c>
    </row>
    <row r="229" spans="2:9" x14ac:dyDescent="0.55000000000000004">
      <c r="B229" s="11">
        <f t="shared" si="43"/>
        <v>13</v>
      </c>
      <c r="C229" s="11">
        <f t="shared" si="44"/>
        <v>12</v>
      </c>
      <c r="D229" s="12" t="e">
        <f t="shared" si="37"/>
        <v>#N/A</v>
      </c>
      <c r="E229" s="11" t="str">
        <f t="shared" si="38"/>
        <v>26/27</v>
      </c>
      <c r="F229" s="11" t="str">
        <f t="shared" si="39"/>
        <v>Sep</v>
      </c>
      <c r="G229" s="11" t="str">
        <f t="shared" si="40"/>
        <v>Sep'26/27</v>
      </c>
      <c r="H229" s="11" t="str">
        <f t="shared" si="41"/>
        <v>Sep'26/27</v>
      </c>
      <c r="I229" s="11" t="e">
        <f t="shared" si="42"/>
        <v>#N/A</v>
      </c>
    </row>
  </sheetData>
  <mergeCells count="4">
    <mergeCell ref="A1:Y2"/>
    <mergeCell ref="C5:N5"/>
    <mergeCell ref="S6:U6"/>
    <mergeCell ref="N74:Y74"/>
  </mergeCells>
  <conditionalFormatting sqref="C7:N19">
    <cfRule type="cellIs" dxfId="3" priority="1" operator="greaterThanOrEqual">
      <formula>0</formula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{AFEF5660-D0CC-4360-A828-318292325E6E}</x14:id>
        </ext>
      </extLst>
    </cfRule>
  </conditionalFormatting>
  <conditionalFormatting sqref="Q17:Q1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{198FC82B-FC6E-4E9C-AA48-46F302C202DB}</x14:id>
        </ext>
      </extLst>
    </cfRule>
  </conditionalFormatting>
  <conditionalFormatting sqref="T7:T19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{565968A4-A8D6-4F97-B294-DAF1218CF89D}</x14:id>
        </ext>
      </extLst>
    </cfRule>
  </conditionalFormatting>
  <conditionalFormatting sqref="U1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{2AB7696E-AD26-4A7D-B18F-D357598CD35C}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EF5660-D0CC-4360-A828-318292325E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Q8:Q16</xm:sqref>
        </x14:conditionalFormatting>
        <x14:conditionalFormatting xmlns:xm="http://schemas.microsoft.com/office/excel/2006/main">
          <x14:cfRule type="dataBar" id="{198FC82B-FC6E-4E9C-AA48-46F302C202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Q17:Q19</xm:sqref>
        </x14:conditionalFormatting>
        <x14:conditionalFormatting xmlns:xm="http://schemas.microsoft.com/office/excel/2006/main">
          <x14:cfRule type="dataBar" id="{565968A4-A8D6-4F97-B294-DAF1218CF8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2AB7696E-AD26-4A7D-B18F-D357598CD3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6F41-21B7-4F8C-AA5B-5E13BC69DE0C}">
  <sheetPr codeName="Sheet11"/>
  <dimension ref="A1:AI229"/>
  <sheetViews>
    <sheetView showGridLines="0" zoomScale="80" zoomScaleNormal="80" workbookViewId="0">
      <selection activeCell="X24" sqref="X24"/>
    </sheetView>
  </sheetViews>
  <sheetFormatPr defaultColWidth="8.83984375" defaultRowHeight="14.4" x14ac:dyDescent="0.55000000000000004"/>
  <cols>
    <col min="1" max="16384" width="8.83984375" style="11"/>
  </cols>
  <sheetData>
    <row r="1" spans="1:35" s="17" customFormat="1" ht="25.8" x14ac:dyDescent="0.55000000000000004">
      <c r="A1" s="73" t="s">
        <v>50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16"/>
      <c r="AA1" s="16"/>
    </row>
    <row r="2" spans="1:35" s="17" customFormat="1" ht="16.899999999999999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Oct-Apr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India : Robusta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Oct-Apr</v>
      </c>
      <c r="T6" s="75"/>
      <c r="U6" s="75"/>
    </row>
    <row r="7" spans="1:35" x14ac:dyDescent="0.55000000000000004">
      <c r="A7" s="14">
        <v>1</v>
      </c>
      <c r="B7" s="6" t="s">
        <v>15</v>
      </c>
      <c r="C7" s="24">
        <v>216199.52516666663</v>
      </c>
      <c r="D7" s="24">
        <v>225169.50683333335</v>
      </c>
      <c r="E7" s="24">
        <v>247948.47050000002</v>
      </c>
      <c r="F7" s="24">
        <v>202874.91749999998</v>
      </c>
      <c r="G7" s="24">
        <v>347897.71833333332</v>
      </c>
      <c r="H7" s="24">
        <v>489139.07550000009</v>
      </c>
      <c r="I7" s="24">
        <v>397733.22550000018</v>
      </c>
      <c r="J7" s="24">
        <v>428970.11283333332</v>
      </c>
      <c r="K7" s="24">
        <v>394031.41383333335</v>
      </c>
      <c r="L7" s="24">
        <v>319585.97366666666</v>
      </c>
      <c r="M7" s="24">
        <v>285226.43133333337</v>
      </c>
      <c r="N7" s="24">
        <v>286073.8191666666</v>
      </c>
      <c r="O7" s="6" t="s">
        <v>15</v>
      </c>
      <c r="P7" s="20">
        <f t="shared" ref="P7:P19" si="0">IF(COUNT(C7:N7)=12,SUM(C7:N7),"")</f>
        <v>3840850.1901666662</v>
      </c>
      <c r="Q7" s="2"/>
      <c r="R7" s="2"/>
      <c r="S7" s="6" t="s">
        <v>15</v>
      </c>
      <c r="T7" s="20">
        <f ca="1">IFERROR(IF(SUM(OFFSET(C7,0,0,1,$C$56))=0,"",SUM(OFFSET(C7,0,0,1,$C$56))),"")</f>
        <v>2126962.4393333336</v>
      </c>
      <c r="U7" s="2"/>
    </row>
    <row r="8" spans="1:35" x14ac:dyDescent="0.55000000000000004">
      <c r="A8" s="14">
        <v>2</v>
      </c>
      <c r="B8" s="6" t="s">
        <v>16</v>
      </c>
      <c r="C8" s="24">
        <v>254949.41516666667</v>
      </c>
      <c r="D8" s="24">
        <v>237904.01883333328</v>
      </c>
      <c r="E8" s="24">
        <v>309924.02250000002</v>
      </c>
      <c r="F8" s="24">
        <v>261188.20016666668</v>
      </c>
      <c r="G8" s="24">
        <v>353304.65200000006</v>
      </c>
      <c r="H8" s="24">
        <v>563964.6778333335</v>
      </c>
      <c r="I8" s="24">
        <v>508618.00999999989</v>
      </c>
      <c r="J8" s="24">
        <v>462167.64316666668</v>
      </c>
      <c r="K8" s="24">
        <v>540751.89083333313</v>
      </c>
      <c r="L8" s="24">
        <v>375033.28033333336</v>
      </c>
      <c r="M8" s="24">
        <v>361769.21933333337</v>
      </c>
      <c r="N8" s="24">
        <v>335480.70416666678</v>
      </c>
      <c r="O8" s="6" t="s">
        <v>16</v>
      </c>
      <c r="P8" s="20">
        <f t="shared" si="0"/>
        <v>4565055.7343333326</v>
      </c>
      <c r="Q8" s="7">
        <f t="shared" ref="Q8:Q17" si="1">IFERROR(P8/P7-1,"")</f>
        <v>0.18855344736453805</v>
      </c>
      <c r="R8" s="2"/>
      <c r="S8" s="6" t="s">
        <v>16</v>
      </c>
      <c r="T8" s="20">
        <f t="shared" ref="T8:T19" ca="1" si="2">IFERROR(IF(SUM(OFFSET(C8,0,0,1,$C$56))=0,"",SUM(OFFSET(C8,0,0,1,$C$56))),"")</f>
        <v>2489852.9964999999</v>
      </c>
      <c r="U8" s="7">
        <f t="shared" ref="U8:U18" ca="1" si="3">IFERROR(T8/T7-1,"")</f>
        <v>0.17061446429698557</v>
      </c>
    </row>
    <row r="9" spans="1:35" x14ac:dyDescent="0.55000000000000004">
      <c r="A9" s="14">
        <v>3</v>
      </c>
      <c r="B9" s="6" t="s">
        <v>17</v>
      </c>
      <c r="C9" s="24">
        <v>321172.20699999999</v>
      </c>
      <c r="D9" s="24">
        <v>311331.18533333333</v>
      </c>
      <c r="E9" s="24">
        <v>354200.14166666666</v>
      </c>
      <c r="F9" s="24">
        <v>263917.1283333333</v>
      </c>
      <c r="G9" s="24">
        <v>382404.64633333345</v>
      </c>
      <c r="H9" s="24">
        <v>587037.27750000008</v>
      </c>
      <c r="I9" s="24">
        <v>483386.97516666685</v>
      </c>
      <c r="J9" s="24">
        <v>452807.03600000014</v>
      </c>
      <c r="K9" s="24">
        <v>482597.16183333355</v>
      </c>
      <c r="L9" s="24">
        <v>416381.82533333322</v>
      </c>
      <c r="M9" s="24">
        <v>469645.57716666686</v>
      </c>
      <c r="N9" s="24">
        <v>431794.48783333343</v>
      </c>
      <c r="O9" s="6" t="s">
        <v>17</v>
      </c>
      <c r="P9" s="20">
        <f t="shared" si="0"/>
        <v>4956675.6495000003</v>
      </c>
      <c r="Q9" s="7">
        <f t="shared" si="1"/>
        <v>8.5786447736296623E-2</v>
      </c>
      <c r="R9" s="2"/>
      <c r="S9" s="6" t="s">
        <v>17</v>
      </c>
      <c r="T9" s="20">
        <f t="shared" ca="1" si="2"/>
        <v>2703449.5613333336</v>
      </c>
      <c r="U9" s="7">
        <f t="shared" ca="1" si="3"/>
        <v>8.57868175886638E-2</v>
      </c>
    </row>
    <row r="10" spans="1:35" x14ac:dyDescent="0.55000000000000004">
      <c r="A10" s="14">
        <v>4</v>
      </c>
      <c r="B10" s="6" t="s">
        <v>18</v>
      </c>
      <c r="C10" s="24">
        <v>325768.29583333334</v>
      </c>
      <c r="D10" s="24">
        <v>342865.38083333336</v>
      </c>
      <c r="E10" s="24">
        <v>396854.73650000006</v>
      </c>
      <c r="F10" s="24">
        <v>272389.46716666676</v>
      </c>
      <c r="G10" s="24">
        <v>417315.55266666674</v>
      </c>
      <c r="H10" s="24">
        <v>595132.43550000014</v>
      </c>
      <c r="I10" s="24">
        <v>465088.57350000012</v>
      </c>
      <c r="J10" s="24">
        <v>461834.71283333324</v>
      </c>
      <c r="K10" s="24">
        <v>493851.83783333341</v>
      </c>
      <c r="L10" s="24">
        <v>338042.18549999973</v>
      </c>
      <c r="M10" s="24">
        <v>298774.71483333339</v>
      </c>
      <c r="N10" s="24">
        <v>339159.94933333353</v>
      </c>
      <c r="O10" s="6" t="s">
        <v>18</v>
      </c>
      <c r="P10" s="20">
        <f t="shared" si="0"/>
        <v>4747077.8423333336</v>
      </c>
      <c r="Q10" s="7">
        <f t="shared" si="1"/>
        <v>-4.2285963816859784E-2</v>
      </c>
      <c r="R10" s="2"/>
      <c r="S10" s="6" t="s">
        <v>18</v>
      </c>
      <c r="T10" s="20">
        <f t="shared" ca="1" si="2"/>
        <v>2815414.4420000007</v>
      </c>
      <c r="U10" s="7">
        <f t="shared" ca="1" si="3"/>
        <v>4.1415561166026071E-2</v>
      </c>
    </row>
    <row r="11" spans="1:35" x14ac:dyDescent="0.55000000000000004">
      <c r="A11" s="14">
        <v>5</v>
      </c>
      <c r="B11" s="6" t="s">
        <v>19</v>
      </c>
      <c r="C11" s="24">
        <v>267026.99199999997</v>
      </c>
      <c r="D11" s="24">
        <v>290722.56833333336</v>
      </c>
      <c r="E11" s="24">
        <v>260514.21283333327</v>
      </c>
      <c r="F11" s="24">
        <v>283351.50666666677</v>
      </c>
      <c r="G11" s="24">
        <v>451894.71083333337</v>
      </c>
      <c r="H11" s="24">
        <v>612124.93100000022</v>
      </c>
      <c r="I11" s="24">
        <v>450550.48366666667</v>
      </c>
      <c r="J11" s="24">
        <v>466713.66816666676</v>
      </c>
      <c r="K11" s="24">
        <v>458598.18933333328</v>
      </c>
      <c r="L11" s="24">
        <v>399473.12050000014</v>
      </c>
      <c r="M11" s="24">
        <v>336993.43966666667</v>
      </c>
      <c r="N11" s="24">
        <v>296220.61166666675</v>
      </c>
      <c r="O11" s="6" t="s">
        <v>19</v>
      </c>
      <c r="P11" s="20">
        <f t="shared" si="0"/>
        <v>4574184.4346666671</v>
      </c>
      <c r="Q11" s="7">
        <f t="shared" si="1"/>
        <v>-3.6421018026046137E-2</v>
      </c>
      <c r="R11" s="2"/>
      <c r="S11" s="6" t="s">
        <v>19</v>
      </c>
      <c r="T11" s="20">
        <f t="shared" ca="1" si="2"/>
        <v>2616185.4053333336</v>
      </c>
      <c r="U11" s="7">
        <f t="shared" ca="1" si="3"/>
        <v>-7.0763662249718307E-2</v>
      </c>
    </row>
    <row r="12" spans="1:35" x14ac:dyDescent="0.55000000000000004">
      <c r="A12" s="14">
        <v>6</v>
      </c>
      <c r="B12" s="6" t="s">
        <v>20</v>
      </c>
      <c r="C12" s="24">
        <v>295580.67500000005</v>
      </c>
      <c r="D12" s="24">
        <v>258429.54833333331</v>
      </c>
      <c r="E12" s="24">
        <v>293327.59133333334</v>
      </c>
      <c r="F12" s="24">
        <v>232871.38683333332</v>
      </c>
      <c r="G12" s="24">
        <v>392673.34366666665</v>
      </c>
      <c r="H12" s="24">
        <v>480771.03616666683</v>
      </c>
      <c r="I12" s="24">
        <v>250157.51316666667</v>
      </c>
      <c r="J12" s="24">
        <v>399959.54466666677</v>
      </c>
      <c r="K12" s="24">
        <v>422562.37266666681</v>
      </c>
      <c r="L12" s="24">
        <v>400961.83250000025</v>
      </c>
      <c r="M12" s="24">
        <v>305873.27250000002</v>
      </c>
      <c r="N12" s="24">
        <v>291632.45200000011</v>
      </c>
      <c r="O12" s="6" t="s">
        <v>20</v>
      </c>
      <c r="P12" s="20">
        <f t="shared" si="0"/>
        <v>4024800.5688333339</v>
      </c>
      <c r="Q12" s="7">
        <f t="shared" si="1"/>
        <v>-0.12010531575195837</v>
      </c>
      <c r="R12" s="2"/>
      <c r="S12" s="6" t="s">
        <v>20</v>
      </c>
      <c r="T12" s="20">
        <f t="shared" ca="1" si="2"/>
        <v>2203811.0945000001</v>
      </c>
      <c r="U12" s="7">
        <f t="shared" ca="1" si="3"/>
        <v>-0.15762426852189859</v>
      </c>
    </row>
    <row r="13" spans="1:35" x14ac:dyDescent="0.55000000000000004">
      <c r="A13" s="14">
        <v>7</v>
      </c>
      <c r="B13" s="6" t="s">
        <v>21</v>
      </c>
      <c r="C13" s="24">
        <v>282263.98733333341</v>
      </c>
      <c r="D13" s="24">
        <v>273229.75966666674</v>
      </c>
      <c r="E13" s="24">
        <v>234570.52616666668</v>
      </c>
      <c r="F13" s="24">
        <v>209088.69333333339</v>
      </c>
      <c r="G13" s="24">
        <v>352559.36683333333</v>
      </c>
      <c r="H13" s="24">
        <v>524836.6649999998</v>
      </c>
      <c r="I13" s="24">
        <v>392962.24466666661</v>
      </c>
      <c r="J13" s="24">
        <v>391784.1988333335</v>
      </c>
      <c r="K13" s="24">
        <v>492899.86683333351</v>
      </c>
      <c r="L13" s="24">
        <v>425051.04866666673</v>
      </c>
      <c r="M13" s="24">
        <v>434322.63900000037</v>
      </c>
      <c r="N13" s="24">
        <v>473763.60483333317</v>
      </c>
      <c r="O13" s="6" t="s">
        <v>21</v>
      </c>
      <c r="P13" s="20">
        <f t="shared" si="0"/>
        <v>4487332.6011666665</v>
      </c>
      <c r="Q13" s="7">
        <f t="shared" si="1"/>
        <v>0.11492048473532357</v>
      </c>
      <c r="R13" s="2"/>
      <c r="S13" s="6" t="s">
        <v>21</v>
      </c>
      <c r="T13" s="20">
        <f t="shared" ca="1" si="2"/>
        <v>2269511.2429999998</v>
      </c>
      <c r="U13" s="7">
        <f t="shared" ca="1" si="3"/>
        <v>2.9812059964652082E-2</v>
      </c>
    </row>
    <row r="14" spans="1:35" x14ac:dyDescent="0.55000000000000004">
      <c r="A14" s="14">
        <v>8</v>
      </c>
      <c r="B14" s="6" t="s">
        <v>22</v>
      </c>
      <c r="C14" s="24">
        <v>415326.51983333332</v>
      </c>
      <c r="D14" s="24">
        <v>427341.54733333341</v>
      </c>
      <c r="E14" s="24">
        <v>548717.98066666664</v>
      </c>
      <c r="F14" s="24">
        <v>460265.15716666676</v>
      </c>
      <c r="G14" s="24">
        <v>408407.19716666685</v>
      </c>
      <c r="H14" s="24">
        <v>537922.91083333362</v>
      </c>
      <c r="I14" s="24">
        <v>542673.79016666673</v>
      </c>
      <c r="J14" s="24">
        <v>551174.72933333344</v>
      </c>
      <c r="K14" s="24">
        <v>517372.60416666669</v>
      </c>
      <c r="L14" s="24">
        <v>443995.97866666678</v>
      </c>
      <c r="M14" s="24">
        <v>413988.51966666686</v>
      </c>
      <c r="N14" s="24">
        <v>437552.50299999997</v>
      </c>
      <c r="O14" s="6" t="s">
        <v>22</v>
      </c>
      <c r="P14" s="20">
        <f t="shared" si="0"/>
        <v>5704739.438000001</v>
      </c>
      <c r="Q14" s="7">
        <f t="shared" si="1"/>
        <v>0.27129855195418751</v>
      </c>
      <c r="R14" s="2"/>
      <c r="S14" s="6" t="s">
        <v>22</v>
      </c>
      <c r="T14" s="20">
        <f t="shared" ca="1" si="2"/>
        <v>3340655.1031666673</v>
      </c>
      <c r="U14" s="7">
        <f t="shared" ca="1" si="3"/>
        <v>0.47197116272081296</v>
      </c>
    </row>
    <row r="15" spans="1:35" x14ac:dyDescent="0.55000000000000004">
      <c r="A15" s="14">
        <v>9</v>
      </c>
      <c r="B15" s="6" t="s">
        <v>23</v>
      </c>
      <c r="C15" s="24">
        <v>351970.24400000006</v>
      </c>
      <c r="D15" s="24">
        <v>334968.84533333342</v>
      </c>
      <c r="E15" s="24">
        <v>305750.58116666664</v>
      </c>
      <c r="F15" s="24">
        <v>305712.9378333335</v>
      </c>
      <c r="G15" s="24">
        <v>436152.53450000007</v>
      </c>
      <c r="H15" s="24">
        <v>566496.32200000016</v>
      </c>
      <c r="I15" s="24">
        <v>496038.81533333316</v>
      </c>
      <c r="J15" s="24">
        <v>466252.89949999988</v>
      </c>
      <c r="K15" s="24">
        <v>462539.9426666667</v>
      </c>
      <c r="L15" s="24">
        <v>435925.13316666661</v>
      </c>
      <c r="M15" s="24">
        <v>362617.86316666659</v>
      </c>
      <c r="N15" s="24">
        <v>349299.87666666677</v>
      </c>
      <c r="O15" s="6" t="s">
        <v>23</v>
      </c>
      <c r="P15" s="20">
        <f t="shared" si="0"/>
        <v>4873725.9953333344</v>
      </c>
      <c r="Q15" s="7">
        <f t="shared" si="1"/>
        <v>-0.14567070971395812</v>
      </c>
      <c r="R15" s="2"/>
      <c r="S15" s="6" t="s">
        <v>23</v>
      </c>
      <c r="T15" s="20">
        <f t="shared" ca="1" si="2"/>
        <v>2797090.2801666674</v>
      </c>
      <c r="U15" s="7">
        <f t="shared" ca="1" si="3"/>
        <v>-0.16271204485753255</v>
      </c>
    </row>
    <row r="16" spans="1:35" x14ac:dyDescent="0.55000000000000004">
      <c r="A16" s="14">
        <v>10</v>
      </c>
      <c r="B16" s="6" t="s">
        <v>24</v>
      </c>
      <c r="C16" s="24">
        <v>329671.25933333347</v>
      </c>
      <c r="D16" s="24">
        <v>330960.30900000001</v>
      </c>
      <c r="E16" s="24">
        <v>267062.71066666674</v>
      </c>
      <c r="F16" s="24">
        <v>279865.78333333327</v>
      </c>
      <c r="G16" s="24">
        <v>557751.03766666667</v>
      </c>
      <c r="H16" s="24">
        <v>714304.39150000026</v>
      </c>
      <c r="I16" s="24">
        <v>487891.00000000035</v>
      </c>
      <c r="J16" s="24">
        <v>619628.80500000017</v>
      </c>
      <c r="K16" s="24">
        <v>547800</v>
      </c>
      <c r="L16" s="24">
        <v>547800</v>
      </c>
      <c r="M16" s="24">
        <v>362617.86316666659</v>
      </c>
      <c r="N16" s="24">
        <v>349299.87666666677</v>
      </c>
      <c r="O16" s="6" t="s">
        <v>24</v>
      </c>
      <c r="P16" s="20">
        <f t="shared" si="0"/>
        <v>5394653.0363333346</v>
      </c>
      <c r="Q16" s="7">
        <f t="shared" si="1"/>
        <v>0.10688476157641924</v>
      </c>
      <c r="R16" s="2"/>
      <c r="S16" s="6" t="s">
        <v>24</v>
      </c>
      <c r="T16" s="20">
        <f t="shared" ca="1" si="2"/>
        <v>2967506.4915000009</v>
      </c>
      <c r="U16" s="7">
        <f t="shared" ca="1" si="3"/>
        <v>6.0926246300201381E-2</v>
      </c>
    </row>
    <row r="17" spans="1:21" x14ac:dyDescent="0.55000000000000004">
      <c r="A17" s="14">
        <v>11</v>
      </c>
      <c r="B17" s="6" t="s">
        <v>25</v>
      </c>
      <c r="C17" s="24">
        <v>243283</v>
      </c>
      <c r="D17" s="24">
        <v>243283</v>
      </c>
      <c r="E17" s="24">
        <v>218900</v>
      </c>
      <c r="F17" s="24">
        <v>320235</v>
      </c>
      <c r="G17" s="24">
        <v>428200</v>
      </c>
      <c r="H17" s="24">
        <f>35261/0.06</f>
        <v>587683.33333333337</v>
      </c>
      <c r="I17" s="24">
        <v>482637</v>
      </c>
      <c r="J17" s="24">
        <v>421033</v>
      </c>
      <c r="K17" s="24">
        <v>422000</v>
      </c>
      <c r="L17" s="24">
        <v>441416</v>
      </c>
      <c r="M17" s="24">
        <v>310366</v>
      </c>
      <c r="N17" s="24">
        <v>324000</v>
      </c>
      <c r="O17" s="6" t="s">
        <v>25</v>
      </c>
      <c r="P17" s="5">
        <f t="shared" si="0"/>
        <v>4443036.333333334</v>
      </c>
      <c r="Q17" s="7">
        <f t="shared" si="1"/>
        <v>-0.17639998283314995</v>
      </c>
      <c r="R17" s="2"/>
      <c r="S17" s="6" t="s">
        <v>25</v>
      </c>
      <c r="T17" s="20">
        <f t="shared" ca="1" si="2"/>
        <v>2524221.3333333335</v>
      </c>
      <c r="U17" s="7">
        <f t="shared" ca="1" si="3"/>
        <v>-0.14937967597927571</v>
      </c>
    </row>
    <row r="18" spans="1:21" x14ac:dyDescent="0.55000000000000004">
      <c r="A18" s="14">
        <v>12</v>
      </c>
      <c r="B18" s="6" t="s">
        <v>26</v>
      </c>
      <c r="C18" s="24">
        <v>313450</v>
      </c>
      <c r="D18" s="24">
        <v>311000</v>
      </c>
      <c r="E18" s="24">
        <v>340000</v>
      </c>
      <c r="F18" s="24">
        <v>300000</v>
      </c>
      <c r="G18" s="24">
        <v>550000</v>
      </c>
      <c r="H18" s="24">
        <f>32958/0.06</f>
        <v>549300</v>
      </c>
      <c r="I18" s="24">
        <f>32710/0.06</f>
        <v>545166.66666666674</v>
      </c>
      <c r="J18" s="24" t="e">
        <f>NA()</f>
        <v>#N/A</v>
      </c>
      <c r="K18" s="24" t="e">
        <f>NA()</f>
        <v>#N/A</v>
      </c>
      <c r="L18" s="24" t="e">
        <f>NA()</f>
        <v>#N/A</v>
      </c>
      <c r="M18" s="24" t="e">
        <f>NA()</f>
        <v>#N/A</v>
      </c>
      <c r="N18" s="24" t="e">
        <f>NA()</f>
        <v>#N/A</v>
      </c>
      <c r="O18" s="6" t="s">
        <v>26</v>
      </c>
      <c r="P18" s="5" t="str">
        <f t="shared" si="0"/>
        <v/>
      </c>
      <c r="Q18" s="7"/>
      <c r="R18" s="2"/>
      <c r="S18" s="6" t="s">
        <v>26</v>
      </c>
      <c r="T18" s="20">
        <f t="shared" ca="1" si="2"/>
        <v>2908916.666666667</v>
      </c>
      <c r="U18" s="7">
        <f t="shared" ca="1" si="3"/>
        <v>0.15240158549223892</v>
      </c>
    </row>
    <row r="19" spans="1:21" x14ac:dyDescent="0.55000000000000004">
      <c r="A19" s="14">
        <v>13</v>
      </c>
      <c r="B19" s="6" t="s">
        <v>27</v>
      </c>
      <c r="C19" s="24" t="e">
        <f>NA()</f>
        <v>#N/A</v>
      </c>
      <c r="D19" s="24" t="e">
        <f>NA()</f>
        <v>#N/A</v>
      </c>
      <c r="E19" s="24" t="e">
        <f>NA()</f>
        <v>#N/A</v>
      </c>
      <c r="F19" s="24" t="e">
        <f>NA()</f>
        <v>#N/A</v>
      </c>
      <c r="G19" s="24" t="e">
        <f>NA()</f>
        <v>#N/A</v>
      </c>
      <c r="H19" s="24" t="e">
        <f>NA()</f>
        <v>#N/A</v>
      </c>
      <c r="I19" s="24" t="e">
        <f>NA()</f>
        <v>#N/A</v>
      </c>
      <c r="J19" s="24" t="e">
        <f>NA()</f>
        <v>#N/A</v>
      </c>
      <c r="K19" s="24" t="e">
        <f>NA()</f>
        <v>#N/A</v>
      </c>
      <c r="L19" s="24" t="e">
        <f>NA()</f>
        <v>#N/A</v>
      </c>
      <c r="M19" s="24" t="e">
        <f>NA()</f>
        <v>#N/A</v>
      </c>
      <c r="N19" s="24" t="e">
        <f>NA()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t="shared" ca="1" si="2"/>
        <v/>
      </c>
      <c r="U19" s="7"/>
    </row>
    <row r="20" spans="1:21" x14ac:dyDescent="0.55000000000000004">
      <c r="B20" s="8" t="s">
        <v>28</v>
      </c>
      <c r="C20" s="22">
        <f>IFERROR(C18/C17-1,"")</f>
        <v>0.28841719314543135</v>
      </c>
      <c r="D20" s="22">
        <f t="shared" ref="D20:N20" si="4">IFERROR(D18/D17-1,"")</f>
        <v>0.27834661690294848</v>
      </c>
      <c r="E20" s="22">
        <f t="shared" si="4"/>
        <v>0.55322064869803556</v>
      </c>
      <c r="F20" s="22">
        <f t="shared" si="4"/>
        <v>-6.3187971333551918E-2</v>
      </c>
      <c r="G20" s="22">
        <f t="shared" si="4"/>
        <v>0.28444652031760853</v>
      </c>
      <c r="H20" s="22">
        <f t="shared" si="4"/>
        <v>-6.5312951986614132E-2</v>
      </c>
      <c r="I20" s="22">
        <f t="shared" si="4"/>
        <v>0.12955837755221156</v>
      </c>
      <c r="J20" s="22" t="str">
        <f t="shared" si="4"/>
        <v/>
      </c>
      <c r="K20" s="22" t="str">
        <f t="shared" si="4"/>
        <v/>
      </c>
      <c r="L20" s="22" t="str">
        <f t="shared" si="4"/>
        <v/>
      </c>
      <c r="M20" s="22" t="str">
        <f t="shared" si="4"/>
        <v/>
      </c>
      <c r="N20" s="22" t="str">
        <f t="shared" si="4"/>
        <v/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India : Robusta Exports | YTD : Oct-Apr</v>
      </c>
      <c r="Q27" s="13" t="str">
        <f>_xlfn.CONCAT(A1," | ","Cumulative")</f>
        <v>India : Robusta Exports | Cumulative</v>
      </c>
    </row>
    <row r="56" spans="2:6" x14ac:dyDescent="0.55000000000000004">
      <c r="B56" s="9" t="s">
        <v>29</v>
      </c>
      <c r="C56" s="9">
        <f>COUNT(C18:N18)</f>
        <v>7</v>
      </c>
      <c r="D56" s="25" t="str">
        <f ca="1">OFFSET(B6,0,$C$56,1,1)</f>
        <v>Apr</v>
      </c>
      <c r="E56" s="11" t="str">
        <f>B18</f>
        <v>25/26</v>
      </c>
      <c r="F56" s="11" t="str">
        <f ca="1">_xlfn.CONCAT(D56,"'",E56)</f>
        <v>Apr'25/26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>B18</f>
        <v>25/26</v>
      </c>
      <c r="B66" s="12">
        <f>C18</f>
        <v>313450</v>
      </c>
      <c r="C66" s="12">
        <f t="shared" ref="C66:M66" si="5">D18</f>
        <v>311000</v>
      </c>
      <c r="D66" s="12">
        <f t="shared" si="5"/>
        <v>340000</v>
      </c>
      <c r="E66" s="12">
        <f t="shared" si="5"/>
        <v>300000</v>
      </c>
      <c r="F66" s="12">
        <f t="shared" si="5"/>
        <v>550000</v>
      </c>
      <c r="G66" s="12">
        <f t="shared" si="5"/>
        <v>549300</v>
      </c>
      <c r="H66" s="12">
        <f t="shared" si="5"/>
        <v>545166.66666666674</v>
      </c>
      <c r="I66" s="12" t="e">
        <f t="shared" si="5"/>
        <v>#N/A</v>
      </c>
      <c r="J66" s="12" t="e">
        <f t="shared" si="5"/>
        <v>#N/A</v>
      </c>
      <c r="K66" s="12" t="e">
        <f t="shared" si="5"/>
        <v>#N/A</v>
      </c>
      <c r="L66" s="12" t="e">
        <f t="shared" si="5"/>
        <v>#N/A</v>
      </c>
      <c r="M66" s="12" t="e">
        <f t="shared" si="5"/>
        <v>#N/A</v>
      </c>
    </row>
    <row r="67" spans="1:25" x14ac:dyDescent="0.55000000000000004">
      <c r="A67" s="11" t="s">
        <v>30</v>
      </c>
      <c r="B67" s="12">
        <f>MIN(C7:C17)</f>
        <v>216199.52516666663</v>
      </c>
      <c r="C67" s="12">
        <f t="shared" ref="C67:M67" si="6">MIN(D7:D17)</f>
        <v>225169.50683333335</v>
      </c>
      <c r="D67" s="12">
        <f t="shared" si="6"/>
        <v>218900</v>
      </c>
      <c r="E67" s="12">
        <f t="shared" si="6"/>
        <v>202874.91749999998</v>
      </c>
      <c r="F67" s="12">
        <f t="shared" si="6"/>
        <v>347897.71833333332</v>
      </c>
      <c r="G67" s="12">
        <f t="shared" si="6"/>
        <v>480771.03616666683</v>
      </c>
      <c r="H67" s="12">
        <f t="shared" si="6"/>
        <v>250157.51316666667</v>
      </c>
      <c r="I67" s="12">
        <f t="shared" si="6"/>
        <v>391784.1988333335</v>
      </c>
      <c r="J67" s="12">
        <f t="shared" si="6"/>
        <v>394031.41383333335</v>
      </c>
      <c r="K67" s="12">
        <f t="shared" si="6"/>
        <v>319585.97366666666</v>
      </c>
      <c r="L67" s="12">
        <f t="shared" si="6"/>
        <v>285226.43133333337</v>
      </c>
      <c r="M67" s="12">
        <f t="shared" si="6"/>
        <v>286073.8191666666</v>
      </c>
      <c r="N67" s="12"/>
    </row>
    <row r="68" spans="1:25" x14ac:dyDescent="0.55000000000000004">
      <c r="A68" s="11" t="s">
        <v>31</v>
      </c>
      <c r="B68" s="12">
        <f>MAX(C7:C17)</f>
        <v>415326.51983333332</v>
      </c>
      <c r="C68" s="12">
        <f t="shared" ref="C68:M68" si="7">MAX(D7:D17)</f>
        <v>427341.54733333341</v>
      </c>
      <c r="D68" s="12">
        <f t="shared" si="7"/>
        <v>548717.98066666664</v>
      </c>
      <c r="E68" s="12">
        <f t="shared" si="7"/>
        <v>460265.15716666676</v>
      </c>
      <c r="F68" s="12">
        <f t="shared" si="7"/>
        <v>557751.03766666667</v>
      </c>
      <c r="G68" s="12">
        <f t="shared" si="7"/>
        <v>714304.39150000026</v>
      </c>
      <c r="H68" s="12">
        <f t="shared" si="7"/>
        <v>542673.79016666673</v>
      </c>
      <c r="I68" s="12">
        <f t="shared" si="7"/>
        <v>619628.80500000017</v>
      </c>
      <c r="J68" s="12">
        <f t="shared" si="7"/>
        <v>547800</v>
      </c>
      <c r="K68" s="12">
        <f t="shared" si="7"/>
        <v>547800</v>
      </c>
      <c r="L68" s="12">
        <f t="shared" si="7"/>
        <v>469645.57716666686</v>
      </c>
      <c r="M68" s="12">
        <f t="shared" si="7"/>
        <v>473763.60483333317</v>
      </c>
      <c r="N68" s="12"/>
    </row>
    <row r="69" spans="1:25" x14ac:dyDescent="0.55000000000000004">
      <c r="A69" s="11" t="s">
        <v>32</v>
      </c>
      <c r="B69" s="12">
        <f>AVERAGE(C13:C17)</f>
        <v>324503.00210000004</v>
      </c>
      <c r="C69" s="12">
        <f t="shared" ref="C69:M69" si="8">AVERAGE(D13:D17)</f>
        <v>321956.69226666668</v>
      </c>
      <c r="D69" s="12">
        <f t="shared" si="8"/>
        <v>315000.35973333335</v>
      </c>
      <c r="E69" s="12">
        <f t="shared" si="8"/>
        <v>315033.51433333341</v>
      </c>
      <c r="F69" s="12">
        <f t="shared" si="8"/>
        <v>436614.02723333344</v>
      </c>
      <c r="G69" s="12">
        <f t="shared" si="8"/>
        <v>586248.72453333344</v>
      </c>
      <c r="H69" s="12">
        <f t="shared" si="8"/>
        <v>480440.57003333338</v>
      </c>
      <c r="I69" s="12">
        <f t="shared" si="8"/>
        <v>489974.72653333342</v>
      </c>
      <c r="J69" s="12">
        <f t="shared" si="8"/>
        <v>488522.48273333337</v>
      </c>
      <c r="K69" s="12">
        <f t="shared" si="8"/>
        <v>458837.63210000005</v>
      </c>
      <c r="L69" s="12">
        <f t="shared" si="8"/>
        <v>376782.57700000011</v>
      </c>
      <c r="M69" s="12">
        <f t="shared" si="8"/>
        <v>386783.17223333329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216199.52516666663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9">INDEX($C$7:$N$19,MATCH(B75,$A$7:$A$19),MATCH(C75,$C$4:$N$4))</f>
        <v>225169.50683333335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9"/>
        <v>247948.47050000002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>
        <f>C7</f>
        <v>216199.52516666663</v>
      </c>
      <c r="O76" s="5">
        <f t="shared" ref="O76:O88" si="13">N76+D7</f>
        <v>441369.03200000001</v>
      </c>
      <c r="P76" s="5">
        <f t="shared" ref="P76:P88" si="14">O76+E7</f>
        <v>689317.50250000006</v>
      </c>
      <c r="Q76" s="5">
        <f t="shared" ref="Q76:Q88" si="15">P76+F7</f>
        <v>892192.42</v>
      </c>
      <c r="R76" s="5">
        <f t="shared" ref="R76:R88" si="16">Q76+G7</f>
        <v>1240090.1383333334</v>
      </c>
      <c r="S76" s="5">
        <f t="shared" ref="S76:S88" si="17">R76+H7</f>
        <v>1729229.2138333335</v>
      </c>
      <c r="T76" s="5">
        <f t="shared" ref="T76:T88" si="18">S76+I7</f>
        <v>2126962.4393333336</v>
      </c>
      <c r="U76" s="5">
        <f t="shared" ref="U76:U88" si="19">T76+J7</f>
        <v>2555932.5521666668</v>
      </c>
      <c r="V76" s="5">
        <f t="shared" ref="V76:V88" si="20">U76+K7</f>
        <v>2949963.966</v>
      </c>
      <c r="W76" s="5">
        <f t="shared" ref="W76:W88" si="21">V76+L7</f>
        <v>3269549.9396666666</v>
      </c>
      <c r="X76" s="5">
        <f t="shared" ref="X76:X88" si="22">W76+M7</f>
        <v>3554776.3709999998</v>
      </c>
      <c r="Y76" s="5">
        <f t="shared" ref="Y76:Y88" si="23">X76+N7</f>
        <v>3840850.1901666662</v>
      </c>
    </row>
    <row r="77" spans="1:25" x14ac:dyDescent="0.55000000000000004">
      <c r="B77" s="11">
        <v>1</v>
      </c>
      <c r="C77" s="11">
        <v>4</v>
      </c>
      <c r="D77" s="12">
        <f t="shared" si="9"/>
        <v>202874.91749999998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24">C8</f>
        <v>254949.41516666667</v>
      </c>
      <c r="O77" s="5">
        <f t="shared" si="13"/>
        <v>492853.43399999995</v>
      </c>
      <c r="P77" s="5">
        <f t="shared" si="14"/>
        <v>802777.45649999997</v>
      </c>
      <c r="Q77" s="5">
        <f t="shared" si="15"/>
        <v>1063965.6566666667</v>
      </c>
      <c r="R77" s="5">
        <f t="shared" si="16"/>
        <v>1417270.3086666667</v>
      </c>
      <c r="S77" s="5">
        <f t="shared" si="17"/>
        <v>1981234.9865000001</v>
      </c>
      <c r="T77" s="5">
        <f t="shared" si="18"/>
        <v>2489852.9964999999</v>
      </c>
      <c r="U77" s="5">
        <f t="shared" si="19"/>
        <v>2952020.6396666667</v>
      </c>
      <c r="V77" s="5">
        <f t="shared" si="20"/>
        <v>3492772.5304999999</v>
      </c>
      <c r="W77" s="5">
        <f t="shared" si="21"/>
        <v>3867805.8108333331</v>
      </c>
      <c r="X77" s="5">
        <f t="shared" si="22"/>
        <v>4229575.030166666</v>
      </c>
      <c r="Y77" s="5">
        <f t="shared" si="23"/>
        <v>4565055.7343333326</v>
      </c>
    </row>
    <row r="78" spans="1:25" x14ac:dyDescent="0.55000000000000004">
      <c r="B78" s="11">
        <v>1</v>
      </c>
      <c r="C78" s="11">
        <v>5</v>
      </c>
      <c r="D78" s="12">
        <f t="shared" si="9"/>
        <v>347897.71833333332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24"/>
        <v>321172.20699999999</v>
      </c>
      <c r="O78" s="5">
        <f t="shared" si="13"/>
        <v>632503.39233333338</v>
      </c>
      <c r="P78" s="5">
        <f t="shared" si="14"/>
        <v>986703.53399999999</v>
      </c>
      <c r="Q78" s="5">
        <f t="shared" si="15"/>
        <v>1250620.6623333334</v>
      </c>
      <c r="R78" s="5">
        <f t="shared" si="16"/>
        <v>1633025.308666667</v>
      </c>
      <c r="S78" s="5">
        <f t="shared" si="17"/>
        <v>2220062.5861666668</v>
      </c>
      <c r="T78" s="5">
        <f t="shared" si="18"/>
        <v>2703449.5613333336</v>
      </c>
      <c r="U78" s="5">
        <f t="shared" si="19"/>
        <v>3156256.5973333339</v>
      </c>
      <c r="V78" s="5">
        <f t="shared" si="20"/>
        <v>3638853.7591666672</v>
      </c>
      <c r="W78" s="5">
        <f t="shared" si="21"/>
        <v>4055235.5845000003</v>
      </c>
      <c r="X78" s="5">
        <f t="shared" si="22"/>
        <v>4524881.1616666671</v>
      </c>
      <c r="Y78" s="5">
        <f t="shared" si="23"/>
        <v>4956675.6495000003</v>
      </c>
    </row>
    <row r="79" spans="1:25" x14ac:dyDescent="0.55000000000000004">
      <c r="B79" s="11">
        <v>1</v>
      </c>
      <c r="C79" s="11">
        <v>6</v>
      </c>
      <c r="D79" s="12">
        <f t="shared" si="9"/>
        <v>489139.07550000009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24"/>
        <v>325768.29583333334</v>
      </c>
      <c r="O79" s="5">
        <f t="shared" si="13"/>
        <v>668633.67666666675</v>
      </c>
      <c r="P79" s="5">
        <f t="shared" si="14"/>
        <v>1065488.4131666669</v>
      </c>
      <c r="Q79" s="5">
        <f t="shared" si="15"/>
        <v>1337877.8803333337</v>
      </c>
      <c r="R79" s="5">
        <f t="shared" si="16"/>
        <v>1755193.4330000004</v>
      </c>
      <c r="S79" s="5">
        <f t="shared" si="17"/>
        <v>2350325.8685000008</v>
      </c>
      <c r="T79" s="5">
        <f t="shared" si="18"/>
        <v>2815414.4420000007</v>
      </c>
      <c r="U79" s="5">
        <f t="shared" si="19"/>
        <v>3277249.154833334</v>
      </c>
      <c r="V79" s="5">
        <f t="shared" si="20"/>
        <v>3771100.9926666673</v>
      </c>
      <c r="W79" s="5">
        <f t="shared" si="21"/>
        <v>4109143.178166667</v>
      </c>
      <c r="X79" s="5">
        <f t="shared" si="22"/>
        <v>4407917.8930000002</v>
      </c>
      <c r="Y79" s="5">
        <f t="shared" si="23"/>
        <v>4747077.8423333336</v>
      </c>
    </row>
    <row r="80" spans="1:25" x14ac:dyDescent="0.55000000000000004">
      <c r="B80" s="11">
        <v>1</v>
      </c>
      <c r="C80" s="11">
        <v>7</v>
      </c>
      <c r="D80" s="12">
        <f t="shared" si="9"/>
        <v>397733.22550000018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24"/>
        <v>267026.99199999997</v>
      </c>
      <c r="O80" s="5">
        <f t="shared" si="13"/>
        <v>557749.56033333333</v>
      </c>
      <c r="P80" s="5">
        <f t="shared" si="14"/>
        <v>818263.77316666662</v>
      </c>
      <c r="Q80" s="5">
        <f t="shared" si="15"/>
        <v>1101615.2798333333</v>
      </c>
      <c r="R80" s="5">
        <f t="shared" si="16"/>
        <v>1553509.9906666668</v>
      </c>
      <c r="S80" s="5">
        <f t="shared" si="17"/>
        <v>2165634.9216666669</v>
      </c>
      <c r="T80" s="5">
        <f t="shared" si="18"/>
        <v>2616185.4053333336</v>
      </c>
      <c r="U80" s="5">
        <f t="shared" si="19"/>
        <v>3082899.0735000004</v>
      </c>
      <c r="V80" s="5">
        <f t="shared" si="20"/>
        <v>3541497.2628333336</v>
      </c>
      <c r="W80" s="5">
        <f t="shared" si="21"/>
        <v>3940970.3833333338</v>
      </c>
      <c r="X80" s="5">
        <f t="shared" si="22"/>
        <v>4277963.8230000008</v>
      </c>
      <c r="Y80" s="5">
        <f t="shared" si="23"/>
        <v>4574184.4346666671</v>
      </c>
    </row>
    <row r="81" spans="2:25" x14ac:dyDescent="0.55000000000000004">
      <c r="B81" s="11">
        <v>1</v>
      </c>
      <c r="C81" s="11">
        <v>8</v>
      </c>
      <c r="D81" s="12">
        <f t="shared" si="9"/>
        <v>428970.11283333332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24"/>
        <v>295580.67500000005</v>
      </c>
      <c r="O81" s="5">
        <f t="shared" si="13"/>
        <v>554010.22333333339</v>
      </c>
      <c r="P81" s="5">
        <f t="shared" si="14"/>
        <v>847337.81466666679</v>
      </c>
      <c r="Q81" s="5">
        <f t="shared" si="15"/>
        <v>1080209.2015000002</v>
      </c>
      <c r="R81" s="5">
        <f t="shared" si="16"/>
        <v>1472882.5451666669</v>
      </c>
      <c r="S81" s="5">
        <f t="shared" si="17"/>
        <v>1953653.5813333336</v>
      </c>
      <c r="T81" s="5">
        <f t="shared" si="18"/>
        <v>2203811.0945000001</v>
      </c>
      <c r="U81" s="5">
        <f t="shared" si="19"/>
        <v>2603770.6391666671</v>
      </c>
      <c r="V81" s="5">
        <f t="shared" si="20"/>
        <v>3026333.0118333339</v>
      </c>
      <c r="W81" s="5">
        <f t="shared" si="21"/>
        <v>3427294.8443333339</v>
      </c>
      <c r="X81" s="5">
        <f t="shared" si="22"/>
        <v>3733168.1168333339</v>
      </c>
      <c r="Y81" s="5">
        <f t="shared" si="23"/>
        <v>4024800.5688333339</v>
      </c>
    </row>
    <row r="82" spans="2:25" x14ac:dyDescent="0.55000000000000004">
      <c r="B82" s="11">
        <v>1</v>
      </c>
      <c r="C82" s="11">
        <v>9</v>
      </c>
      <c r="D82" s="12">
        <f t="shared" si="9"/>
        <v>394031.41383333335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24"/>
        <v>282263.98733333341</v>
      </c>
      <c r="O82" s="5">
        <f t="shared" si="13"/>
        <v>555493.74700000021</v>
      </c>
      <c r="P82" s="5">
        <f t="shared" si="14"/>
        <v>790064.27316666686</v>
      </c>
      <c r="Q82" s="5">
        <f t="shared" si="15"/>
        <v>999152.96650000021</v>
      </c>
      <c r="R82" s="5">
        <f t="shared" si="16"/>
        <v>1351712.3333333335</v>
      </c>
      <c r="S82" s="5">
        <f t="shared" si="17"/>
        <v>1876548.9983333333</v>
      </c>
      <c r="T82" s="5">
        <f t="shared" si="18"/>
        <v>2269511.2429999998</v>
      </c>
      <c r="U82" s="5">
        <f t="shared" si="19"/>
        <v>2661295.4418333331</v>
      </c>
      <c r="V82" s="5">
        <f t="shared" si="20"/>
        <v>3154195.3086666665</v>
      </c>
      <c r="W82" s="5">
        <f t="shared" si="21"/>
        <v>3579246.3573333332</v>
      </c>
      <c r="X82" s="5">
        <f t="shared" si="22"/>
        <v>4013568.9963333337</v>
      </c>
      <c r="Y82" s="5">
        <f t="shared" si="23"/>
        <v>4487332.6011666665</v>
      </c>
    </row>
    <row r="83" spans="2:25" x14ac:dyDescent="0.55000000000000004">
      <c r="B83" s="11">
        <v>1</v>
      </c>
      <c r="C83" s="11">
        <v>10</v>
      </c>
      <c r="D83" s="12">
        <f t="shared" si="9"/>
        <v>319585.97366666666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24"/>
        <v>415326.51983333332</v>
      </c>
      <c r="O83" s="5">
        <f t="shared" si="13"/>
        <v>842668.06716666673</v>
      </c>
      <c r="P83" s="5">
        <f t="shared" si="14"/>
        <v>1391386.0478333333</v>
      </c>
      <c r="Q83" s="5">
        <f t="shared" si="15"/>
        <v>1851651.2050000001</v>
      </c>
      <c r="R83" s="5">
        <f t="shared" si="16"/>
        <v>2260058.4021666669</v>
      </c>
      <c r="S83" s="5">
        <f t="shared" si="17"/>
        <v>2797981.3130000005</v>
      </c>
      <c r="T83" s="5">
        <f t="shared" si="18"/>
        <v>3340655.1031666673</v>
      </c>
      <c r="U83" s="5">
        <f t="shared" si="19"/>
        <v>3891829.8325000005</v>
      </c>
      <c r="V83" s="5">
        <f t="shared" si="20"/>
        <v>4409202.4366666675</v>
      </c>
      <c r="W83" s="5">
        <f t="shared" si="21"/>
        <v>4853198.4153333344</v>
      </c>
      <c r="X83" s="5">
        <f t="shared" si="22"/>
        <v>5267186.9350000015</v>
      </c>
      <c r="Y83" s="5">
        <f t="shared" si="23"/>
        <v>5704739.438000001</v>
      </c>
    </row>
    <row r="84" spans="2:25" x14ac:dyDescent="0.55000000000000004">
      <c r="B84" s="11">
        <v>1</v>
      </c>
      <c r="C84" s="11">
        <v>11</v>
      </c>
      <c r="D84" s="12">
        <f t="shared" si="9"/>
        <v>285226.43133333337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24"/>
        <v>351970.24400000006</v>
      </c>
      <c r="O84" s="5">
        <f t="shared" si="13"/>
        <v>686939.08933333354</v>
      </c>
      <c r="P84" s="5">
        <f t="shared" si="14"/>
        <v>992689.67050000024</v>
      </c>
      <c r="Q84" s="5">
        <f t="shared" si="15"/>
        <v>1298402.6083333339</v>
      </c>
      <c r="R84" s="5">
        <f t="shared" si="16"/>
        <v>1734555.1428333339</v>
      </c>
      <c r="S84" s="5">
        <f t="shared" si="17"/>
        <v>2301051.4648333341</v>
      </c>
      <c r="T84" s="5">
        <f t="shared" si="18"/>
        <v>2797090.2801666674</v>
      </c>
      <c r="U84" s="5">
        <f t="shared" si="19"/>
        <v>3263343.1796666672</v>
      </c>
      <c r="V84" s="5">
        <f t="shared" si="20"/>
        <v>3725883.1223333338</v>
      </c>
      <c r="W84" s="5">
        <f t="shared" si="21"/>
        <v>4161808.2555000004</v>
      </c>
      <c r="X84" s="5">
        <f t="shared" si="22"/>
        <v>4524426.1186666675</v>
      </c>
      <c r="Y84" s="5">
        <f t="shared" si="23"/>
        <v>4873725.9953333344</v>
      </c>
    </row>
    <row r="85" spans="2:25" x14ac:dyDescent="0.55000000000000004">
      <c r="B85" s="11">
        <v>1</v>
      </c>
      <c r="C85" s="11">
        <v>12</v>
      </c>
      <c r="D85" s="12">
        <f t="shared" si="9"/>
        <v>286073.8191666666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>
        <f>SUM(D74:D85)/1000000</f>
        <v>3.8408501901666661</v>
      </c>
      <c r="M85" s="6" t="s">
        <v>24</v>
      </c>
      <c r="N85" s="5">
        <f t="shared" si="24"/>
        <v>329671.25933333347</v>
      </c>
      <c r="O85" s="5">
        <f t="shared" si="13"/>
        <v>660631.56833333347</v>
      </c>
      <c r="P85" s="5">
        <f t="shared" si="14"/>
        <v>927694.27900000021</v>
      </c>
      <c r="Q85" s="5">
        <f t="shared" si="15"/>
        <v>1207560.0623333335</v>
      </c>
      <c r="R85" s="5">
        <f t="shared" si="16"/>
        <v>1765311.1</v>
      </c>
      <c r="S85" s="5">
        <f t="shared" si="17"/>
        <v>2479615.4915000005</v>
      </c>
      <c r="T85" s="5">
        <f t="shared" si="18"/>
        <v>2967506.4915000009</v>
      </c>
      <c r="U85" s="5">
        <f t="shared" si="19"/>
        <v>3587135.2965000011</v>
      </c>
      <c r="V85" s="5">
        <f t="shared" si="20"/>
        <v>4134935.2965000011</v>
      </c>
      <c r="W85" s="5">
        <f t="shared" si="21"/>
        <v>4682735.2965000011</v>
      </c>
      <c r="X85" s="5">
        <f t="shared" si="22"/>
        <v>5045353.1596666677</v>
      </c>
      <c r="Y85" s="5">
        <f t="shared" si="23"/>
        <v>5394653.0363333346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254949.41516666667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25">G86</f>
        <v>Oct'15/16</v>
      </c>
      <c r="I86" s="11">
        <f t="shared" ref="I86:I149" si="26">SUM(D75:D86)/1000000</f>
        <v>3.8796000801666666</v>
      </c>
      <c r="M86" s="6" t="s">
        <v>25</v>
      </c>
      <c r="N86" s="5">
        <f t="shared" si="24"/>
        <v>243283</v>
      </c>
      <c r="O86" s="5">
        <f t="shared" si="13"/>
        <v>486566</v>
      </c>
      <c r="P86" s="5">
        <f t="shared" si="14"/>
        <v>705466</v>
      </c>
      <c r="Q86" s="5">
        <f t="shared" si="15"/>
        <v>1025701</v>
      </c>
      <c r="R86" s="5">
        <f t="shared" si="16"/>
        <v>1453901</v>
      </c>
      <c r="S86" s="5">
        <f t="shared" si="17"/>
        <v>2041584.3333333335</v>
      </c>
      <c r="T86" s="5">
        <f t="shared" si="18"/>
        <v>2524221.3333333335</v>
      </c>
      <c r="U86" s="5">
        <f t="shared" si="19"/>
        <v>2945254.3333333335</v>
      </c>
      <c r="V86" s="5">
        <f t="shared" si="20"/>
        <v>3367254.3333333335</v>
      </c>
      <c r="W86" s="5">
        <f t="shared" si="21"/>
        <v>3808670.3333333335</v>
      </c>
      <c r="X86" s="5">
        <f t="shared" si="22"/>
        <v>4119036.3333333335</v>
      </c>
      <c r="Y86" s="5">
        <f t="shared" si="23"/>
        <v>4443036.333333334</v>
      </c>
    </row>
    <row r="87" spans="2:25" x14ac:dyDescent="0.55000000000000004">
      <c r="B87" s="11">
        <f t="shared" ref="B87:B150" si="27">B75+1</f>
        <v>2</v>
      </c>
      <c r="C87" s="11">
        <f t="shared" ref="C87:C150" si="28">C75</f>
        <v>2</v>
      </c>
      <c r="D87" s="12">
        <f t="shared" si="9"/>
        <v>237904.01883333328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25"/>
        <v>Nov'15/16</v>
      </c>
      <c r="I87" s="11">
        <f t="shared" si="26"/>
        <v>3.8923345921666663</v>
      </c>
      <c r="M87" s="6" t="s">
        <v>26</v>
      </c>
      <c r="N87" s="5">
        <f t="shared" si="24"/>
        <v>313450</v>
      </c>
      <c r="O87" s="5">
        <f t="shared" si="13"/>
        <v>624450</v>
      </c>
      <c r="P87" s="5">
        <f t="shared" si="14"/>
        <v>964450</v>
      </c>
      <c r="Q87" s="5">
        <f t="shared" si="15"/>
        <v>1264450</v>
      </c>
      <c r="R87" s="5">
        <f t="shared" si="16"/>
        <v>1814450</v>
      </c>
      <c r="S87" s="5">
        <f t="shared" si="17"/>
        <v>2363750</v>
      </c>
      <c r="T87" s="5">
        <f t="shared" si="18"/>
        <v>2908916.666666667</v>
      </c>
      <c r="U87" s="5" t="e">
        <f t="shared" si="19"/>
        <v>#N/A</v>
      </c>
      <c r="V87" s="5" t="e">
        <f t="shared" si="20"/>
        <v>#N/A</v>
      </c>
      <c r="W87" s="5" t="e">
        <f t="shared" si="21"/>
        <v>#N/A</v>
      </c>
      <c r="X87" s="5" t="e">
        <f t="shared" si="22"/>
        <v>#N/A</v>
      </c>
      <c r="Y87" s="5" t="e">
        <f t="shared" si="23"/>
        <v>#N/A</v>
      </c>
    </row>
    <row r="88" spans="2:25" x14ac:dyDescent="0.55000000000000004">
      <c r="B88" s="11">
        <f t="shared" si="27"/>
        <v>2</v>
      </c>
      <c r="C88" s="11">
        <f t="shared" si="28"/>
        <v>3</v>
      </c>
      <c r="D88" s="12">
        <f t="shared" si="9"/>
        <v>309924.02250000002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25"/>
        <v>Dec'15/16</v>
      </c>
      <c r="I88" s="11">
        <f t="shared" si="26"/>
        <v>3.9543101441666666</v>
      </c>
      <c r="M88" s="6" t="s">
        <v>27</v>
      </c>
      <c r="N88" s="5" t="e">
        <f t="shared" si="24"/>
        <v>#N/A</v>
      </c>
      <c r="O88" s="5" t="e">
        <f t="shared" si="13"/>
        <v>#N/A</v>
      </c>
      <c r="P88" s="5" t="e">
        <f t="shared" si="14"/>
        <v>#N/A</v>
      </c>
      <c r="Q88" s="5" t="e">
        <f t="shared" si="15"/>
        <v>#N/A</v>
      </c>
      <c r="R88" s="5" t="e">
        <f t="shared" si="16"/>
        <v>#N/A</v>
      </c>
      <c r="S88" s="5" t="e">
        <f t="shared" si="17"/>
        <v>#N/A</v>
      </c>
      <c r="T88" s="5" t="e">
        <f t="shared" si="18"/>
        <v>#N/A</v>
      </c>
      <c r="U88" s="5" t="e">
        <f t="shared" si="19"/>
        <v>#N/A</v>
      </c>
      <c r="V88" s="5" t="e">
        <f t="shared" si="20"/>
        <v>#N/A</v>
      </c>
      <c r="W88" s="5" t="e">
        <f t="shared" si="21"/>
        <v>#N/A</v>
      </c>
      <c r="X88" s="5" t="e">
        <f t="shared" si="22"/>
        <v>#N/A</v>
      </c>
      <c r="Y88" s="5" t="e">
        <f t="shared" si="23"/>
        <v>#N/A</v>
      </c>
    </row>
    <row r="89" spans="2:25" x14ac:dyDescent="0.55000000000000004">
      <c r="B89" s="11">
        <f t="shared" si="27"/>
        <v>2</v>
      </c>
      <c r="C89" s="11">
        <f t="shared" si="28"/>
        <v>4</v>
      </c>
      <c r="D89" s="12">
        <f t="shared" si="9"/>
        <v>261188.20016666668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25"/>
        <v>Jan'15/16</v>
      </c>
      <c r="I89" s="11">
        <f t="shared" si="26"/>
        <v>4.0126234268333336</v>
      </c>
    </row>
    <row r="90" spans="2:25" x14ac:dyDescent="0.55000000000000004">
      <c r="B90" s="11">
        <f t="shared" si="27"/>
        <v>2</v>
      </c>
      <c r="C90" s="11">
        <f t="shared" si="28"/>
        <v>5</v>
      </c>
      <c r="D90" s="12">
        <f t="shared" si="9"/>
        <v>353304.65200000006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25"/>
        <v>Feb'15/16</v>
      </c>
      <c r="I90" s="11">
        <f t="shared" si="26"/>
        <v>4.0180303605000001</v>
      </c>
    </row>
    <row r="91" spans="2:25" x14ac:dyDescent="0.55000000000000004">
      <c r="B91" s="11">
        <f t="shared" si="27"/>
        <v>2</v>
      </c>
      <c r="C91" s="11">
        <f t="shared" si="28"/>
        <v>6</v>
      </c>
      <c r="D91" s="12">
        <f t="shared" si="9"/>
        <v>563964.6778333335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25"/>
        <v>Mar'15/16</v>
      </c>
      <c r="I91" s="11">
        <f t="shared" si="26"/>
        <v>4.0928559628333341</v>
      </c>
    </row>
    <row r="92" spans="2:25" x14ac:dyDescent="0.55000000000000004">
      <c r="B92" s="11">
        <f t="shared" si="27"/>
        <v>2</v>
      </c>
      <c r="C92" s="11">
        <f t="shared" si="28"/>
        <v>7</v>
      </c>
      <c r="D92" s="12">
        <f t="shared" si="9"/>
        <v>508618.00999999989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25"/>
        <v>Apr'15/16</v>
      </c>
      <c r="I92" s="11">
        <f t="shared" si="26"/>
        <v>4.2037407473333337</v>
      </c>
    </row>
    <row r="93" spans="2:25" x14ac:dyDescent="0.55000000000000004">
      <c r="B93" s="11">
        <f t="shared" si="27"/>
        <v>2</v>
      </c>
      <c r="C93" s="11">
        <f t="shared" si="28"/>
        <v>8</v>
      </c>
      <c r="D93" s="12">
        <f t="shared" si="9"/>
        <v>462167.64316666668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25"/>
        <v>May'15/16</v>
      </c>
      <c r="I93" s="11">
        <f t="shared" si="26"/>
        <v>4.2369382776666669</v>
      </c>
    </row>
    <row r="94" spans="2:25" x14ac:dyDescent="0.55000000000000004">
      <c r="B94" s="11">
        <f t="shared" si="27"/>
        <v>2</v>
      </c>
      <c r="C94" s="11">
        <f t="shared" si="28"/>
        <v>9</v>
      </c>
      <c r="D94" s="12">
        <f t="shared" si="9"/>
        <v>540751.89083333313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25"/>
        <v>Jun'15/16</v>
      </c>
      <c r="I94" s="11">
        <f t="shared" si="26"/>
        <v>4.3836587546666665</v>
      </c>
    </row>
    <row r="95" spans="2:25" x14ac:dyDescent="0.55000000000000004">
      <c r="B95" s="11">
        <f t="shared" si="27"/>
        <v>2</v>
      </c>
      <c r="C95" s="11">
        <f t="shared" si="28"/>
        <v>10</v>
      </c>
      <c r="D95" s="12">
        <f t="shared" si="9"/>
        <v>375033.28033333336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25"/>
        <v>Jul'15/16</v>
      </c>
      <c r="I95" s="11">
        <f t="shared" si="26"/>
        <v>4.4391060613333329</v>
      </c>
    </row>
    <row r="96" spans="2:25" x14ac:dyDescent="0.55000000000000004">
      <c r="B96" s="11">
        <f t="shared" si="27"/>
        <v>2</v>
      </c>
      <c r="C96" s="11">
        <f t="shared" si="28"/>
        <v>11</v>
      </c>
      <c r="D96" s="12">
        <f t="shared" si="9"/>
        <v>361769.21933333337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25"/>
        <v>Aug'15/16</v>
      </c>
      <c r="I96" s="11">
        <f t="shared" si="26"/>
        <v>4.5156488493333331</v>
      </c>
    </row>
    <row r="97" spans="2:9" x14ac:dyDescent="0.55000000000000004">
      <c r="B97" s="11">
        <f t="shared" si="27"/>
        <v>2</v>
      </c>
      <c r="C97" s="11">
        <f t="shared" si="28"/>
        <v>12</v>
      </c>
      <c r="D97" s="12">
        <f t="shared" si="9"/>
        <v>335480.70416666678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25"/>
        <v>Sep'15/16</v>
      </c>
      <c r="I97" s="11">
        <f t="shared" si="26"/>
        <v>4.5650557343333329</v>
      </c>
    </row>
    <row r="98" spans="2:9" x14ac:dyDescent="0.55000000000000004">
      <c r="B98" s="11">
        <f t="shared" si="27"/>
        <v>3</v>
      </c>
      <c r="C98" s="11">
        <f t="shared" si="28"/>
        <v>1</v>
      </c>
      <c r="D98" s="12">
        <f t="shared" si="9"/>
        <v>321172.20699999999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25"/>
        <v>Oct'16/17</v>
      </c>
      <c r="I98" s="11">
        <f t="shared" si="26"/>
        <v>4.6312785261666676</v>
      </c>
    </row>
    <row r="99" spans="2:9" x14ac:dyDescent="0.55000000000000004">
      <c r="B99" s="11">
        <f t="shared" si="27"/>
        <v>3</v>
      </c>
      <c r="C99" s="11">
        <f t="shared" si="28"/>
        <v>2</v>
      </c>
      <c r="D99" s="12">
        <f t="shared" si="9"/>
        <v>311331.18533333333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25"/>
        <v>Nov'16/17</v>
      </c>
      <c r="I99" s="11">
        <f t="shared" si="26"/>
        <v>4.7047056926666668</v>
      </c>
    </row>
    <row r="100" spans="2:9" x14ac:dyDescent="0.55000000000000004">
      <c r="B100" s="11">
        <f t="shared" si="27"/>
        <v>3</v>
      </c>
      <c r="C100" s="11">
        <f t="shared" si="28"/>
        <v>3</v>
      </c>
      <c r="D100" s="12">
        <f t="shared" si="9"/>
        <v>354200.14166666666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25"/>
        <v>Dec'16/17</v>
      </c>
      <c r="I100" s="11">
        <f t="shared" si="26"/>
        <v>4.7489818118333336</v>
      </c>
    </row>
    <row r="101" spans="2:9" x14ac:dyDescent="0.55000000000000004">
      <c r="B101" s="11">
        <f t="shared" si="27"/>
        <v>3</v>
      </c>
      <c r="C101" s="11">
        <f t="shared" si="28"/>
        <v>4</v>
      </c>
      <c r="D101" s="12">
        <f t="shared" si="9"/>
        <v>263917.1283333333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25"/>
        <v>Jan'16/17</v>
      </c>
      <c r="I101" s="11">
        <f t="shared" si="26"/>
        <v>4.7517107399999992</v>
      </c>
    </row>
    <row r="102" spans="2:9" x14ac:dyDescent="0.55000000000000004">
      <c r="B102" s="11">
        <f t="shared" si="27"/>
        <v>3</v>
      </c>
      <c r="C102" s="11">
        <f t="shared" si="28"/>
        <v>5</v>
      </c>
      <c r="D102" s="12">
        <f t="shared" si="9"/>
        <v>382404.64633333345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25"/>
        <v>Feb'16/17</v>
      </c>
      <c r="I102" s="11">
        <f t="shared" si="26"/>
        <v>4.7808107343333326</v>
      </c>
    </row>
    <row r="103" spans="2:9" x14ac:dyDescent="0.55000000000000004">
      <c r="B103" s="11">
        <f t="shared" si="27"/>
        <v>3</v>
      </c>
      <c r="C103" s="11">
        <f t="shared" si="28"/>
        <v>6</v>
      </c>
      <c r="D103" s="12">
        <f t="shared" si="9"/>
        <v>587037.27750000008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25"/>
        <v>Mar'16/17</v>
      </c>
      <c r="I103" s="11">
        <f t="shared" si="26"/>
        <v>4.803883334</v>
      </c>
    </row>
    <row r="104" spans="2:9" x14ac:dyDescent="0.55000000000000004">
      <c r="B104" s="11">
        <f t="shared" si="27"/>
        <v>3</v>
      </c>
      <c r="C104" s="11">
        <f t="shared" si="28"/>
        <v>7</v>
      </c>
      <c r="D104" s="12">
        <f t="shared" si="9"/>
        <v>483386.97516666685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25"/>
        <v>Apr'16/17</v>
      </c>
      <c r="I104" s="11">
        <f t="shared" si="26"/>
        <v>4.7786522991666684</v>
      </c>
    </row>
    <row r="105" spans="2:9" x14ac:dyDescent="0.55000000000000004">
      <c r="B105" s="11">
        <f t="shared" si="27"/>
        <v>3</v>
      </c>
      <c r="C105" s="11">
        <f t="shared" si="28"/>
        <v>8</v>
      </c>
      <c r="D105" s="12">
        <f t="shared" si="9"/>
        <v>452807.03600000014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25"/>
        <v>May'16/17</v>
      </c>
      <c r="I105" s="11">
        <f t="shared" si="26"/>
        <v>4.7692916920000012</v>
      </c>
    </row>
    <row r="106" spans="2:9" x14ac:dyDescent="0.55000000000000004">
      <c r="B106" s="11">
        <f t="shared" si="27"/>
        <v>3</v>
      </c>
      <c r="C106" s="11">
        <f t="shared" si="28"/>
        <v>9</v>
      </c>
      <c r="D106" s="12">
        <f t="shared" si="9"/>
        <v>482597.16183333355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25"/>
        <v>Jun'16/17</v>
      </c>
      <c r="I106" s="11">
        <f t="shared" si="26"/>
        <v>4.7111369630000004</v>
      </c>
    </row>
    <row r="107" spans="2:9" x14ac:dyDescent="0.55000000000000004">
      <c r="B107" s="11">
        <f t="shared" si="27"/>
        <v>3</v>
      </c>
      <c r="C107" s="11">
        <f t="shared" si="28"/>
        <v>10</v>
      </c>
      <c r="D107" s="12">
        <f t="shared" si="9"/>
        <v>416381.82533333322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25"/>
        <v>Jul'16/17</v>
      </c>
      <c r="I107" s="11">
        <f t="shared" si="26"/>
        <v>4.7524855080000012</v>
      </c>
    </row>
    <row r="108" spans="2:9" x14ac:dyDescent="0.55000000000000004">
      <c r="B108" s="11">
        <f t="shared" si="27"/>
        <v>3</v>
      </c>
      <c r="C108" s="11">
        <f t="shared" si="28"/>
        <v>11</v>
      </c>
      <c r="D108" s="12">
        <f t="shared" si="9"/>
        <v>469645.57716666686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25"/>
        <v>Aug'16/17</v>
      </c>
      <c r="I108" s="11">
        <f t="shared" si="26"/>
        <v>4.860361865833335</v>
      </c>
    </row>
    <row r="109" spans="2:9" x14ac:dyDescent="0.55000000000000004">
      <c r="B109" s="11">
        <f t="shared" si="27"/>
        <v>3</v>
      </c>
      <c r="C109" s="11">
        <f t="shared" si="28"/>
        <v>12</v>
      </c>
      <c r="D109" s="12">
        <f t="shared" si="9"/>
        <v>431794.48783333343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25"/>
        <v>Sep'16/17</v>
      </c>
      <c r="I109" s="11">
        <f t="shared" si="26"/>
        <v>4.9566756495000002</v>
      </c>
    </row>
    <row r="110" spans="2:9" x14ac:dyDescent="0.55000000000000004">
      <c r="B110" s="11">
        <f t="shared" si="27"/>
        <v>4</v>
      </c>
      <c r="C110" s="11">
        <f t="shared" si="28"/>
        <v>1</v>
      </c>
      <c r="D110" s="12">
        <f t="shared" si="9"/>
        <v>325768.29583333334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25"/>
        <v>Oct'17/18</v>
      </c>
      <c r="I110" s="11">
        <f t="shared" si="26"/>
        <v>4.961271738333334</v>
      </c>
    </row>
    <row r="111" spans="2:9" x14ac:dyDescent="0.55000000000000004">
      <c r="B111" s="11">
        <f t="shared" si="27"/>
        <v>4</v>
      </c>
      <c r="C111" s="11">
        <f t="shared" si="28"/>
        <v>2</v>
      </c>
      <c r="D111" s="12">
        <f t="shared" si="9"/>
        <v>342865.38083333336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25"/>
        <v>Nov'17/18</v>
      </c>
      <c r="I111" s="11">
        <f t="shared" si="26"/>
        <v>4.9928059338333339</v>
      </c>
    </row>
    <row r="112" spans="2:9" x14ac:dyDescent="0.55000000000000004">
      <c r="B112" s="11">
        <f t="shared" si="27"/>
        <v>4</v>
      </c>
      <c r="C112" s="11">
        <f t="shared" si="28"/>
        <v>3</v>
      </c>
      <c r="D112" s="12">
        <f t="shared" si="9"/>
        <v>396854.73650000006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25"/>
        <v>Dec'17/18</v>
      </c>
      <c r="I112" s="11">
        <f t="shared" si="26"/>
        <v>5.0354605286666665</v>
      </c>
    </row>
    <row r="113" spans="2:9" x14ac:dyDescent="0.55000000000000004">
      <c r="B113" s="11">
        <f t="shared" si="27"/>
        <v>4</v>
      </c>
      <c r="C113" s="11">
        <f t="shared" si="28"/>
        <v>4</v>
      </c>
      <c r="D113" s="12">
        <f t="shared" si="9"/>
        <v>272389.46716666676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25"/>
        <v>Jan'17/18</v>
      </c>
      <c r="I113" s="11">
        <f t="shared" si="26"/>
        <v>5.0439328675000006</v>
      </c>
    </row>
    <row r="114" spans="2:9" x14ac:dyDescent="0.55000000000000004">
      <c r="B114" s="11">
        <f t="shared" si="27"/>
        <v>4</v>
      </c>
      <c r="C114" s="11">
        <f t="shared" si="28"/>
        <v>5</v>
      </c>
      <c r="D114" s="12">
        <f t="shared" si="9"/>
        <v>417315.55266666674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25"/>
        <v>Feb'17/18</v>
      </c>
      <c r="I114" s="11">
        <f t="shared" si="26"/>
        <v>5.0788437738333343</v>
      </c>
    </row>
    <row r="115" spans="2:9" x14ac:dyDescent="0.55000000000000004">
      <c r="B115" s="11">
        <f t="shared" si="27"/>
        <v>4</v>
      </c>
      <c r="C115" s="11">
        <f t="shared" si="28"/>
        <v>6</v>
      </c>
      <c r="D115" s="12">
        <f t="shared" si="9"/>
        <v>595132.43550000014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25"/>
        <v>Mar'17/18</v>
      </c>
      <c r="I115" s="11">
        <f t="shared" si="26"/>
        <v>5.086938931833334</v>
      </c>
    </row>
    <row r="116" spans="2:9" x14ac:dyDescent="0.55000000000000004">
      <c r="B116" s="11">
        <f t="shared" si="27"/>
        <v>4</v>
      </c>
      <c r="C116" s="11">
        <f t="shared" si="28"/>
        <v>7</v>
      </c>
      <c r="D116" s="12">
        <f t="shared" si="9"/>
        <v>465088.57350000012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25"/>
        <v>Apr'17/18</v>
      </c>
      <c r="I116" s="11">
        <f t="shared" si="26"/>
        <v>5.0686405301666682</v>
      </c>
    </row>
    <row r="117" spans="2:9" x14ac:dyDescent="0.55000000000000004">
      <c r="B117" s="11">
        <f t="shared" si="27"/>
        <v>4</v>
      </c>
      <c r="C117" s="11">
        <f t="shared" si="28"/>
        <v>8</v>
      </c>
      <c r="D117" s="12">
        <f t="shared" si="9"/>
        <v>461834.71283333324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25"/>
        <v>May'17/18</v>
      </c>
      <c r="I117" s="11">
        <f t="shared" si="26"/>
        <v>5.0776682070000003</v>
      </c>
    </row>
    <row r="118" spans="2:9" x14ac:dyDescent="0.55000000000000004">
      <c r="B118" s="11">
        <f t="shared" si="27"/>
        <v>4</v>
      </c>
      <c r="C118" s="11">
        <f t="shared" si="28"/>
        <v>9</v>
      </c>
      <c r="D118" s="12">
        <f t="shared" si="9"/>
        <v>493851.83783333341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25"/>
        <v>Jun'17/18</v>
      </c>
      <c r="I118" s="11">
        <f t="shared" si="26"/>
        <v>5.0889228830000013</v>
      </c>
    </row>
    <row r="119" spans="2:9" x14ac:dyDescent="0.55000000000000004">
      <c r="B119" s="11">
        <f t="shared" si="27"/>
        <v>4</v>
      </c>
      <c r="C119" s="11">
        <f t="shared" si="28"/>
        <v>10</v>
      </c>
      <c r="D119" s="12">
        <f t="shared" si="9"/>
        <v>338042.18549999973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25"/>
        <v>Jul'17/18</v>
      </c>
      <c r="I119" s="11">
        <f t="shared" si="26"/>
        <v>5.0105832431666677</v>
      </c>
    </row>
    <row r="120" spans="2:9" x14ac:dyDescent="0.55000000000000004">
      <c r="B120" s="11">
        <f t="shared" si="27"/>
        <v>4</v>
      </c>
      <c r="C120" s="11">
        <f t="shared" si="28"/>
        <v>11</v>
      </c>
      <c r="D120" s="12">
        <f t="shared" si="9"/>
        <v>298774.71483333339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25"/>
        <v>Aug'17/18</v>
      </c>
      <c r="I120" s="11">
        <f t="shared" si="26"/>
        <v>4.8397123808333333</v>
      </c>
    </row>
    <row r="121" spans="2:9" x14ac:dyDescent="0.55000000000000004">
      <c r="B121" s="11">
        <f t="shared" si="27"/>
        <v>4</v>
      </c>
      <c r="C121" s="11">
        <f t="shared" si="28"/>
        <v>12</v>
      </c>
      <c r="D121" s="12">
        <f t="shared" si="9"/>
        <v>339159.94933333353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25"/>
        <v>Sep'17/18</v>
      </c>
      <c r="I121" s="11">
        <f t="shared" si="26"/>
        <v>4.7470778423333337</v>
      </c>
    </row>
    <row r="122" spans="2:9" x14ac:dyDescent="0.55000000000000004">
      <c r="B122" s="11">
        <f t="shared" si="27"/>
        <v>5</v>
      </c>
      <c r="C122" s="11">
        <f t="shared" si="28"/>
        <v>1</v>
      </c>
      <c r="D122" s="12">
        <f t="shared" si="9"/>
        <v>267026.99199999997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25"/>
        <v>Oct'18/19</v>
      </c>
      <c r="I122" s="11">
        <f t="shared" si="26"/>
        <v>4.6883365384999998</v>
      </c>
    </row>
    <row r="123" spans="2:9" x14ac:dyDescent="0.55000000000000004">
      <c r="B123" s="11">
        <f t="shared" si="27"/>
        <v>5</v>
      </c>
      <c r="C123" s="11">
        <f t="shared" si="28"/>
        <v>2</v>
      </c>
      <c r="D123" s="12">
        <f t="shared" si="9"/>
        <v>290722.56833333336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25"/>
        <v>Nov'18/19</v>
      </c>
      <c r="I123" s="11">
        <f t="shared" si="26"/>
        <v>4.6361937260000001</v>
      </c>
    </row>
    <row r="124" spans="2:9" x14ac:dyDescent="0.55000000000000004">
      <c r="B124" s="11">
        <f t="shared" si="27"/>
        <v>5</v>
      </c>
      <c r="C124" s="11">
        <f t="shared" si="28"/>
        <v>3</v>
      </c>
      <c r="D124" s="12">
        <f t="shared" si="9"/>
        <v>260514.21283333327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25"/>
        <v>Dec'18/19</v>
      </c>
      <c r="I124" s="11">
        <f t="shared" si="26"/>
        <v>4.499853202333334</v>
      </c>
    </row>
    <row r="125" spans="2:9" x14ac:dyDescent="0.55000000000000004">
      <c r="B125" s="11">
        <f t="shared" si="27"/>
        <v>5</v>
      </c>
      <c r="C125" s="11">
        <f t="shared" si="28"/>
        <v>4</v>
      </c>
      <c r="D125" s="12">
        <f t="shared" si="9"/>
        <v>283351.50666666677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25"/>
        <v>Jan'18/19</v>
      </c>
      <c r="I125" s="11">
        <f t="shared" si="26"/>
        <v>4.5108152418333338</v>
      </c>
    </row>
    <row r="126" spans="2:9" x14ac:dyDescent="0.55000000000000004">
      <c r="B126" s="11">
        <f t="shared" si="27"/>
        <v>5</v>
      </c>
      <c r="C126" s="11">
        <f t="shared" si="28"/>
        <v>5</v>
      </c>
      <c r="D126" s="12">
        <f t="shared" si="9"/>
        <v>451894.71083333337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25"/>
        <v>Feb'18/19</v>
      </c>
      <c r="I126" s="11">
        <f t="shared" si="26"/>
        <v>4.5453944000000002</v>
      </c>
    </row>
    <row r="127" spans="2:9" x14ac:dyDescent="0.55000000000000004">
      <c r="B127" s="11">
        <f t="shared" si="27"/>
        <v>5</v>
      </c>
      <c r="C127" s="11">
        <f t="shared" si="28"/>
        <v>6</v>
      </c>
      <c r="D127" s="12">
        <f t="shared" si="9"/>
        <v>612124.93100000022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25"/>
        <v>Mar'18/19</v>
      </c>
      <c r="I127" s="11">
        <f t="shared" si="26"/>
        <v>4.5623868955000004</v>
      </c>
    </row>
    <row r="128" spans="2:9" x14ac:dyDescent="0.55000000000000004">
      <c r="B128" s="11">
        <f t="shared" si="27"/>
        <v>5</v>
      </c>
      <c r="C128" s="11">
        <f t="shared" si="28"/>
        <v>7</v>
      </c>
      <c r="D128" s="12">
        <f t="shared" si="9"/>
        <v>450550.48366666667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25"/>
        <v>Apr'18/19</v>
      </c>
      <c r="I128" s="11">
        <f t="shared" si="26"/>
        <v>4.5478488056666677</v>
      </c>
    </row>
    <row r="129" spans="2:9" x14ac:dyDescent="0.55000000000000004">
      <c r="B129" s="11">
        <f t="shared" si="27"/>
        <v>5</v>
      </c>
      <c r="C129" s="11">
        <f t="shared" si="28"/>
        <v>8</v>
      </c>
      <c r="D129" s="12">
        <f t="shared" si="9"/>
        <v>466713.66816666676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25"/>
        <v>May'18/19</v>
      </c>
      <c r="I129" s="11">
        <f t="shared" si="26"/>
        <v>4.5527277610000008</v>
      </c>
    </row>
    <row r="130" spans="2:9" x14ac:dyDescent="0.55000000000000004">
      <c r="B130" s="11">
        <f t="shared" si="27"/>
        <v>5</v>
      </c>
      <c r="C130" s="11">
        <f t="shared" si="28"/>
        <v>9</v>
      </c>
      <c r="D130" s="12">
        <f t="shared" si="9"/>
        <v>458598.18933333328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25"/>
        <v>Jun'18/19</v>
      </c>
      <c r="I130" s="11">
        <f t="shared" si="26"/>
        <v>4.5174741125000004</v>
      </c>
    </row>
    <row r="131" spans="2:9" x14ac:dyDescent="0.55000000000000004">
      <c r="B131" s="11">
        <f t="shared" si="27"/>
        <v>5</v>
      </c>
      <c r="C131" s="11">
        <f t="shared" si="28"/>
        <v>10</v>
      </c>
      <c r="D131" s="12">
        <f t="shared" si="9"/>
        <v>399473.12050000014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25"/>
        <v>Jul'18/19</v>
      </c>
      <c r="I131" s="11">
        <f t="shared" si="26"/>
        <v>4.5789050475000002</v>
      </c>
    </row>
    <row r="132" spans="2:9" x14ac:dyDescent="0.55000000000000004">
      <c r="B132" s="11">
        <f t="shared" si="27"/>
        <v>5</v>
      </c>
      <c r="C132" s="11">
        <f t="shared" si="28"/>
        <v>11</v>
      </c>
      <c r="D132" s="12">
        <f t="shared" si="9"/>
        <v>336993.43966666667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25"/>
        <v>Aug'18/19</v>
      </c>
      <c r="I132" s="11">
        <f t="shared" si="26"/>
        <v>4.6171237723333345</v>
      </c>
    </row>
    <row r="133" spans="2:9" x14ac:dyDescent="0.55000000000000004">
      <c r="B133" s="11">
        <f t="shared" si="27"/>
        <v>5</v>
      </c>
      <c r="C133" s="11">
        <f t="shared" si="28"/>
        <v>12</v>
      </c>
      <c r="D133" s="12">
        <f t="shared" si="9"/>
        <v>296220.61166666675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25"/>
        <v>Sep'18/19</v>
      </c>
      <c r="I133" s="11">
        <f t="shared" si="26"/>
        <v>4.5741844346666669</v>
      </c>
    </row>
    <row r="134" spans="2:9" x14ac:dyDescent="0.55000000000000004">
      <c r="B134" s="11">
        <f t="shared" si="27"/>
        <v>6</v>
      </c>
      <c r="C134" s="11">
        <f t="shared" si="28"/>
        <v>1</v>
      </c>
      <c r="D134" s="12">
        <f t="shared" si="9"/>
        <v>295580.67500000005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25"/>
        <v>Oct'19/20</v>
      </c>
      <c r="I134" s="11">
        <f t="shared" si="26"/>
        <v>4.6027381176666671</v>
      </c>
    </row>
    <row r="135" spans="2:9" x14ac:dyDescent="0.55000000000000004">
      <c r="B135" s="11">
        <f t="shared" si="27"/>
        <v>6</v>
      </c>
      <c r="C135" s="11">
        <f t="shared" si="28"/>
        <v>2</v>
      </c>
      <c r="D135" s="12">
        <f t="shared" si="9"/>
        <v>258429.54833333331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25"/>
        <v>Nov'19/20</v>
      </c>
      <c r="I135" s="11">
        <f t="shared" si="26"/>
        <v>4.5704450976666671</v>
      </c>
    </row>
    <row r="136" spans="2:9" x14ac:dyDescent="0.55000000000000004">
      <c r="B136" s="11">
        <f t="shared" si="27"/>
        <v>6</v>
      </c>
      <c r="C136" s="11">
        <f t="shared" si="28"/>
        <v>3</v>
      </c>
      <c r="D136" s="12">
        <f t="shared" si="9"/>
        <v>293327.59133333334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25"/>
        <v>Dec'19/20</v>
      </c>
      <c r="I136" s="11">
        <f t="shared" si="26"/>
        <v>4.6032584761666664</v>
      </c>
    </row>
    <row r="137" spans="2:9" x14ac:dyDescent="0.55000000000000004">
      <c r="B137" s="11">
        <f t="shared" si="27"/>
        <v>6</v>
      </c>
      <c r="C137" s="11">
        <f t="shared" si="28"/>
        <v>4</v>
      </c>
      <c r="D137" s="12">
        <f t="shared" si="9"/>
        <v>232871.38683333332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25"/>
        <v>Jan'19/20</v>
      </c>
      <c r="I137" s="11">
        <f t="shared" si="26"/>
        <v>4.5527783563333335</v>
      </c>
    </row>
    <row r="138" spans="2:9" x14ac:dyDescent="0.55000000000000004">
      <c r="B138" s="11">
        <f t="shared" si="27"/>
        <v>6</v>
      </c>
      <c r="C138" s="11">
        <f t="shared" si="28"/>
        <v>5</v>
      </c>
      <c r="D138" s="12">
        <f t="shared" si="9"/>
        <v>392673.34366666665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25"/>
        <v>Feb'19/20</v>
      </c>
      <c r="I138" s="11">
        <f t="shared" si="26"/>
        <v>4.4935569891666676</v>
      </c>
    </row>
    <row r="139" spans="2:9" x14ac:dyDescent="0.55000000000000004">
      <c r="B139" s="11">
        <f t="shared" si="27"/>
        <v>6</v>
      </c>
      <c r="C139" s="11">
        <f t="shared" si="28"/>
        <v>6</v>
      </c>
      <c r="D139" s="12">
        <f t="shared" ref="D139:D202" si="29">INDEX($C$7:$N$19,MATCH(B139,$A$7:$A$19),MATCH(C139,$C$4:$N$4))</f>
        <v>480771.03616666683</v>
      </c>
      <c r="E139" s="11" t="str">
        <f t="shared" ref="E139:E202" si="30">_xlfn.XLOOKUP(B139,$A$7:$A$19,$B$7:$B$19)</f>
        <v>19/20</v>
      </c>
      <c r="F139" s="11" t="str">
        <f t="shared" ref="F139:F202" si="31">_xlfn.XLOOKUP(C139,$C$4:$N$4,$C$6:$N$6)</f>
        <v>Mar</v>
      </c>
      <c r="G139" s="11" t="str">
        <f t="shared" ref="G139:G202" si="32">_xlfn.CONCAT(F139,"'",E139)</f>
        <v>Mar'19/20</v>
      </c>
      <c r="H139" s="11" t="str">
        <f t="shared" si="25"/>
        <v>Mar'19/20</v>
      </c>
      <c r="I139" s="11">
        <f t="shared" si="26"/>
        <v>4.3622030943333341</v>
      </c>
    </row>
    <row r="140" spans="2:9" x14ac:dyDescent="0.55000000000000004">
      <c r="B140" s="11">
        <f t="shared" si="27"/>
        <v>6</v>
      </c>
      <c r="C140" s="11">
        <f t="shared" si="28"/>
        <v>7</v>
      </c>
      <c r="D140" s="12">
        <f t="shared" si="29"/>
        <v>250157.51316666667</v>
      </c>
      <c r="E140" s="11" t="str">
        <f t="shared" si="30"/>
        <v>19/20</v>
      </c>
      <c r="F140" s="11" t="str">
        <f t="shared" si="31"/>
        <v>Apr</v>
      </c>
      <c r="G140" s="11" t="str">
        <f t="shared" si="32"/>
        <v>Apr'19/20</v>
      </c>
      <c r="H140" s="11" t="str">
        <f t="shared" si="25"/>
        <v>Apr'19/20</v>
      </c>
      <c r="I140" s="11">
        <f t="shared" si="26"/>
        <v>4.1618101238333338</v>
      </c>
    </row>
    <row r="141" spans="2:9" x14ac:dyDescent="0.55000000000000004">
      <c r="B141" s="11">
        <f t="shared" si="27"/>
        <v>6</v>
      </c>
      <c r="C141" s="11">
        <f t="shared" si="28"/>
        <v>8</v>
      </c>
      <c r="D141" s="12">
        <f t="shared" si="29"/>
        <v>399959.54466666677</v>
      </c>
      <c r="E141" s="11" t="str">
        <f t="shared" si="30"/>
        <v>19/20</v>
      </c>
      <c r="F141" s="11" t="str">
        <f t="shared" si="31"/>
        <v>May</v>
      </c>
      <c r="G141" s="11" t="str">
        <f t="shared" si="32"/>
        <v>May'19/20</v>
      </c>
      <c r="H141" s="11" t="str">
        <f t="shared" si="25"/>
        <v>May'19/20</v>
      </c>
      <c r="I141" s="11">
        <f t="shared" si="26"/>
        <v>4.0950560003333329</v>
      </c>
    </row>
    <row r="142" spans="2:9" x14ac:dyDescent="0.55000000000000004">
      <c r="B142" s="11">
        <f t="shared" si="27"/>
        <v>6</v>
      </c>
      <c r="C142" s="11">
        <f t="shared" si="28"/>
        <v>9</v>
      </c>
      <c r="D142" s="12">
        <f t="shared" si="29"/>
        <v>422562.37266666681</v>
      </c>
      <c r="E142" s="11" t="str">
        <f t="shared" si="30"/>
        <v>19/20</v>
      </c>
      <c r="F142" s="11" t="str">
        <f t="shared" si="31"/>
        <v>Jun</v>
      </c>
      <c r="G142" s="11" t="str">
        <f t="shared" si="32"/>
        <v>Jun'19/20</v>
      </c>
      <c r="H142" s="11" t="str">
        <f t="shared" si="25"/>
        <v>Jun'19/20</v>
      </c>
      <c r="I142" s="11">
        <f t="shared" si="26"/>
        <v>4.0590201836666671</v>
      </c>
    </row>
    <row r="143" spans="2:9" x14ac:dyDescent="0.55000000000000004">
      <c r="B143" s="11">
        <f t="shared" si="27"/>
        <v>6</v>
      </c>
      <c r="C143" s="11">
        <f t="shared" si="28"/>
        <v>10</v>
      </c>
      <c r="D143" s="12">
        <f t="shared" si="29"/>
        <v>400961.83250000025</v>
      </c>
      <c r="E143" s="11" t="str">
        <f t="shared" si="30"/>
        <v>19/20</v>
      </c>
      <c r="F143" s="11" t="str">
        <f t="shared" si="31"/>
        <v>Jul</v>
      </c>
      <c r="G143" s="11" t="str">
        <f t="shared" si="32"/>
        <v>Jul'19/20</v>
      </c>
      <c r="H143" s="11" t="str">
        <f t="shared" si="25"/>
        <v>Jul'19/20</v>
      </c>
      <c r="I143" s="11">
        <f t="shared" si="26"/>
        <v>4.0605088956666675</v>
      </c>
    </row>
    <row r="144" spans="2:9" x14ac:dyDescent="0.55000000000000004">
      <c r="B144" s="11">
        <f t="shared" si="27"/>
        <v>6</v>
      </c>
      <c r="C144" s="11">
        <f t="shared" si="28"/>
        <v>11</v>
      </c>
      <c r="D144" s="12">
        <f t="shared" si="29"/>
        <v>305873.27250000002</v>
      </c>
      <c r="E144" s="11" t="str">
        <f t="shared" si="30"/>
        <v>19/20</v>
      </c>
      <c r="F144" s="11" t="str">
        <f t="shared" si="31"/>
        <v>Aug</v>
      </c>
      <c r="G144" s="11" t="str">
        <f t="shared" si="32"/>
        <v>Aug'19/20</v>
      </c>
      <c r="H144" s="11" t="str">
        <f t="shared" si="25"/>
        <v>Aug'19/20</v>
      </c>
      <c r="I144" s="11">
        <f t="shared" si="26"/>
        <v>4.0293887284999998</v>
      </c>
    </row>
    <row r="145" spans="2:9" x14ac:dyDescent="0.55000000000000004">
      <c r="B145" s="11">
        <f t="shared" si="27"/>
        <v>6</v>
      </c>
      <c r="C145" s="11">
        <f t="shared" si="28"/>
        <v>12</v>
      </c>
      <c r="D145" s="12">
        <f t="shared" si="29"/>
        <v>291632.45200000011</v>
      </c>
      <c r="E145" s="11" t="str">
        <f t="shared" si="30"/>
        <v>19/20</v>
      </c>
      <c r="F145" s="11" t="str">
        <f t="shared" si="31"/>
        <v>Sep</v>
      </c>
      <c r="G145" s="11" t="str">
        <f t="shared" si="32"/>
        <v>Sep'19/20</v>
      </c>
      <c r="H145" s="11" t="str">
        <f t="shared" si="25"/>
        <v>Sep'19/20</v>
      </c>
      <c r="I145" s="11">
        <f t="shared" si="26"/>
        <v>4.0248005688333341</v>
      </c>
    </row>
    <row r="146" spans="2:9" x14ac:dyDescent="0.55000000000000004">
      <c r="B146" s="11">
        <f t="shared" si="27"/>
        <v>7</v>
      </c>
      <c r="C146" s="11">
        <f t="shared" si="28"/>
        <v>1</v>
      </c>
      <c r="D146" s="12">
        <f t="shared" si="29"/>
        <v>282263.98733333341</v>
      </c>
      <c r="E146" s="11" t="str">
        <f t="shared" si="30"/>
        <v>20/21</v>
      </c>
      <c r="F146" s="11" t="str">
        <f t="shared" si="31"/>
        <v>Oct</v>
      </c>
      <c r="G146" s="11" t="str">
        <f t="shared" si="32"/>
        <v>Oct'20/21</v>
      </c>
      <c r="H146" s="11" t="str">
        <f t="shared" si="25"/>
        <v>Oct'20/21</v>
      </c>
      <c r="I146" s="11">
        <f t="shared" si="26"/>
        <v>4.0114838811666678</v>
      </c>
    </row>
    <row r="147" spans="2:9" x14ac:dyDescent="0.55000000000000004">
      <c r="B147" s="11">
        <f t="shared" si="27"/>
        <v>7</v>
      </c>
      <c r="C147" s="11">
        <f t="shared" si="28"/>
        <v>2</v>
      </c>
      <c r="D147" s="12">
        <f t="shared" si="29"/>
        <v>273229.75966666674</v>
      </c>
      <c r="E147" s="11" t="str">
        <f t="shared" si="30"/>
        <v>20/21</v>
      </c>
      <c r="F147" s="11" t="str">
        <f t="shared" si="31"/>
        <v>Nov</v>
      </c>
      <c r="G147" s="11" t="str">
        <f t="shared" si="32"/>
        <v>Nov'20/21</v>
      </c>
      <c r="H147" s="11" t="str">
        <f t="shared" si="25"/>
        <v>Nov'20/21</v>
      </c>
      <c r="I147" s="11">
        <f t="shared" si="26"/>
        <v>4.0262840925000019</v>
      </c>
    </row>
    <row r="148" spans="2:9" x14ac:dyDescent="0.55000000000000004">
      <c r="B148" s="11">
        <f t="shared" si="27"/>
        <v>7</v>
      </c>
      <c r="C148" s="11">
        <f t="shared" si="28"/>
        <v>3</v>
      </c>
      <c r="D148" s="12">
        <f t="shared" si="29"/>
        <v>234570.52616666668</v>
      </c>
      <c r="E148" s="11" t="str">
        <f t="shared" si="30"/>
        <v>20/21</v>
      </c>
      <c r="F148" s="11" t="str">
        <f t="shared" si="31"/>
        <v>Dec</v>
      </c>
      <c r="G148" s="11" t="str">
        <f t="shared" si="32"/>
        <v>Dec'20/21</v>
      </c>
      <c r="H148" s="11" t="str">
        <f t="shared" si="25"/>
        <v>Dec'20/21</v>
      </c>
      <c r="I148" s="11">
        <f t="shared" si="26"/>
        <v>3.9675270273333352</v>
      </c>
    </row>
    <row r="149" spans="2:9" x14ac:dyDescent="0.55000000000000004">
      <c r="B149" s="11">
        <f t="shared" si="27"/>
        <v>7</v>
      </c>
      <c r="C149" s="11">
        <f t="shared" si="28"/>
        <v>4</v>
      </c>
      <c r="D149" s="12">
        <f t="shared" si="29"/>
        <v>209088.69333333339</v>
      </c>
      <c r="E149" s="11" t="str">
        <f t="shared" si="30"/>
        <v>20/21</v>
      </c>
      <c r="F149" s="11" t="str">
        <f t="shared" si="31"/>
        <v>Jan</v>
      </c>
      <c r="G149" s="11" t="str">
        <f t="shared" si="32"/>
        <v>Jan'20/21</v>
      </c>
      <c r="H149" s="11" t="str">
        <f t="shared" si="25"/>
        <v>Jan'20/21</v>
      </c>
      <c r="I149" s="11">
        <f t="shared" si="26"/>
        <v>3.9437443338333344</v>
      </c>
    </row>
    <row r="150" spans="2:9" x14ac:dyDescent="0.55000000000000004">
      <c r="B150" s="11">
        <f t="shared" si="27"/>
        <v>7</v>
      </c>
      <c r="C150" s="11">
        <f t="shared" si="28"/>
        <v>5</v>
      </c>
      <c r="D150" s="12">
        <f t="shared" si="29"/>
        <v>352559.36683333333</v>
      </c>
      <c r="E150" s="11" t="str">
        <f t="shared" si="30"/>
        <v>20/21</v>
      </c>
      <c r="F150" s="11" t="str">
        <f t="shared" si="31"/>
        <v>Feb</v>
      </c>
      <c r="G150" s="11" t="str">
        <f t="shared" si="32"/>
        <v>Feb'20/21</v>
      </c>
      <c r="H150" s="11" t="str">
        <f t="shared" ref="H150:H213" si="33">G150</f>
        <v>Feb'20/21</v>
      </c>
      <c r="I150" s="11">
        <f t="shared" ref="I150:I213" si="34">SUM(D139:D150)/1000000</f>
        <v>3.9036303570000013</v>
      </c>
    </row>
    <row r="151" spans="2:9" x14ac:dyDescent="0.55000000000000004">
      <c r="B151" s="11">
        <f t="shared" ref="B151:B214" si="35">B139+1</f>
        <v>7</v>
      </c>
      <c r="C151" s="11">
        <f t="shared" ref="C151:C214" si="36">C139</f>
        <v>6</v>
      </c>
      <c r="D151" s="12">
        <f t="shared" si="29"/>
        <v>524836.6649999998</v>
      </c>
      <c r="E151" s="11" t="str">
        <f t="shared" si="30"/>
        <v>20/21</v>
      </c>
      <c r="F151" s="11" t="str">
        <f t="shared" si="31"/>
        <v>Mar</v>
      </c>
      <c r="G151" s="11" t="str">
        <f t="shared" si="32"/>
        <v>Mar'20/21</v>
      </c>
      <c r="H151" s="11" t="str">
        <f t="shared" si="33"/>
        <v>Mar'20/21</v>
      </c>
      <c r="I151" s="11">
        <f t="shared" si="34"/>
        <v>3.9476959858333336</v>
      </c>
    </row>
    <row r="152" spans="2:9" x14ac:dyDescent="0.55000000000000004">
      <c r="B152" s="11">
        <f t="shared" si="35"/>
        <v>7</v>
      </c>
      <c r="C152" s="11">
        <f t="shared" si="36"/>
        <v>7</v>
      </c>
      <c r="D152" s="12">
        <f t="shared" si="29"/>
        <v>392962.24466666661</v>
      </c>
      <c r="E152" s="11" t="str">
        <f t="shared" si="30"/>
        <v>20/21</v>
      </c>
      <c r="F152" s="11" t="str">
        <f t="shared" si="31"/>
        <v>Apr</v>
      </c>
      <c r="G152" s="11" t="str">
        <f t="shared" si="32"/>
        <v>Apr'20/21</v>
      </c>
      <c r="H152" s="11" t="str">
        <f t="shared" si="33"/>
        <v>Apr'20/21</v>
      </c>
      <c r="I152" s="11">
        <f t="shared" si="34"/>
        <v>4.0905007173333345</v>
      </c>
    </row>
    <row r="153" spans="2:9" x14ac:dyDescent="0.55000000000000004">
      <c r="B153" s="11">
        <f t="shared" si="35"/>
        <v>7</v>
      </c>
      <c r="C153" s="11">
        <f t="shared" si="36"/>
        <v>8</v>
      </c>
      <c r="D153" s="12">
        <f t="shared" si="29"/>
        <v>391784.1988333335</v>
      </c>
      <c r="E153" s="11" t="str">
        <f t="shared" si="30"/>
        <v>20/21</v>
      </c>
      <c r="F153" s="11" t="str">
        <f t="shared" si="31"/>
        <v>May</v>
      </c>
      <c r="G153" s="11" t="str">
        <f t="shared" si="32"/>
        <v>May'20/21</v>
      </c>
      <c r="H153" s="11" t="str">
        <f t="shared" si="33"/>
        <v>May'20/21</v>
      </c>
      <c r="I153" s="11">
        <f t="shared" si="34"/>
        <v>4.0823253715000005</v>
      </c>
    </row>
    <row r="154" spans="2:9" x14ac:dyDescent="0.55000000000000004">
      <c r="B154" s="11">
        <f t="shared" si="35"/>
        <v>7</v>
      </c>
      <c r="C154" s="11">
        <f t="shared" si="36"/>
        <v>9</v>
      </c>
      <c r="D154" s="12">
        <f t="shared" si="29"/>
        <v>492899.86683333351</v>
      </c>
      <c r="E154" s="11" t="str">
        <f t="shared" si="30"/>
        <v>20/21</v>
      </c>
      <c r="F154" s="11" t="str">
        <f t="shared" si="31"/>
        <v>Jun</v>
      </c>
      <c r="G154" s="11" t="str">
        <f t="shared" si="32"/>
        <v>Jun'20/21</v>
      </c>
      <c r="H154" s="11" t="str">
        <f t="shared" si="33"/>
        <v>Jun'20/21</v>
      </c>
      <c r="I154" s="11">
        <f t="shared" si="34"/>
        <v>4.1526628656666675</v>
      </c>
    </row>
    <row r="155" spans="2:9" x14ac:dyDescent="0.55000000000000004">
      <c r="B155" s="11">
        <f t="shared" si="35"/>
        <v>7</v>
      </c>
      <c r="C155" s="11">
        <f t="shared" si="36"/>
        <v>10</v>
      </c>
      <c r="D155" s="12">
        <f t="shared" si="29"/>
        <v>425051.04866666673</v>
      </c>
      <c r="E155" s="11" t="str">
        <f t="shared" si="30"/>
        <v>20/21</v>
      </c>
      <c r="F155" s="11" t="str">
        <f t="shared" si="31"/>
        <v>Jul</v>
      </c>
      <c r="G155" s="11" t="str">
        <f t="shared" si="32"/>
        <v>Jul'20/21</v>
      </c>
      <c r="H155" s="11" t="str">
        <f t="shared" si="33"/>
        <v>Jul'20/21</v>
      </c>
      <c r="I155" s="11">
        <f t="shared" si="34"/>
        <v>4.1767520818333335</v>
      </c>
    </row>
    <row r="156" spans="2:9" x14ac:dyDescent="0.55000000000000004">
      <c r="B156" s="11">
        <f t="shared" si="35"/>
        <v>7</v>
      </c>
      <c r="C156" s="11">
        <f t="shared" si="36"/>
        <v>11</v>
      </c>
      <c r="D156" s="12">
        <f t="shared" si="29"/>
        <v>434322.63900000037</v>
      </c>
      <c r="E156" s="11" t="str">
        <f t="shared" si="30"/>
        <v>20/21</v>
      </c>
      <c r="F156" s="11" t="str">
        <f t="shared" si="31"/>
        <v>Aug</v>
      </c>
      <c r="G156" s="11" t="str">
        <f t="shared" si="32"/>
        <v>Aug'20/21</v>
      </c>
      <c r="H156" s="11" t="str">
        <f t="shared" si="33"/>
        <v>Aug'20/21</v>
      </c>
      <c r="I156" s="11">
        <f t="shared" si="34"/>
        <v>4.3052014483333343</v>
      </c>
    </row>
    <row r="157" spans="2:9" x14ac:dyDescent="0.55000000000000004">
      <c r="B157" s="11">
        <f t="shared" si="35"/>
        <v>7</v>
      </c>
      <c r="C157" s="11">
        <f t="shared" si="36"/>
        <v>12</v>
      </c>
      <c r="D157" s="12">
        <f t="shared" si="29"/>
        <v>473763.60483333317</v>
      </c>
      <c r="E157" s="11" t="str">
        <f t="shared" si="30"/>
        <v>20/21</v>
      </c>
      <c r="F157" s="11" t="str">
        <f t="shared" si="31"/>
        <v>Sep</v>
      </c>
      <c r="G157" s="11" t="str">
        <f t="shared" si="32"/>
        <v>Sep'20/21</v>
      </c>
      <c r="H157" s="11" t="str">
        <f t="shared" si="33"/>
        <v>Sep'20/21</v>
      </c>
      <c r="I157" s="11">
        <f t="shared" si="34"/>
        <v>4.4873326011666661</v>
      </c>
    </row>
    <row r="158" spans="2:9" x14ac:dyDescent="0.55000000000000004">
      <c r="B158" s="11">
        <f t="shared" si="35"/>
        <v>8</v>
      </c>
      <c r="C158" s="11">
        <f t="shared" si="36"/>
        <v>1</v>
      </c>
      <c r="D158" s="12">
        <f t="shared" si="29"/>
        <v>415326.51983333332</v>
      </c>
      <c r="E158" s="11" t="str">
        <f t="shared" si="30"/>
        <v>21/22</v>
      </c>
      <c r="F158" s="11" t="str">
        <f t="shared" si="31"/>
        <v>Oct</v>
      </c>
      <c r="G158" s="11" t="str">
        <f t="shared" si="32"/>
        <v>Oct'21/22</v>
      </c>
      <c r="H158" s="11" t="str">
        <f t="shared" si="33"/>
        <v>Oct'21/22</v>
      </c>
      <c r="I158" s="11">
        <f t="shared" si="34"/>
        <v>4.6203951336666664</v>
      </c>
    </row>
    <row r="159" spans="2:9" x14ac:dyDescent="0.55000000000000004">
      <c r="B159" s="11">
        <f t="shared" si="35"/>
        <v>8</v>
      </c>
      <c r="C159" s="11">
        <f t="shared" si="36"/>
        <v>2</v>
      </c>
      <c r="D159" s="12">
        <f t="shared" si="29"/>
        <v>427341.54733333341</v>
      </c>
      <c r="E159" s="11" t="str">
        <f t="shared" si="30"/>
        <v>21/22</v>
      </c>
      <c r="F159" s="11" t="str">
        <f t="shared" si="31"/>
        <v>Nov</v>
      </c>
      <c r="G159" s="11" t="str">
        <f t="shared" si="32"/>
        <v>Nov'21/22</v>
      </c>
      <c r="H159" s="11" t="str">
        <f t="shared" si="33"/>
        <v>Nov'21/22</v>
      </c>
      <c r="I159" s="11">
        <f t="shared" si="34"/>
        <v>4.7745069213333338</v>
      </c>
    </row>
    <row r="160" spans="2:9" x14ac:dyDescent="0.55000000000000004">
      <c r="B160" s="11">
        <f t="shared" si="35"/>
        <v>8</v>
      </c>
      <c r="C160" s="11">
        <f t="shared" si="36"/>
        <v>3</v>
      </c>
      <c r="D160" s="12">
        <f t="shared" si="29"/>
        <v>548717.98066666664</v>
      </c>
      <c r="E160" s="11" t="str">
        <f t="shared" si="30"/>
        <v>21/22</v>
      </c>
      <c r="F160" s="11" t="str">
        <f t="shared" si="31"/>
        <v>Dec</v>
      </c>
      <c r="G160" s="11" t="str">
        <f t="shared" si="32"/>
        <v>Dec'21/22</v>
      </c>
      <c r="H160" s="11" t="str">
        <f t="shared" si="33"/>
        <v>Dec'21/22</v>
      </c>
      <c r="I160" s="11">
        <f t="shared" si="34"/>
        <v>5.0886543758333334</v>
      </c>
    </row>
    <row r="161" spans="2:9" x14ac:dyDescent="0.55000000000000004">
      <c r="B161" s="11">
        <f t="shared" si="35"/>
        <v>8</v>
      </c>
      <c r="C161" s="11">
        <f t="shared" si="36"/>
        <v>4</v>
      </c>
      <c r="D161" s="12">
        <f t="shared" si="29"/>
        <v>460265.15716666676</v>
      </c>
      <c r="E161" s="11" t="str">
        <f t="shared" si="30"/>
        <v>21/22</v>
      </c>
      <c r="F161" s="11" t="str">
        <f t="shared" si="31"/>
        <v>Jan</v>
      </c>
      <c r="G161" s="11" t="str">
        <f t="shared" si="32"/>
        <v>Jan'21/22</v>
      </c>
      <c r="H161" s="11" t="str">
        <f t="shared" si="33"/>
        <v>Jan'21/22</v>
      </c>
      <c r="I161" s="11">
        <f t="shared" si="34"/>
        <v>5.3398308396666661</v>
      </c>
    </row>
    <row r="162" spans="2:9" x14ac:dyDescent="0.55000000000000004">
      <c r="B162" s="11">
        <f t="shared" si="35"/>
        <v>8</v>
      </c>
      <c r="C162" s="11">
        <f t="shared" si="36"/>
        <v>5</v>
      </c>
      <c r="D162" s="12">
        <f t="shared" si="29"/>
        <v>408407.19716666685</v>
      </c>
      <c r="E162" s="11" t="str">
        <f t="shared" si="30"/>
        <v>21/22</v>
      </c>
      <c r="F162" s="11" t="str">
        <f t="shared" si="31"/>
        <v>Feb</v>
      </c>
      <c r="G162" s="11" t="str">
        <f t="shared" si="32"/>
        <v>Feb'21/22</v>
      </c>
      <c r="H162" s="11" t="str">
        <f t="shared" si="33"/>
        <v>Feb'21/22</v>
      </c>
      <c r="I162" s="11">
        <f t="shared" si="34"/>
        <v>5.3956786699999997</v>
      </c>
    </row>
    <row r="163" spans="2:9" x14ac:dyDescent="0.55000000000000004">
      <c r="B163" s="11">
        <f t="shared" si="35"/>
        <v>8</v>
      </c>
      <c r="C163" s="11">
        <f t="shared" si="36"/>
        <v>6</v>
      </c>
      <c r="D163" s="12">
        <f t="shared" si="29"/>
        <v>537922.91083333362</v>
      </c>
      <c r="E163" s="11" t="str">
        <f t="shared" si="30"/>
        <v>21/22</v>
      </c>
      <c r="F163" s="11" t="str">
        <f t="shared" si="31"/>
        <v>Mar</v>
      </c>
      <c r="G163" s="11" t="str">
        <f t="shared" si="32"/>
        <v>Mar'21/22</v>
      </c>
      <c r="H163" s="11" t="str">
        <f t="shared" si="33"/>
        <v>Mar'21/22</v>
      </c>
      <c r="I163" s="11">
        <f t="shared" si="34"/>
        <v>5.4087649158333342</v>
      </c>
    </row>
    <row r="164" spans="2:9" x14ac:dyDescent="0.55000000000000004">
      <c r="B164" s="11">
        <f t="shared" si="35"/>
        <v>8</v>
      </c>
      <c r="C164" s="11">
        <f t="shared" si="36"/>
        <v>7</v>
      </c>
      <c r="D164" s="12">
        <f t="shared" si="29"/>
        <v>542673.79016666673</v>
      </c>
      <c r="E164" s="11" t="str">
        <f t="shared" si="30"/>
        <v>21/22</v>
      </c>
      <c r="F164" s="11" t="str">
        <f t="shared" si="31"/>
        <v>Apr</v>
      </c>
      <c r="G164" s="11" t="str">
        <f t="shared" si="32"/>
        <v>Apr'21/22</v>
      </c>
      <c r="H164" s="11" t="str">
        <f t="shared" si="33"/>
        <v>Apr'21/22</v>
      </c>
      <c r="I164" s="11">
        <f t="shared" si="34"/>
        <v>5.5584764613333357</v>
      </c>
    </row>
    <row r="165" spans="2:9" x14ac:dyDescent="0.55000000000000004">
      <c r="B165" s="11">
        <f t="shared" si="35"/>
        <v>8</v>
      </c>
      <c r="C165" s="11">
        <f t="shared" si="36"/>
        <v>8</v>
      </c>
      <c r="D165" s="12">
        <f t="shared" si="29"/>
        <v>551174.72933333344</v>
      </c>
      <c r="E165" s="11" t="str">
        <f t="shared" si="30"/>
        <v>21/22</v>
      </c>
      <c r="F165" s="11" t="str">
        <f t="shared" si="31"/>
        <v>May</v>
      </c>
      <c r="G165" s="11" t="str">
        <f t="shared" si="32"/>
        <v>May'21/22</v>
      </c>
      <c r="H165" s="11" t="str">
        <f t="shared" si="33"/>
        <v>May'21/22</v>
      </c>
      <c r="I165" s="11">
        <f t="shared" si="34"/>
        <v>5.7178669918333345</v>
      </c>
    </row>
    <row r="166" spans="2:9" x14ac:dyDescent="0.55000000000000004">
      <c r="B166" s="11">
        <f t="shared" si="35"/>
        <v>8</v>
      </c>
      <c r="C166" s="11">
        <f t="shared" si="36"/>
        <v>9</v>
      </c>
      <c r="D166" s="12">
        <f t="shared" si="29"/>
        <v>517372.60416666669</v>
      </c>
      <c r="E166" s="11" t="str">
        <f t="shared" si="30"/>
        <v>21/22</v>
      </c>
      <c r="F166" s="11" t="str">
        <f t="shared" si="31"/>
        <v>Jun</v>
      </c>
      <c r="G166" s="11" t="str">
        <f t="shared" si="32"/>
        <v>Jun'21/22</v>
      </c>
      <c r="H166" s="11" t="str">
        <f t="shared" si="33"/>
        <v>Jun'21/22</v>
      </c>
      <c r="I166" s="11">
        <f t="shared" si="34"/>
        <v>5.7423397291666687</v>
      </c>
    </row>
    <row r="167" spans="2:9" x14ac:dyDescent="0.55000000000000004">
      <c r="B167" s="11">
        <f t="shared" si="35"/>
        <v>8</v>
      </c>
      <c r="C167" s="11">
        <f t="shared" si="36"/>
        <v>10</v>
      </c>
      <c r="D167" s="12">
        <f t="shared" si="29"/>
        <v>443995.97866666678</v>
      </c>
      <c r="E167" s="11" t="str">
        <f t="shared" si="30"/>
        <v>21/22</v>
      </c>
      <c r="F167" s="11" t="str">
        <f t="shared" si="31"/>
        <v>Jul</v>
      </c>
      <c r="G167" s="11" t="str">
        <f t="shared" si="32"/>
        <v>Jul'21/22</v>
      </c>
      <c r="H167" s="11" t="str">
        <f t="shared" si="33"/>
        <v>Jul'21/22</v>
      </c>
      <c r="I167" s="11">
        <f t="shared" si="34"/>
        <v>5.7612846591666687</v>
      </c>
    </row>
    <row r="168" spans="2:9" x14ac:dyDescent="0.55000000000000004">
      <c r="B168" s="11">
        <f t="shared" si="35"/>
        <v>8</v>
      </c>
      <c r="C168" s="11">
        <f t="shared" si="36"/>
        <v>11</v>
      </c>
      <c r="D168" s="12">
        <f t="shared" si="29"/>
        <v>413988.51966666686</v>
      </c>
      <c r="E168" s="11" t="str">
        <f t="shared" si="30"/>
        <v>21/22</v>
      </c>
      <c r="F168" s="11" t="str">
        <f t="shared" si="31"/>
        <v>Aug</v>
      </c>
      <c r="G168" s="11" t="str">
        <f t="shared" si="32"/>
        <v>Aug'21/22</v>
      </c>
      <c r="H168" s="11" t="str">
        <f t="shared" si="33"/>
        <v>Aug'21/22</v>
      </c>
      <c r="I168" s="11">
        <f t="shared" si="34"/>
        <v>5.7409505398333351</v>
      </c>
    </row>
    <row r="169" spans="2:9" x14ac:dyDescent="0.55000000000000004">
      <c r="B169" s="11">
        <f t="shared" si="35"/>
        <v>8</v>
      </c>
      <c r="C169" s="11">
        <f t="shared" si="36"/>
        <v>12</v>
      </c>
      <c r="D169" s="12">
        <f t="shared" si="29"/>
        <v>437552.50299999997</v>
      </c>
      <c r="E169" s="11" t="str">
        <f t="shared" si="30"/>
        <v>21/22</v>
      </c>
      <c r="F169" s="11" t="str">
        <f t="shared" si="31"/>
        <v>Sep</v>
      </c>
      <c r="G169" s="11" t="str">
        <f t="shared" si="32"/>
        <v>Sep'21/22</v>
      </c>
      <c r="H169" s="11" t="str">
        <f t="shared" si="33"/>
        <v>Sep'21/22</v>
      </c>
      <c r="I169" s="11">
        <f t="shared" si="34"/>
        <v>5.7047394380000007</v>
      </c>
    </row>
    <row r="170" spans="2:9" x14ac:dyDescent="0.55000000000000004">
      <c r="B170" s="11">
        <f t="shared" si="35"/>
        <v>9</v>
      </c>
      <c r="C170" s="11">
        <f t="shared" si="36"/>
        <v>1</v>
      </c>
      <c r="D170" s="12">
        <f t="shared" si="29"/>
        <v>351970.24400000006</v>
      </c>
      <c r="E170" s="11" t="str">
        <f t="shared" si="30"/>
        <v>22/23</v>
      </c>
      <c r="F170" s="11" t="str">
        <f t="shared" si="31"/>
        <v>Oct</v>
      </c>
      <c r="G170" s="11" t="str">
        <f t="shared" si="32"/>
        <v>Oct'22/23</v>
      </c>
      <c r="H170" s="11" t="str">
        <f t="shared" si="33"/>
        <v>Oct'22/23</v>
      </c>
      <c r="I170" s="11">
        <f t="shared" si="34"/>
        <v>5.641383162166667</v>
      </c>
    </row>
    <row r="171" spans="2:9" x14ac:dyDescent="0.55000000000000004">
      <c r="B171" s="11">
        <f t="shared" si="35"/>
        <v>9</v>
      </c>
      <c r="C171" s="11">
        <f t="shared" si="36"/>
        <v>2</v>
      </c>
      <c r="D171" s="12">
        <f t="shared" si="29"/>
        <v>334968.84533333342</v>
      </c>
      <c r="E171" s="11" t="str">
        <f t="shared" si="30"/>
        <v>22/23</v>
      </c>
      <c r="F171" s="11" t="str">
        <f t="shared" si="31"/>
        <v>Nov</v>
      </c>
      <c r="G171" s="11" t="str">
        <f t="shared" si="32"/>
        <v>Nov'22/23</v>
      </c>
      <c r="H171" s="11" t="str">
        <f t="shared" si="33"/>
        <v>Nov'22/23</v>
      </c>
      <c r="I171" s="11">
        <f t="shared" si="34"/>
        <v>5.5490104601666665</v>
      </c>
    </row>
    <row r="172" spans="2:9" x14ac:dyDescent="0.55000000000000004">
      <c r="B172" s="11">
        <f t="shared" si="35"/>
        <v>9</v>
      </c>
      <c r="C172" s="11">
        <f t="shared" si="36"/>
        <v>3</v>
      </c>
      <c r="D172" s="12">
        <f t="shared" si="29"/>
        <v>305750.58116666664</v>
      </c>
      <c r="E172" s="11" t="str">
        <f t="shared" si="30"/>
        <v>22/23</v>
      </c>
      <c r="F172" s="11" t="str">
        <f t="shared" si="31"/>
        <v>Dec</v>
      </c>
      <c r="G172" s="11" t="str">
        <f t="shared" si="32"/>
        <v>Dec'22/23</v>
      </c>
      <c r="H172" s="11" t="str">
        <f t="shared" si="33"/>
        <v>Dec'22/23</v>
      </c>
      <c r="I172" s="11">
        <f t="shared" si="34"/>
        <v>5.3060430606666671</v>
      </c>
    </row>
    <row r="173" spans="2:9" x14ac:dyDescent="0.55000000000000004">
      <c r="B173" s="11">
        <f t="shared" si="35"/>
        <v>9</v>
      </c>
      <c r="C173" s="11">
        <f t="shared" si="36"/>
        <v>4</v>
      </c>
      <c r="D173" s="12">
        <f t="shared" si="29"/>
        <v>305712.9378333335</v>
      </c>
      <c r="E173" s="11" t="str">
        <f t="shared" si="30"/>
        <v>22/23</v>
      </c>
      <c r="F173" s="11" t="str">
        <f t="shared" si="31"/>
        <v>Jan</v>
      </c>
      <c r="G173" s="11" t="str">
        <f t="shared" si="32"/>
        <v>Jan'22/23</v>
      </c>
      <c r="H173" s="11" t="str">
        <f t="shared" si="33"/>
        <v>Jan'22/23</v>
      </c>
      <c r="I173" s="11">
        <f t="shared" si="34"/>
        <v>5.1514908413333353</v>
      </c>
    </row>
    <row r="174" spans="2:9" x14ac:dyDescent="0.55000000000000004">
      <c r="B174" s="11">
        <f t="shared" si="35"/>
        <v>9</v>
      </c>
      <c r="C174" s="11">
        <f t="shared" si="36"/>
        <v>5</v>
      </c>
      <c r="D174" s="12">
        <f t="shared" si="29"/>
        <v>436152.53450000007</v>
      </c>
      <c r="E174" s="11" t="str">
        <f t="shared" si="30"/>
        <v>22/23</v>
      </c>
      <c r="F174" s="11" t="str">
        <f t="shared" si="31"/>
        <v>Feb</v>
      </c>
      <c r="G174" s="11" t="str">
        <f t="shared" si="32"/>
        <v>Feb'22/23</v>
      </c>
      <c r="H174" s="11" t="str">
        <f t="shared" si="33"/>
        <v>Feb'22/23</v>
      </c>
      <c r="I174" s="11">
        <f t="shared" si="34"/>
        <v>5.1792361786666676</v>
      </c>
    </row>
    <row r="175" spans="2:9" x14ac:dyDescent="0.55000000000000004">
      <c r="B175" s="11">
        <f t="shared" si="35"/>
        <v>9</v>
      </c>
      <c r="C175" s="11">
        <f t="shared" si="36"/>
        <v>6</v>
      </c>
      <c r="D175" s="12">
        <f t="shared" si="29"/>
        <v>566496.32200000016</v>
      </c>
      <c r="E175" s="11" t="str">
        <f t="shared" si="30"/>
        <v>22/23</v>
      </c>
      <c r="F175" s="11" t="str">
        <f t="shared" si="31"/>
        <v>Mar</v>
      </c>
      <c r="G175" s="11" t="str">
        <f t="shared" si="32"/>
        <v>Mar'22/23</v>
      </c>
      <c r="H175" s="11" t="str">
        <f t="shared" si="33"/>
        <v>Mar'22/23</v>
      </c>
      <c r="I175" s="11">
        <f t="shared" si="34"/>
        <v>5.2078095898333343</v>
      </c>
    </row>
    <row r="176" spans="2:9" x14ac:dyDescent="0.55000000000000004">
      <c r="B176" s="11">
        <f t="shared" si="35"/>
        <v>9</v>
      </c>
      <c r="C176" s="11">
        <f t="shared" si="36"/>
        <v>7</v>
      </c>
      <c r="D176" s="12">
        <f t="shared" si="29"/>
        <v>496038.81533333316</v>
      </c>
      <c r="E176" s="11" t="str">
        <f t="shared" si="30"/>
        <v>22/23</v>
      </c>
      <c r="F176" s="11" t="str">
        <f t="shared" si="31"/>
        <v>Apr</v>
      </c>
      <c r="G176" s="11" t="str">
        <f t="shared" si="32"/>
        <v>Apr'22/23</v>
      </c>
      <c r="H176" s="11" t="str">
        <f t="shared" si="33"/>
        <v>Apr'22/23</v>
      </c>
      <c r="I176" s="11">
        <f t="shared" si="34"/>
        <v>5.1611746150000002</v>
      </c>
    </row>
    <row r="177" spans="2:9" x14ac:dyDescent="0.55000000000000004">
      <c r="B177" s="11">
        <f t="shared" si="35"/>
        <v>9</v>
      </c>
      <c r="C177" s="11">
        <f t="shared" si="36"/>
        <v>8</v>
      </c>
      <c r="D177" s="12">
        <f t="shared" si="29"/>
        <v>466252.89949999988</v>
      </c>
      <c r="E177" s="11" t="str">
        <f t="shared" si="30"/>
        <v>22/23</v>
      </c>
      <c r="F177" s="11" t="str">
        <f t="shared" si="31"/>
        <v>May</v>
      </c>
      <c r="G177" s="11" t="str">
        <f t="shared" si="32"/>
        <v>May'22/23</v>
      </c>
      <c r="H177" s="11" t="str">
        <f t="shared" si="33"/>
        <v>May'22/23</v>
      </c>
      <c r="I177" s="11">
        <f t="shared" si="34"/>
        <v>5.0762527851666679</v>
      </c>
    </row>
    <row r="178" spans="2:9" x14ac:dyDescent="0.55000000000000004">
      <c r="B178" s="11">
        <f t="shared" si="35"/>
        <v>9</v>
      </c>
      <c r="C178" s="11">
        <f t="shared" si="36"/>
        <v>9</v>
      </c>
      <c r="D178" s="12">
        <f t="shared" si="29"/>
        <v>462539.9426666667</v>
      </c>
      <c r="E178" s="11" t="str">
        <f t="shared" si="30"/>
        <v>22/23</v>
      </c>
      <c r="F178" s="11" t="str">
        <f t="shared" si="31"/>
        <v>Jun</v>
      </c>
      <c r="G178" s="11" t="str">
        <f t="shared" si="32"/>
        <v>Jun'22/23</v>
      </c>
      <c r="H178" s="11" t="str">
        <f t="shared" si="33"/>
        <v>Jun'22/23</v>
      </c>
      <c r="I178" s="11">
        <f t="shared" si="34"/>
        <v>5.0214201236666671</v>
      </c>
    </row>
    <row r="179" spans="2:9" x14ac:dyDescent="0.55000000000000004">
      <c r="B179" s="11">
        <f t="shared" si="35"/>
        <v>9</v>
      </c>
      <c r="C179" s="11">
        <f t="shared" si="36"/>
        <v>10</v>
      </c>
      <c r="D179" s="12">
        <f t="shared" si="29"/>
        <v>435925.13316666661</v>
      </c>
      <c r="E179" s="11" t="str">
        <f t="shared" si="30"/>
        <v>22/23</v>
      </c>
      <c r="F179" s="11" t="str">
        <f t="shared" si="31"/>
        <v>Jul</v>
      </c>
      <c r="G179" s="11" t="str">
        <f t="shared" si="32"/>
        <v>Jul'22/23</v>
      </c>
      <c r="H179" s="11" t="str">
        <f t="shared" si="33"/>
        <v>Jul'22/23</v>
      </c>
      <c r="I179" s="11">
        <f t="shared" si="34"/>
        <v>5.0133492781666664</v>
      </c>
    </row>
    <row r="180" spans="2:9" x14ac:dyDescent="0.55000000000000004">
      <c r="B180" s="11">
        <f t="shared" si="35"/>
        <v>9</v>
      </c>
      <c r="C180" s="11">
        <f t="shared" si="36"/>
        <v>11</v>
      </c>
      <c r="D180" s="12">
        <f t="shared" si="29"/>
        <v>362617.86316666659</v>
      </c>
      <c r="E180" s="11" t="str">
        <f t="shared" si="30"/>
        <v>22/23</v>
      </c>
      <c r="F180" s="11" t="str">
        <f t="shared" si="31"/>
        <v>Aug</v>
      </c>
      <c r="G180" s="11" t="str">
        <f t="shared" si="32"/>
        <v>Aug'22/23</v>
      </c>
      <c r="H180" s="11" t="str">
        <f t="shared" si="33"/>
        <v>Aug'22/23</v>
      </c>
      <c r="I180" s="11">
        <f t="shared" si="34"/>
        <v>4.9619786216666668</v>
      </c>
    </row>
    <row r="181" spans="2:9" x14ac:dyDescent="0.55000000000000004">
      <c r="B181" s="11">
        <f t="shared" si="35"/>
        <v>9</v>
      </c>
      <c r="C181" s="11">
        <f t="shared" si="36"/>
        <v>12</v>
      </c>
      <c r="D181" s="12">
        <f t="shared" si="29"/>
        <v>349299.87666666677</v>
      </c>
      <c r="E181" s="11" t="str">
        <f t="shared" si="30"/>
        <v>22/23</v>
      </c>
      <c r="F181" s="11" t="str">
        <f t="shared" si="31"/>
        <v>Sep</v>
      </c>
      <c r="G181" s="11" t="str">
        <f t="shared" si="32"/>
        <v>Sep'22/23</v>
      </c>
      <c r="H181" s="11" t="str">
        <f t="shared" si="33"/>
        <v>Sep'22/23</v>
      </c>
      <c r="I181" s="11">
        <f t="shared" si="34"/>
        <v>4.8737259953333343</v>
      </c>
    </row>
    <row r="182" spans="2:9" x14ac:dyDescent="0.55000000000000004">
      <c r="B182" s="11">
        <f t="shared" si="35"/>
        <v>10</v>
      </c>
      <c r="C182" s="11">
        <f t="shared" si="36"/>
        <v>1</v>
      </c>
      <c r="D182" s="12">
        <f t="shared" si="29"/>
        <v>329671.25933333347</v>
      </c>
      <c r="E182" s="11" t="str">
        <f t="shared" si="30"/>
        <v>23/24</v>
      </c>
      <c r="F182" s="11" t="str">
        <f t="shared" si="31"/>
        <v>Oct</v>
      </c>
      <c r="G182" s="11" t="str">
        <f t="shared" si="32"/>
        <v>Oct'23/24</v>
      </c>
      <c r="H182" s="11" t="str">
        <f t="shared" si="33"/>
        <v>Oct'23/24</v>
      </c>
      <c r="I182" s="11">
        <f t="shared" si="34"/>
        <v>4.8514270106666668</v>
      </c>
    </row>
    <row r="183" spans="2:9" x14ac:dyDescent="0.55000000000000004">
      <c r="B183" s="11">
        <f t="shared" si="35"/>
        <v>10</v>
      </c>
      <c r="C183" s="11">
        <f t="shared" si="36"/>
        <v>2</v>
      </c>
      <c r="D183" s="12">
        <f t="shared" si="29"/>
        <v>330960.30900000001</v>
      </c>
      <c r="E183" s="11" t="str">
        <f t="shared" si="30"/>
        <v>23/24</v>
      </c>
      <c r="F183" s="11" t="str">
        <f t="shared" si="31"/>
        <v>Nov</v>
      </c>
      <c r="G183" s="11" t="str">
        <f t="shared" si="32"/>
        <v>Nov'23/24</v>
      </c>
      <c r="H183" s="11" t="str">
        <f t="shared" si="33"/>
        <v>Nov'23/24</v>
      </c>
      <c r="I183" s="11">
        <f t="shared" si="34"/>
        <v>4.8474184743333337</v>
      </c>
    </row>
    <row r="184" spans="2:9" x14ac:dyDescent="0.55000000000000004">
      <c r="B184" s="11">
        <f t="shared" si="35"/>
        <v>10</v>
      </c>
      <c r="C184" s="11">
        <f t="shared" si="36"/>
        <v>3</v>
      </c>
      <c r="D184" s="12">
        <f t="shared" si="29"/>
        <v>267062.71066666674</v>
      </c>
      <c r="E184" s="11" t="str">
        <f t="shared" si="30"/>
        <v>23/24</v>
      </c>
      <c r="F184" s="11" t="str">
        <f t="shared" si="31"/>
        <v>Dec</v>
      </c>
      <c r="G184" s="11" t="str">
        <f t="shared" si="32"/>
        <v>Dec'23/24</v>
      </c>
      <c r="H184" s="11" t="str">
        <f t="shared" si="33"/>
        <v>Dec'23/24</v>
      </c>
      <c r="I184" s="11">
        <f t="shared" si="34"/>
        <v>4.8087306038333333</v>
      </c>
    </row>
    <row r="185" spans="2:9" x14ac:dyDescent="0.55000000000000004">
      <c r="B185" s="11">
        <f t="shared" si="35"/>
        <v>10</v>
      </c>
      <c r="C185" s="11">
        <f t="shared" si="36"/>
        <v>4</v>
      </c>
      <c r="D185" s="12">
        <f t="shared" si="29"/>
        <v>279865.78333333327</v>
      </c>
      <c r="E185" s="11" t="str">
        <f t="shared" si="30"/>
        <v>23/24</v>
      </c>
      <c r="F185" s="11" t="str">
        <f t="shared" si="31"/>
        <v>Jan</v>
      </c>
      <c r="G185" s="11" t="str">
        <f t="shared" si="32"/>
        <v>Jan'23/24</v>
      </c>
      <c r="H185" s="11" t="str">
        <f t="shared" si="33"/>
        <v>Jan'23/24</v>
      </c>
      <c r="I185" s="11">
        <f t="shared" si="34"/>
        <v>4.7828834493333332</v>
      </c>
    </row>
    <row r="186" spans="2:9" x14ac:dyDescent="0.55000000000000004">
      <c r="B186" s="11">
        <f t="shared" si="35"/>
        <v>10</v>
      </c>
      <c r="C186" s="11">
        <f t="shared" si="36"/>
        <v>5</v>
      </c>
      <c r="D186" s="12">
        <f t="shared" si="29"/>
        <v>557751.03766666667</v>
      </c>
      <c r="E186" s="11" t="str">
        <f t="shared" si="30"/>
        <v>23/24</v>
      </c>
      <c r="F186" s="11" t="str">
        <f t="shared" si="31"/>
        <v>Feb</v>
      </c>
      <c r="G186" s="11" t="str">
        <f t="shared" si="32"/>
        <v>Feb'23/24</v>
      </c>
      <c r="H186" s="11" t="str">
        <f t="shared" si="33"/>
        <v>Feb'23/24</v>
      </c>
      <c r="I186" s="11">
        <f t="shared" si="34"/>
        <v>4.9044819524999994</v>
      </c>
    </row>
    <row r="187" spans="2:9" x14ac:dyDescent="0.55000000000000004">
      <c r="B187" s="11">
        <f t="shared" si="35"/>
        <v>10</v>
      </c>
      <c r="C187" s="11">
        <f t="shared" si="36"/>
        <v>6</v>
      </c>
      <c r="D187" s="12">
        <f t="shared" si="29"/>
        <v>714304.39150000026</v>
      </c>
      <c r="E187" s="11" t="str">
        <f t="shared" si="30"/>
        <v>23/24</v>
      </c>
      <c r="F187" s="11" t="str">
        <f t="shared" si="31"/>
        <v>Mar</v>
      </c>
      <c r="G187" s="11" t="str">
        <f t="shared" si="32"/>
        <v>Mar'23/24</v>
      </c>
      <c r="H187" s="11" t="str">
        <f t="shared" si="33"/>
        <v>Mar'23/24</v>
      </c>
      <c r="I187" s="11">
        <f t="shared" si="34"/>
        <v>5.0522900220000002</v>
      </c>
    </row>
    <row r="188" spans="2:9" x14ac:dyDescent="0.55000000000000004">
      <c r="B188" s="11">
        <f t="shared" si="35"/>
        <v>10</v>
      </c>
      <c r="C188" s="11">
        <f t="shared" si="36"/>
        <v>7</v>
      </c>
      <c r="D188" s="12">
        <f t="shared" si="29"/>
        <v>487891.00000000035</v>
      </c>
      <c r="E188" s="11" t="str">
        <f t="shared" si="30"/>
        <v>23/24</v>
      </c>
      <c r="F188" s="11" t="str">
        <f t="shared" si="31"/>
        <v>Apr</v>
      </c>
      <c r="G188" s="11" t="str">
        <f t="shared" si="32"/>
        <v>Apr'23/24</v>
      </c>
      <c r="H188" s="11" t="str">
        <f t="shared" si="33"/>
        <v>Apr'23/24</v>
      </c>
      <c r="I188" s="11">
        <f t="shared" si="34"/>
        <v>5.0441422066666668</v>
      </c>
    </row>
    <row r="189" spans="2:9" x14ac:dyDescent="0.55000000000000004">
      <c r="B189" s="11">
        <f t="shared" si="35"/>
        <v>10</v>
      </c>
      <c r="C189" s="11">
        <f t="shared" si="36"/>
        <v>8</v>
      </c>
      <c r="D189" s="12">
        <f t="shared" si="29"/>
        <v>619628.80500000017</v>
      </c>
      <c r="E189" s="11" t="str">
        <f t="shared" si="30"/>
        <v>23/24</v>
      </c>
      <c r="F189" s="11" t="str">
        <f t="shared" si="31"/>
        <v>May</v>
      </c>
      <c r="G189" s="11" t="str">
        <f t="shared" si="32"/>
        <v>May'23/24</v>
      </c>
      <c r="H189" s="11" t="str">
        <f t="shared" si="33"/>
        <v>May'23/24</v>
      </c>
      <c r="I189" s="11">
        <f t="shared" si="34"/>
        <v>5.1975181121666676</v>
      </c>
    </row>
    <row r="190" spans="2:9" x14ac:dyDescent="0.55000000000000004">
      <c r="B190" s="11">
        <f t="shared" si="35"/>
        <v>10</v>
      </c>
      <c r="C190" s="11">
        <f t="shared" si="36"/>
        <v>9</v>
      </c>
      <c r="D190" s="12">
        <f t="shared" si="29"/>
        <v>547800</v>
      </c>
      <c r="E190" s="11" t="str">
        <f t="shared" si="30"/>
        <v>23/24</v>
      </c>
      <c r="F190" s="11" t="str">
        <f t="shared" si="31"/>
        <v>Jun</v>
      </c>
      <c r="G190" s="11" t="str">
        <f t="shared" si="32"/>
        <v>Jun'23/24</v>
      </c>
      <c r="H190" s="11" t="str">
        <f t="shared" si="33"/>
        <v>Jun'23/24</v>
      </c>
      <c r="I190" s="11">
        <f t="shared" si="34"/>
        <v>5.2827781695000011</v>
      </c>
    </row>
    <row r="191" spans="2:9" x14ac:dyDescent="0.55000000000000004">
      <c r="B191" s="11">
        <f t="shared" si="35"/>
        <v>10</v>
      </c>
      <c r="C191" s="11">
        <f t="shared" si="36"/>
        <v>10</v>
      </c>
      <c r="D191" s="12">
        <f t="shared" si="29"/>
        <v>547800</v>
      </c>
      <c r="E191" s="11" t="str">
        <f t="shared" si="30"/>
        <v>23/24</v>
      </c>
      <c r="F191" s="11" t="str">
        <f t="shared" si="31"/>
        <v>Jul</v>
      </c>
      <c r="G191" s="11" t="str">
        <f t="shared" si="32"/>
        <v>Jul'23/24</v>
      </c>
      <c r="H191" s="11" t="str">
        <f t="shared" si="33"/>
        <v>Jul'23/24</v>
      </c>
      <c r="I191" s="11">
        <f t="shared" si="34"/>
        <v>5.3946530363333345</v>
      </c>
    </row>
    <row r="192" spans="2:9" x14ac:dyDescent="0.55000000000000004">
      <c r="B192" s="11">
        <f t="shared" si="35"/>
        <v>10</v>
      </c>
      <c r="C192" s="11">
        <f t="shared" si="36"/>
        <v>11</v>
      </c>
      <c r="D192" s="12">
        <f t="shared" si="29"/>
        <v>362617.86316666659</v>
      </c>
      <c r="E192" s="11" t="str">
        <f t="shared" si="30"/>
        <v>23/24</v>
      </c>
      <c r="F192" s="11" t="str">
        <f t="shared" si="31"/>
        <v>Aug</v>
      </c>
      <c r="G192" s="11" t="str">
        <f t="shared" si="32"/>
        <v>Aug'23/24</v>
      </c>
      <c r="H192" s="11" t="str">
        <f t="shared" si="33"/>
        <v>Aug'23/24</v>
      </c>
      <c r="I192" s="11">
        <f t="shared" si="34"/>
        <v>5.3946530363333345</v>
      </c>
    </row>
    <row r="193" spans="2:9" x14ac:dyDescent="0.55000000000000004">
      <c r="B193" s="11">
        <f t="shared" si="35"/>
        <v>10</v>
      </c>
      <c r="C193" s="11">
        <f t="shared" si="36"/>
        <v>12</v>
      </c>
      <c r="D193" s="12">
        <f t="shared" si="29"/>
        <v>349299.87666666677</v>
      </c>
      <c r="E193" s="11" t="str">
        <f t="shared" si="30"/>
        <v>23/24</v>
      </c>
      <c r="F193" s="11" t="str">
        <f t="shared" si="31"/>
        <v>Sep</v>
      </c>
      <c r="G193" s="11" t="str">
        <f t="shared" si="32"/>
        <v>Sep'23/24</v>
      </c>
      <c r="H193" s="11" t="str">
        <f t="shared" si="33"/>
        <v>Sep'23/24</v>
      </c>
      <c r="I193" s="11">
        <f t="shared" si="34"/>
        <v>5.3946530363333345</v>
      </c>
    </row>
    <row r="194" spans="2:9" x14ac:dyDescent="0.55000000000000004">
      <c r="B194" s="11">
        <f t="shared" si="35"/>
        <v>11</v>
      </c>
      <c r="C194" s="11">
        <f t="shared" si="36"/>
        <v>1</v>
      </c>
      <c r="D194" s="12">
        <f t="shared" si="29"/>
        <v>243283</v>
      </c>
      <c r="E194" s="11" t="str">
        <f t="shared" si="30"/>
        <v>24/25</v>
      </c>
      <c r="F194" s="11" t="str">
        <f t="shared" si="31"/>
        <v>Oct</v>
      </c>
      <c r="G194" s="11" t="str">
        <f t="shared" si="32"/>
        <v>Oct'24/25</v>
      </c>
      <c r="H194" s="11" t="str">
        <f t="shared" si="33"/>
        <v>Oct'24/25</v>
      </c>
      <c r="I194" s="11">
        <f t="shared" si="34"/>
        <v>5.3082647770000015</v>
      </c>
    </row>
    <row r="195" spans="2:9" x14ac:dyDescent="0.55000000000000004">
      <c r="B195" s="11">
        <f t="shared" si="35"/>
        <v>11</v>
      </c>
      <c r="C195" s="11">
        <f t="shared" si="36"/>
        <v>2</v>
      </c>
      <c r="D195" s="12">
        <f t="shared" si="29"/>
        <v>243283</v>
      </c>
      <c r="E195" s="11" t="str">
        <f t="shared" si="30"/>
        <v>24/25</v>
      </c>
      <c r="F195" s="11" t="str">
        <f t="shared" si="31"/>
        <v>Nov</v>
      </c>
      <c r="G195" s="11" t="str">
        <f t="shared" si="32"/>
        <v>Nov'24/25</v>
      </c>
      <c r="H195" s="11" t="str">
        <f t="shared" si="33"/>
        <v>Nov'24/25</v>
      </c>
      <c r="I195" s="11">
        <f t="shared" si="34"/>
        <v>5.2205874680000015</v>
      </c>
    </row>
    <row r="196" spans="2:9" x14ac:dyDescent="0.55000000000000004">
      <c r="B196" s="11">
        <f t="shared" si="35"/>
        <v>11</v>
      </c>
      <c r="C196" s="11">
        <f t="shared" si="36"/>
        <v>3</v>
      </c>
      <c r="D196" s="12">
        <f t="shared" si="29"/>
        <v>218900</v>
      </c>
      <c r="E196" s="11" t="str">
        <f t="shared" si="30"/>
        <v>24/25</v>
      </c>
      <c r="F196" s="11" t="str">
        <f t="shared" si="31"/>
        <v>Dec</v>
      </c>
      <c r="G196" s="11" t="str">
        <f t="shared" si="32"/>
        <v>Dec'24/25</v>
      </c>
      <c r="H196" s="11" t="str">
        <f t="shared" si="33"/>
        <v>Dec'24/25</v>
      </c>
      <c r="I196" s="11">
        <f t="shared" si="34"/>
        <v>5.1724247573333342</v>
      </c>
    </row>
    <row r="197" spans="2:9" x14ac:dyDescent="0.55000000000000004">
      <c r="B197" s="11">
        <f t="shared" si="35"/>
        <v>11</v>
      </c>
      <c r="C197" s="11">
        <f t="shared" si="36"/>
        <v>4</v>
      </c>
      <c r="D197" s="12">
        <f t="shared" si="29"/>
        <v>320235</v>
      </c>
      <c r="E197" s="11" t="str">
        <f t="shared" si="30"/>
        <v>24/25</v>
      </c>
      <c r="F197" s="11" t="str">
        <f t="shared" si="31"/>
        <v>Jan</v>
      </c>
      <c r="G197" s="11" t="str">
        <f t="shared" si="32"/>
        <v>Jan'24/25</v>
      </c>
      <c r="H197" s="11" t="str">
        <f t="shared" si="33"/>
        <v>Jan'24/25</v>
      </c>
      <c r="I197" s="11">
        <f t="shared" si="34"/>
        <v>5.2127939740000011</v>
      </c>
    </row>
    <row r="198" spans="2:9" x14ac:dyDescent="0.55000000000000004">
      <c r="B198" s="11">
        <f t="shared" si="35"/>
        <v>11</v>
      </c>
      <c r="C198" s="11">
        <f t="shared" si="36"/>
        <v>5</v>
      </c>
      <c r="D198" s="12">
        <f t="shared" si="29"/>
        <v>428200</v>
      </c>
      <c r="E198" s="11" t="str">
        <f t="shared" si="30"/>
        <v>24/25</v>
      </c>
      <c r="F198" s="11" t="str">
        <f t="shared" si="31"/>
        <v>Feb</v>
      </c>
      <c r="G198" s="11" t="str">
        <f t="shared" si="32"/>
        <v>Feb'24/25</v>
      </c>
      <c r="H198" s="11" t="str">
        <f t="shared" si="33"/>
        <v>Feb'24/25</v>
      </c>
      <c r="I198" s="11">
        <f t="shared" si="34"/>
        <v>5.0832429363333338</v>
      </c>
    </row>
    <row r="199" spans="2:9" x14ac:dyDescent="0.55000000000000004">
      <c r="B199" s="11">
        <f t="shared" si="35"/>
        <v>11</v>
      </c>
      <c r="C199" s="11">
        <f t="shared" si="36"/>
        <v>6</v>
      </c>
      <c r="D199" s="12">
        <f t="shared" si="29"/>
        <v>587683.33333333337</v>
      </c>
      <c r="E199" s="11" t="str">
        <f t="shared" si="30"/>
        <v>24/25</v>
      </c>
      <c r="F199" s="11" t="str">
        <f t="shared" si="31"/>
        <v>Mar</v>
      </c>
      <c r="G199" s="11" t="str">
        <f t="shared" si="32"/>
        <v>Mar'24/25</v>
      </c>
      <c r="H199" s="11" t="str">
        <f t="shared" si="33"/>
        <v>Mar'24/25</v>
      </c>
      <c r="I199" s="11">
        <f t="shared" si="34"/>
        <v>4.9566218781666675</v>
      </c>
    </row>
    <row r="200" spans="2:9" x14ac:dyDescent="0.55000000000000004">
      <c r="B200" s="11">
        <f t="shared" si="35"/>
        <v>11</v>
      </c>
      <c r="C200" s="11">
        <f t="shared" si="36"/>
        <v>7</v>
      </c>
      <c r="D200" s="12">
        <f t="shared" si="29"/>
        <v>482637</v>
      </c>
      <c r="E200" s="11" t="str">
        <f t="shared" si="30"/>
        <v>24/25</v>
      </c>
      <c r="F200" s="11" t="str">
        <f t="shared" si="31"/>
        <v>Apr</v>
      </c>
      <c r="G200" s="11" t="str">
        <f t="shared" si="32"/>
        <v>Apr'24/25</v>
      </c>
      <c r="H200" s="11" t="str">
        <f t="shared" si="33"/>
        <v>Apr'24/25</v>
      </c>
      <c r="I200" s="11">
        <f t="shared" si="34"/>
        <v>4.9513678781666668</v>
      </c>
    </row>
    <row r="201" spans="2:9" x14ac:dyDescent="0.55000000000000004">
      <c r="B201" s="11">
        <f t="shared" si="35"/>
        <v>11</v>
      </c>
      <c r="C201" s="11">
        <f t="shared" si="36"/>
        <v>8</v>
      </c>
      <c r="D201" s="12">
        <f t="shared" si="29"/>
        <v>421033</v>
      </c>
      <c r="E201" s="11" t="str">
        <f t="shared" si="30"/>
        <v>24/25</v>
      </c>
      <c r="F201" s="11" t="str">
        <f t="shared" si="31"/>
        <v>May</v>
      </c>
      <c r="G201" s="11" t="str">
        <f t="shared" si="32"/>
        <v>May'24/25</v>
      </c>
      <c r="H201" s="11" t="str">
        <f t="shared" si="33"/>
        <v>May'24/25</v>
      </c>
      <c r="I201" s="11">
        <f t="shared" si="34"/>
        <v>4.7527720731666667</v>
      </c>
    </row>
    <row r="202" spans="2:9" x14ac:dyDescent="0.55000000000000004">
      <c r="B202" s="11">
        <f t="shared" si="35"/>
        <v>11</v>
      </c>
      <c r="C202" s="11">
        <f t="shared" si="36"/>
        <v>9</v>
      </c>
      <c r="D202" s="12">
        <f t="shared" si="29"/>
        <v>422000</v>
      </c>
      <c r="E202" s="11" t="str">
        <f t="shared" si="30"/>
        <v>24/25</v>
      </c>
      <c r="F202" s="11" t="str">
        <f t="shared" si="31"/>
        <v>Jun</v>
      </c>
      <c r="G202" s="11" t="str">
        <f t="shared" si="32"/>
        <v>Jun'24/25</v>
      </c>
      <c r="H202" s="11" t="str">
        <f t="shared" si="33"/>
        <v>Jun'24/25</v>
      </c>
      <c r="I202" s="11">
        <f t="shared" si="34"/>
        <v>4.6269720731666668</v>
      </c>
    </row>
    <row r="203" spans="2:9" x14ac:dyDescent="0.55000000000000004">
      <c r="B203" s="11">
        <f t="shared" si="35"/>
        <v>11</v>
      </c>
      <c r="C203" s="11">
        <f t="shared" si="36"/>
        <v>10</v>
      </c>
      <c r="D203" s="12">
        <f t="shared" ref="D203:D229" si="37">INDEX($C$7:$N$19,MATCH(B203,$A$7:$A$19),MATCH(C203,$C$4:$N$4))</f>
        <v>441416</v>
      </c>
      <c r="E203" s="11" t="str">
        <f t="shared" ref="E203:E229" si="38">_xlfn.XLOOKUP(B203,$A$7:$A$19,$B$7:$B$19)</f>
        <v>24/25</v>
      </c>
      <c r="F203" s="11" t="str">
        <f t="shared" ref="F203:F229" si="39">_xlfn.XLOOKUP(C203,$C$4:$N$4,$C$6:$N$6)</f>
        <v>Jul</v>
      </c>
      <c r="G203" s="11" t="str">
        <f t="shared" ref="G203:G229" si="40">_xlfn.CONCAT(F203,"'",E203)</f>
        <v>Jul'24/25</v>
      </c>
      <c r="H203" s="11" t="str">
        <f t="shared" si="33"/>
        <v>Jul'24/25</v>
      </c>
      <c r="I203" s="11">
        <f t="shared" si="34"/>
        <v>4.5205880731666666</v>
      </c>
    </row>
    <row r="204" spans="2:9" x14ac:dyDescent="0.55000000000000004">
      <c r="B204" s="11">
        <f t="shared" si="35"/>
        <v>11</v>
      </c>
      <c r="C204" s="11">
        <f t="shared" si="36"/>
        <v>11</v>
      </c>
      <c r="D204" s="12">
        <f t="shared" si="37"/>
        <v>310366</v>
      </c>
      <c r="E204" s="11" t="str">
        <f t="shared" si="38"/>
        <v>24/25</v>
      </c>
      <c r="F204" s="11" t="str">
        <f t="shared" si="39"/>
        <v>Aug</v>
      </c>
      <c r="G204" s="11" t="str">
        <f t="shared" si="40"/>
        <v>Aug'24/25</v>
      </c>
      <c r="H204" s="11" t="str">
        <f t="shared" si="33"/>
        <v>Aug'24/25</v>
      </c>
      <c r="I204" s="11">
        <f t="shared" si="34"/>
        <v>4.4683362100000004</v>
      </c>
    </row>
    <row r="205" spans="2:9" x14ac:dyDescent="0.55000000000000004">
      <c r="B205" s="11">
        <f t="shared" si="35"/>
        <v>11</v>
      </c>
      <c r="C205" s="11">
        <f t="shared" si="36"/>
        <v>12</v>
      </c>
      <c r="D205" s="12">
        <f t="shared" si="37"/>
        <v>324000</v>
      </c>
      <c r="E205" s="11" t="str">
        <f t="shared" si="38"/>
        <v>24/25</v>
      </c>
      <c r="F205" s="11" t="str">
        <f t="shared" si="39"/>
        <v>Sep</v>
      </c>
      <c r="G205" s="11" t="str">
        <f t="shared" si="40"/>
        <v>Sep'24/25</v>
      </c>
      <c r="H205" s="11" t="str">
        <f t="shared" si="33"/>
        <v>Sep'24/25</v>
      </c>
      <c r="I205" s="11">
        <f t="shared" si="34"/>
        <v>4.4430363333333336</v>
      </c>
    </row>
    <row r="206" spans="2:9" x14ac:dyDescent="0.55000000000000004">
      <c r="B206" s="11">
        <f t="shared" si="35"/>
        <v>12</v>
      </c>
      <c r="C206" s="11">
        <f t="shared" si="36"/>
        <v>1</v>
      </c>
      <c r="D206" s="12">
        <f t="shared" si="37"/>
        <v>313450</v>
      </c>
      <c r="E206" s="11" t="str">
        <f t="shared" si="38"/>
        <v>25/26</v>
      </c>
      <c r="F206" s="11" t="str">
        <f t="shared" si="39"/>
        <v>Oct</v>
      </c>
      <c r="G206" s="11" t="str">
        <f t="shared" si="40"/>
        <v>Oct'25/26</v>
      </c>
      <c r="H206" s="11" t="str">
        <f t="shared" si="33"/>
        <v>Oct'25/26</v>
      </c>
      <c r="I206" s="11">
        <f t="shared" si="34"/>
        <v>4.5132033333333341</v>
      </c>
    </row>
    <row r="207" spans="2:9" x14ac:dyDescent="0.55000000000000004">
      <c r="B207" s="11">
        <f t="shared" si="35"/>
        <v>12</v>
      </c>
      <c r="C207" s="11">
        <f t="shared" si="36"/>
        <v>2</v>
      </c>
      <c r="D207" s="12">
        <f t="shared" si="37"/>
        <v>311000</v>
      </c>
      <c r="E207" s="11" t="str">
        <f t="shared" si="38"/>
        <v>25/26</v>
      </c>
      <c r="F207" s="11" t="str">
        <f t="shared" si="39"/>
        <v>Nov</v>
      </c>
      <c r="G207" s="11" t="str">
        <f t="shared" si="40"/>
        <v>Nov'25/26</v>
      </c>
      <c r="H207" s="11" t="str">
        <f t="shared" si="33"/>
        <v>Nov'25/26</v>
      </c>
      <c r="I207" s="11">
        <f t="shared" si="34"/>
        <v>4.5809203333333341</v>
      </c>
    </row>
    <row r="208" spans="2:9" x14ac:dyDescent="0.55000000000000004">
      <c r="B208" s="11">
        <f t="shared" si="35"/>
        <v>12</v>
      </c>
      <c r="C208" s="11">
        <f t="shared" si="36"/>
        <v>3</v>
      </c>
      <c r="D208" s="12">
        <f t="shared" si="37"/>
        <v>340000</v>
      </c>
      <c r="E208" s="11" t="str">
        <f t="shared" si="38"/>
        <v>25/26</v>
      </c>
      <c r="F208" s="11" t="str">
        <f t="shared" si="39"/>
        <v>Dec</v>
      </c>
      <c r="G208" s="11" t="str">
        <f t="shared" si="40"/>
        <v>Dec'25/26</v>
      </c>
      <c r="H208" s="11" t="str">
        <f t="shared" si="33"/>
        <v>Dec'25/26</v>
      </c>
      <c r="I208" s="11">
        <f t="shared" si="34"/>
        <v>4.7020203333333344</v>
      </c>
    </row>
    <row r="209" spans="2:9" x14ac:dyDescent="0.55000000000000004">
      <c r="B209" s="11">
        <f t="shared" si="35"/>
        <v>12</v>
      </c>
      <c r="C209" s="11">
        <f t="shared" si="36"/>
        <v>4</v>
      </c>
      <c r="D209" s="12">
        <f t="shared" si="37"/>
        <v>300000</v>
      </c>
      <c r="E209" s="11" t="str">
        <f t="shared" si="38"/>
        <v>25/26</v>
      </c>
      <c r="F209" s="11" t="str">
        <f t="shared" si="39"/>
        <v>Jan</v>
      </c>
      <c r="G209" s="11" t="str">
        <f t="shared" si="40"/>
        <v>Jan'25/26</v>
      </c>
      <c r="H209" s="11" t="str">
        <f t="shared" si="33"/>
        <v>Jan'25/26</v>
      </c>
      <c r="I209" s="11">
        <f t="shared" si="34"/>
        <v>4.6817853333333339</v>
      </c>
    </row>
    <row r="210" spans="2:9" x14ac:dyDescent="0.55000000000000004">
      <c r="B210" s="11">
        <f t="shared" si="35"/>
        <v>12</v>
      </c>
      <c r="C210" s="11">
        <f t="shared" si="36"/>
        <v>5</v>
      </c>
      <c r="D210" s="12">
        <f t="shared" si="37"/>
        <v>550000</v>
      </c>
      <c r="E210" s="11" t="str">
        <f t="shared" si="38"/>
        <v>25/26</v>
      </c>
      <c r="F210" s="11" t="str">
        <f t="shared" si="39"/>
        <v>Feb</v>
      </c>
      <c r="G210" s="11" t="str">
        <f t="shared" si="40"/>
        <v>Feb'25/26</v>
      </c>
      <c r="H210" s="11" t="str">
        <f t="shared" si="33"/>
        <v>Feb'25/26</v>
      </c>
      <c r="I210" s="11">
        <f t="shared" si="34"/>
        <v>4.8035853333333343</v>
      </c>
    </row>
    <row r="211" spans="2:9" x14ac:dyDescent="0.55000000000000004">
      <c r="B211" s="11">
        <f t="shared" si="35"/>
        <v>12</v>
      </c>
      <c r="C211" s="11">
        <f t="shared" si="36"/>
        <v>6</v>
      </c>
      <c r="D211" s="12">
        <f t="shared" si="37"/>
        <v>549300</v>
      </c>
      <c r="E211" s="11" t="str">
        <f t="shared" si="38"/>
        <v>25/26</v>
      </c>
      <c r="F211" s="11" t="str">
        <f t="shared" si="39"/>
        <v>Mar</v>
      </c>
      <c r="G211" s="11" t="str">
        <f t="shared" si="40"/>
        <v>Mar'25/26</v>
      </c>
      <c r="H211" s="11" t="str">
        <f t="shared" si="33"/>
        <v>Mar'25/26</v>
      </c>
      <c r="I211" s="11">
        <f t="shared" si="34"/>
        <v>4.7652020000000004</v>
      </c>
    </row>
    <row r="212" spans="2:9" x14ac:dyDescent="0.55000000000000004">
      <c r="B212" s="11">
        <f t="shared" si="35"/>
        <v>12</v>
      </c>
      <c r="C212" s="11">
        <f t="shared" si="36"/>
        <v>7</v>
      </c>
      <c r="D212" s="12">
        <f t="shared" si="37"/>
        <v>545166.66666666674</v>
      </c>
      <c r="E212" s="11" t="str">
        <f t="shared" si="38"/>
        <v>25/26</v>
      </c>
      <c r="F212" s="11" t="str">
        <f t="shared" si="39"/>
        <v>Apr</v>
      </c>
      <c r="G212" s="11" t="str">
        <f t="shared" si="40"/>
        <v>Apr'25/26</v>
      </c>
      <c r="H212" s="11" t="str">
        <f t="shared" si="33"/>
        <v>Apr'25/26</v>
      </c>
      <c r="I212" s="11">
        <f t="shared" si="34"/>
        <v>4.8277316666666668</v>
      </c>
    </row>
    <row r="213" spans="2:9" x14ac:dyDescent="0.55000000000000004">
      <c r="B213" s="11">
        <f t="shared" si="35"/>
        <v>12</v>
      </c>
      <c r="C213" s="11">
        <f t="shared" si="36"/>
        <v>8</v>
      </c>
      <c r="D213" s="12" t="e">
        <f t="shared" si="37"/>
        <v>#N/A</v>
      </c>
      <c r="E213" s="11" t="str">
        <f t="shared" si="38"/>
        <v>25/26</v>
      </c>
      <c r="F213" s="11" t="str">
        <f t="shared" si="39"/>
        <v>May</v>
      </c>
      <c r="G213" s="11" t="str">
        <f t="shared" si="40"/>
        <v>May'25/26</v>
      </c>
      <c r="H213" s="11" t="str">
        <f t="shared" si="33"/>
        <v>May'25/26</v>
      </c>
      <c r="I213" s="11" t="e">
        <f t="shared" si="34"/>
        <v>#N/A</v>
      </c>
    </row>
    <row r="214" spans="2:9" x14ac:dyDescent="0.55000000000000004">
      <c r="B214" s="11">
        <f t="shared" si="35"/>
        <v>12</v>
      </c>
      <c r="C214" s="11">
        <f t="shared" si="36"/>
        <v>9</v>
      </c>
      <c r="D214" s="12" t="e">
        <f t="shared" si="37"/>
        <v>#N/A</v>
      </c>
      <c r="E214" s="11" t="str">
        <f t="shared" si="38"/>
        <v>25/26</v>
      </c>
      <c r="F214" s="11" t="str">
        <f t="shared" si="39"/>
        <v>Jun</v>
      </c>
      <c r="G214" s="11" t="str">
        <f t="shared" si="40"/>
        <v>Jun'25/26</v>
      </c>
      <c r="H214" s="11" t="str">
        <f t="shared" ref="H214:H229" si="41">G214</f>
        <v>Jun'25/26</v>
      </c>
      <c r="I214" s="11" t="e">
        <f t="shared" ref="I214:I229" si="42">SUM(D203:D214)/1000000</f>
        <v>#N/A</v>
      </c>
    </row>
    <row r="215" spans="2:9" x14ac:dyDescent="0.55000000000000004">
      <c r="B215" s="11">
        <f t="shared" ref="B215:B229" si="43">B203+1</f>
        <v>12</v>
      </c>
      <c r="C215" s="11">
        <f t="shared" ref="C215:C229" si="44">C203</f>
        <v>10</v>
      </c>
      <c r="D215" s="12" t="e">
        <f t="shared" si="37"/>
        <v>#N/A</v>
      </c>
      <c r="E215" s="11" t="str">
        <f t="shared" si="38"/>
        <v>25/26</v>
      </c>
      <c r="F215" s="11" t="str">
        <f t="shared" si="39"/>
        <v>Jul</v>
      </c>
      <c r="G215" s="11" t="str">
        <f t="shared" si="40"/>
        <v>Jul'25/26</v>
      </c>
      <c r="H215" s="11" t="str">
        <f t="shared" si="41"/>
        <v>Jul'25/26</v>
      </c>
      <c r="I215" s="11" t="e">
        <f t="shared" si="42"/>
        <v>#N/A</v>
      </c>
    </row>
    <row r="216" spans="2:9" x14ac:dyDescent="0.55000000000000004">
      <c r="B216" s="11">
        <f t="shared" si="43"/>
        <v>12</v>
      </c>
      <c r="C216" s="11">
        <f t="shared" si="44"/>
        <v>11</v>
      </c>
      <c r="D216" s="12" t="e">
        <f t="shared" si="37"/>
        <v>#N/A</v>
      </c>
      <c r="E216" s="11" t="str">
        <f t="shared" si="38"/>
        <v>25/26</v>
      </c>
      <c r="F216" s="11" t="str">
        <f t="shared" si="39"/>
        <v>Aug</v>
      </c>
      <c r="G216" s="11" t="str">
        <f t="shared" si="40"/>
        <v>Aug'25/26</v>
      </c>
      <c r="H216" s="11" t="str">
        <f t="shared" si="41"/>
        <v>Aug'25/26</v>
      </c>
      <c r="I216" s="11" t="e">
        <f t="shared" si="42"/>
        <v>#N/A</v>
      </c>
    </row>
    <row r="217" spans="2:9" x14ac:dyDescent="0.55000000000000004">
      <c r="B217" s="11">
        <f t="shared" si="43"/>
        <v>12</v>
      </c>
      <c r="C217" s="11">
        <f t="shared" si="44"/>
        <v>12</v>
      </c>
      <c r="D217" s="12" t="e">
        <f t="shared" si="37"/>
        <v>#N/A</v>
      </c>
      <c r="E217" s="11" t="str">
        <f t="shared" si="38"/>
        <v>25/26</v>
      </c>
      <c r="F217" s="11" t="str">
        <f t="shared" si="39"/>
        <v>Sep</v>
      </c>
      <c r="G217" s="11" t="str">
        <f t="shared" si="40"/>
        <v>Sep'25/26</v>
      </c>
      <c r="H217" s="11" t="str">
        <f t="shared" si="41"/>
        <v>Sep'25/26</v>
      </c>
      <c r="I217" s="11" t="e">
        <f t="shared" si="42"/>
        <v>#N/A</v>
      </c>
    </row>
    <row r="218" spans="2:9" x14ac:dyDescent="0.55000000000000004">
      <c r="B218" s="11">
        <f t="shared" si="43"/>
        <v>13</v>
      </c>
      <c r="C218" s="11">
        <f t="shared" si="44"/>
        <v>1</v>
      </c>
      <c r="D218" s="12" t="e">
        <f t="shared" si="37"/>
        <v>#N/A</v>
      </c>
      <c r="E218" s="11" t="str">
        <f t="shared" si="38"/>
        <v>26/27</v>
      </c>
      <c r="F218" s="11" t="str">
        <f t="shared" si="39"/>
        <v>Oct</v>
      </c>
      <c r="G218" s="11" t="str">
        <f t="shared" si="40"/>
        <v>Oct'26/27</v>
      </c>
      <c r="H218" s="11" t="str">
        <f t="shared" si="41"/>
        <v>Oct'26/27</v>
      </c>
      <c r="I218" s="11" t="e">
        <f t="shared" si="42"/>
        <v>#N/A</v>
      </c>
    </row>
    <row r="219" spans="2:9" x14ac:dyDescent="0.55000000000000004">
      <c r="B219" s="11">
        <f t="shared" si="43"/>
        <v>13</v>
      </c>
      <c r="C219" s="11">
        <f t="shared" si="44"/>
        <v>2</v>
      </c>
      <c r="D219" s="12" t="e">
        <f t="shared" si="37"/>
        <v>#N/A</v>
      </c>
      <c r="E219" s="11" t="str">
        <f t="shared" si="38"/>
        <v>26/27</v>
      </c>
      <c r="F219" s="11" t="str">
        <f t="shared" si="39"/>
        <v>Nov</v>
      </c>
      <c r="G219" s="11" t="str">
        <f t="shared" si="40"/>
        <v>Nov'26/27</v>
      </c>
      <c r="H219" s="11" t="str">
        <f t="shared" si="41"/>
        <v>Nov'26/27</v>
      </c>
      <c r="I219" s="11" t="e">
        <f t="shared" si="42"/>
        <v>#N/A</v>
      </c>
    </row>
    <row r="220" spans="2:9" x14ac:dyDescent="0.55000000000000004">
      <c r="B220" s="11">
        <f t="shared" si="43"/>
        <v>13</v>
      </c>
      <c r="C220" s="11">
        <f t="shared" si="44"/>
        <v>3</v>
      </c>
      <c r="D220" s="12" t="e">
        <f t="shared" si="37"/>
        <v>#N/A</v>
      </c>
      <c r="E220" s="11" t="str">
        <f t="shared" si="38"/>
        <v>26/27</v>
      </c>
      <c r="F220" s="11" t="str">
        <f t="shared" si="39"/>
        <v>Dec</v>
      </c>
      <c r="G220" s="11" t="str">
        <f t="shared" si="40"/>
        <v>Dec'26/27</v>
      </c>
      <c r="H220" s="11" t="str">
        <f t="shared" si="41"/>
        <v>Dec'26/27</v>
      </c>
      <c r="I220" s="11" t="e">
        <f t="shared" si="42"/>
        <v>#N/A</v>
      </c>
    </row>
    <row r="221" spans="2:9" x14ac:dyDescent="0.55000000000000004">
      <c r="B221" s="11">
        <f t="shared" si="43"/>
        <v>13</v>
      </c>
      <c r="C221" s="11">
        <f t="shared" si="44"/>
        <v>4</v>
      </c>
      <c r="D221" s="12" t="e">
        <f t="shared" si="37"/>
        <v>#N/A</v>
      </c>
      <c r="E221" s="11" t="str">
        <f t="shared" si="38"/>
        <v>26/27</v>
      </c>
      <c r="F221" s="11" t="str">
        <f t="shared" si="39"/>
        <v>Jan</v>
      </c>
      <c r="G221" s="11" t="str">
        <f t="shared" si="40"/>
        <v>Jan'26/27</v>
      </c>
      <c r="H221" s="11" t="str">
        <f t="shared" si="41"/>
        <v>Jan'26/27</v>
      </c>
      <c r="I221" s="11" t="e">
        <f t="shared" si="42"/>
        <v>#N/A</v>
      </c>
    </row>
    <row r="222" spans="2:9" x14ac:dyDescent="0.55000000000000004">
      <c r="B222" s="11">
        <f t="shared" si="43"/>
        <v>13</v>
      </c>
      <c r="C222" s="11">
        <f t="shared" si="44"/>
        <v>5</v>
      </c>
      <c r="D222" s="12" t="e">
        <f t="shared" si="37"/>
        <v>#N/A</v>
      </c>
      <c r="E222" s="11" t="str">
        <f t="shared" si="38"/>
        <v>26/27</v>
      </c>
      <c r="F222" s="11" t="str">
        <f t="shared" si="39"/>
        <v>Feb</v>
      </c>
      <c r="G222" s="11" t="str">
        <f t="shared" si="40"/>
        <v>Feb'26/27</v>
      </c>
      <c r="H222" s="11" t="str">
        <f t="shared" si="41"/>
        <v>Feb'26/27</v>
      </c>
      <c r="I222" s="11" t="e">
        <f t="shared" si="42"/>
        <v>#N/A</v>
      </c>
    </row>
    <row r="223" spans="2:9" x14ac:dyDescent="0.55000000000000004">
      <c r="B223" s="11">
        <f t="shared" si="43"/>
        <v>13</v>
      </c>
      <c r="C223" s="11">
        <f t="shared" si="44"/>
        <v>6</v>
      </c>
      <c r="D223" s="12" t="e">
        <f t="shared" si="37"/>
        <v>#N/A</v>
      </c>
      <c r="E223" s="11" t="str">
        <f t="shared" si="38"/>
        <v>26/27</v>
      </c>
      <c r="F223" s="11" t="str">
        <f t="shared" si="39"/>
        <v>Mar</v>
      </c>
      <c r="G223" s="11" t="str">
        <f t="shared" si="40"/>
        <v>Mar'26/27</v>
      </c>
      <c r="H223" s="11" t="str">
        <f t="shared" si="41"/>
        <v>Mar'26/27</v>
      </c>
      <c r="I223" s="11" t="e">
        <f t="shared" si="42"/>
        <v>#N/A</v>
      </c>
    </row>
    <row r="224" spans="2:9" x14ac:dyDescent="0.55000000000000004">
      <c r="B224" s="11">
        <f t="shared" si="43"/>
        <v>13</v>
      </c>
      <c r="C224" s="11">
        <f t="shared" si="44"/>
        <v>7</v>
      </c>
      <c r="D224" s="12" t="e">
        <f t="shared" si="37"/>
        <v>#N/A</v>
      </c>
      <c r="E224" s="11" t="str">
        <f t="shared" si="38"/>
        <v>26/27</v>
      </c>
      <c r="F224" s="11" t="str">
        <f t="shared" si="39"/>
        <v>Apr</v>
      </c>
      <c r="G224" s="11" t="str">
        <f t="shared" si="40"/>
        <v>Apr'26/27</v>
      </c>
      <c r="H224" s="11" t="str">
        <f t="shared" si="41"/>
        <v>Apr'26/27</v>
      </c>
      <c r="I224" s="11" t="e">
        <f t="shared" si="42"/>
        <v>#N/A</v>
      </c>
    </row>
    <row r="225" spans="2:9" x14ac:dyDescent="0.55000000000000004">
      <c r="B225" s="11">
        <f t="shared" si="43"/>
        <v>13</v>
      </c>
      <c r="C225" s="11">
        <f t="shared" si="44"/>
        <v>8</v>
      </c>
      <c r="D225" s="12" t="e">
        <f t="shared" si="37"/>
        <v>#N/A</v>
      </c>
      <c r="E225" s="11" t="str">
        <f t="shared" si="38"/>
        <v>26/27</v>
      </c>
      <c r="F225" s="11" t="str">
        <f t="shared" si="39"/>
        <v>May</v>
      </c>
      <c r="G225" s="11" t="str">
        <f t="shared" si="40"/>
        <v>May'26/27</v>
      </c>
      <c r="H225" s="11" t="str">
        <f t="shared" si="41"/>
        <v>May'26/27</v>
      </c>
      <c r="I225" s="11" t="e">
        <f t="shared" si="42"/>
        <v>#N/A</v>
      </c>
    </row>
    <row r="226" spans="2:9" x14ac:dyDescent="0.55000000000000004">
      <c r="B226" s="11">
        <f t="shared" si="43"/>
        <v>13</v>
      </c>
      <c r="C226" s="11">
        <f t="shared" si="44"/>
        <v>9</v>
      </c>
      <c r="D226" s="12" t="e">
        <f t="shared" si="37"/>
        <v>#N/A</v>
      </c>
      <c r="E226" s="11" t="str">
        <f t="shared" si="38"/>
        <v>26/27</v>
      </c>
      <c r="F226" s="11" t="str">
        <f t="shared" si="39"/>
        <v>Jun</v>
      </c>
      <c r="G226" s="11" t="str">
        <f t="shared" si="40"/>
        <v>Jun'26/27</v>
      </c>
      <c r="H226" s="11" t="str">
        <f t="shared" si="41"/>
        <v>Jun'26/27</v>
      </c>
      <c r="I226" s="11" t="e">
        <f t="shared" si="42"/>
        <v>#N/A</v>
      </c>
    </row>
    <row r="227" spans="2:9" x14ac:dyDescent="0.55000000000000004">
      <c r="B227" s="11">
        <f t="shared" si="43"/>
        <v>13</v>
      </c>
      <c r="C227" s="11">
        <f t="shared" si="44"/>
        <v>10</v>
      </c>
      <c r="D227" s="12" t="e">
        <f t="shared" si="37"/>
        <v>#N/A</v>
      </c>
      <c r="E227" s="11" t="str">
        <f t="shared" si="38"/>
        <v>26/27</v>
      </c>
      <c r="F227" s="11" t="str">
        <f t="shared" si="39"/>
        <v>Jul</v>
      </c>
      <c r="G227" s="11" t="str">
        <f t="shared" si="40"/>
        <v>Jul'26/27</v>
      </c>
      <c r="H227" s="11" t="str">
        <f t="shared" si="41"/>
        <v>Jul'26/27</v>
      </c>
      <c r="I227" s="11" t="e">
        <f t="shared" si="42"/>
        <v>#N/A</v>
      </c>
    </row>
    <row r="228" spans="2:9" x14ac:dyDescent="0.55000000000000004">
      <c r="B228" s="11">
        <f t="shared" si="43"/>
        <v>13</v>
      </c>
      <c r="C228" s="11">
        <f t="shared" si="44"/>
        <v>11</v>
      </c>
      <c r="D228" s="12" t="e">
        <f t="shared" si="37"/>
        <v>#N/A</v>
      </c>
      <c r="E228" s="11" t="str">
        <f t="shared" si="38"/>
        <v>26/27</v>
      </c>
      <c r="F228" s="11" t="str">
        <f t="shared" si="39"/>
        <v>Aug</v>
      </c>
      <c r="G228" s="11" t="str">
        <f t="shared" si="40"/>
        <v>Aug'26/27</v>
      </c>
      <c r="H228" s="11" t="str">
        <f t="shared" si="41"/>
        <v>Aug'26/27</v>
      </c>
      <c r="I228" s="11" t="e">
        <f t="shared" si="42"/>
        <v>#N/A</v>
      </c>
    </row>
    <row r="229" spans="2:9" x14ac:dyDescent="0.55000000000000004">
      <c r="B229" s="11">
        <f t="shared" si="43"/>
        <v>13</v>
      </c>
      <c r="C229" s="11">
        <f t="shared" si="44"/>
        <v>12</v>
      </c>
      <c r="D229" s="12" t="e">
        <f t="shared" si="37"/>
        <v>#N/A</v>
      </c>
      <c r="E229" s="11" t="str">
        <f t="shared" si="38"/>
        <v>26/27</v>
      </c>
      <c r="F229" s="11" t="str">
        <f t="shared" si="39"/>
        <v>Sep</v>
      </c>
      <c r="G229" s="11" t="str">
        <f t="shared" si="40"/>
        <v>Sep'26/27</v>
      </c>
      <c r="H229" s="11" t="str">
        <f t="shared" si="41"/>
        <v>Sep'26/27</v>
      </c>
      <c r="I229" s="11" t="e">
        <f t="shared" si="42"/>
        <v>#N/A</v>
      </c>
    </row>
  </sheetData>
  <mergeCells count="4">
    <mergeCell ref="A1:Y2"/>
    <mergeCell ref="C5:N5"/>
    <mergeCell ref="S6:U6"/>
    <mergeCell ref="N74:Y74"/>
  </mergeCells>
  <conditionalFormatting sqref="C7:N19">
    <cfRule type="cellIs" dxfId="2" priority="1" operator="greaterThanOrEqual">
      <formula>0</formula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{D375D591-0904-4D95-94D6-0F5A93664DE6}</x14:id>
        </ext>
      </extLst>
    </cfRule>
  </conditionalFormatting>
  <conditionalFormatting sqref="Q18:Q1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{7FB7985C-1AA4-47DF-8055-2D70436DBBD4}</x14:id>
        </ext>
      </extLst>
    </cfRule>
  </conditionalFormatting>
  <conditionalFormatting sqref="T7:T19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{FE0F07CA-8F44-49DD-A8D0-729EC71D5BD9}</x14:id>
        </ext>
      </extLst>
    </cfRule>
  </conditionalFormatting>
  <conditionalFormatting sqref="U1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{109D3B8A-2E83-4BB8-B93F-029E126C4BB9}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75D591-0904-4D95-94D6-0F5A93664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Q8:Q17</xm:sqref>
        </x14:conditionalFormatting>
        <x14:conditionalFormatting xmlns:xm="http://schemas.microsoft.com/office/excel/2006/main">
          <x14:cfRule type="dataBar" id="{7FB7985C-1AA4-47DF-8055-2D70436DBB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Q18:Q19</xm:sqref>
        </x14:conditionalFormatting>
        <x14:conditionalFormatting xmlns:xm="http://schemas.microsoft.com/office/excel/2006/main">
          <x14:cfRule type="dataBar" id="{FE0F07CA-8F44-49DD-A8D0-729EC71D5B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U8:U18</xm:sqref>
        </x14:conditionalFormatting>
        <x14:conditionalFormatting xmlns:xm="http://schemas.microsoft.com/office/excel/2006/main">
          <x14:cfRule type="dataBar" id="{109D3B8A-2E83-4BB8-B93F-029E126C4B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8992-A451-4316-9199-7ABEC6EF7376}">
  <sheetPr codeName="Sheet18"/>
  <dimension ref="A1:AI229"/>
  <sheetViews>
    <sheetView showGridLines="0" zoomScale="70" zoomScaleNormal="70" workbookViewId="0">
      <selection activeCell="X30" sqref="X30"/>
    </sheetView>
  </sheetViews>
  <sheetFormatPr defaultColWidth="8.83984375" defaultRowHeight="14.4" x14ac:dyDescent="0.55000000000000004"/>
  <cols>
    <col min="1" max="16384" width="8.83984375" style="11"/>
  </cols>
  <sheetData>
    <row r="1" spans="1:35" s="17" customFormat="1" ht="10.5" customHeight="1" x14ac:dyDescent="0.55000000000000004">
      <c r="A1" s="73" t="s">
        <v>80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16"/>
      <c r="AA1" s="16"/>
    </row>
    <row r="2" spans="1:35" s="17" customFormat="1" ht="27" customHeight="1" x14ac:dyDescent="0.5500000000000000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16"/>
      <c r="AA2" s="16"/>
      <c r="AB2" s="18"/>
      <c r="AC2" s="18"/>
      <c r="AH2" s="19" t="s">
        <v>0</v>
      </c>
      <c r="AI2" s="17" t="str">
        <f ca="1">_xlfn.CONCAT(AE5," | ",S6)</f>
        <v xml:space="preserve"> | YTD : Oct-Sep</v>
      </c>
    </row>
    <row r="3" spans="1:35" s="15" customFormat="1" ht="3.6" customHeight="1" x14ac:dyDescent="0.55000000000000004"/>
    <row r="4" spans="1:35" ht="16.5" customHeight="1" x14ac:dyDescent="0.55000000000000004">
      <c r="B4" s="14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</row>
    <row r="5" spans="1:35" ht="11.5" customHeight="1" x14ac:dyDescent="0.55000000000000004">
      <c r="B5" s="2"/>
      <c r="C5" s="74" t="str">
        <f>_xlfn.CONCAT(A1," (Monthly)")</f>
        <v>Vietnam &amp; Brazil : Total Coffee Exports (Monthly)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2"/>
      <c r="P5" s="2"/>
      <c r="Q5" s="2"/>
      <c r="R5" s="2"/>
      <c r="S5" s="2"/>
      <c r="T5" s="2"/>
      <c r="U5" s="2"/>
    </row>
    <row r="6" spans="1:35" x14ac:dyDescent="0.55000000000000004">
      <c r="B6" s="2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2"/>
      <c r="P6" s="4" t="s">
        <v>13</v>
      </c>
      <c r="Q6" s="4" t="s">
        <v>14</v>
      </c>
      <c r="R6" s="2"/>
      <c r="S6" s="75" t="str">
        <f ca="1">_xlfn.CONCAT("YTD : ",IF(C56=1,"Oct Only",_xlfn.CONCAT("Oct-",OFFSET(B6,0,$C$56,1,1))))</f>
        <v>YTD : Oct-Sep</v>
      </c>
      <c r="T6" s="75"/>
      <c r="U6" s="75"/>
    </row>
    <row r="7" spans="1:35" x14ac:dyDescent="0.55000000000000004">
      <c r="A7" s="14">
        <v>1</v>
      </c>
      <c r="B7" s="6" t="s">
        <v>15</v>
      </c>
      <c r="C7" s="23">
        <f>Vietnam!C7+'Brazil Robusta'!C7+'Brazil Arabica'!C7</f>
        <v>4838890</v>
      </c>
      <c r="D7" s="23">
        <f>Vietnam!D7+'Brazil Robusta'!D7+'Brazil Arabica'!D7</f>
        <v>4275055.666666667</v>
      </c>
      <c r="E7" s="23">
        <f>Vietnam!E7+'Brazil Robusta'!E7+'Brazil Arabica'!E7</f>
        <v>4605678.333333334</v>
      </c>
      <c r="F7" s="23">
        <f>Vietnam!F7+'Brazil Robusta'!F7+'Brazil Arabica'!F7</f>
        <v>5211031.666666667</v>
      </c>
      <c r="G7" s="23">
        <f>Vietnam!G7+'Brazil Robusta'!G7+'Brazil Arabica'!G7</f>
        <v>4302501.1697574891</v>
      </c>
      <c r="H7" s="23">
        <f>Vietnam!H7+'Brazil Robusta'!H7+'Brazil Arabica'!H7</f>
        <v>5208363</v>
      </c>
      <c r="I7" s="23">
        <f>Vietnam!I7+'Brazil Robusta'!I7+'Brazil Arabica'!I7</f>
        <v>4476294.666666667</v>
      </c>
      <c r="J7" s="23">
        <f>Vietnam!J7+'Brazil Robusta'!J7+'Brazil Arabica'!J7</f>
        <v>4278630.666666667</v>
      </c>
      <c r="K7" s="23">
        <f>Vietnam!K7+'Brazil Robusta'!K7+'Brazil Arabica'!K7</f>
        <v>4113266.666666667</v>
      </c>
      <c r="L7" s="23">
        <f>Vietnam!L7+'Brazil Robusta'!L7+'Brazil Arabica'!L7</f>
        <v>4523923</v>
      </c>
      <c r="M7" s="23">
        <f>Vietnam!M7+'Brazil Robusta'!M7+'Brazil Arabica'!M7</f>
        <v>4194465</v>
      </c>
      <c r="N7" s="23">
        <f>Vietnam!N7+'Brazil Robusta'!N7+'Brazil Arabica'!N7</f>
        <v>4441528.7359735975</v>
      </c>
      <c r="O7" s="6" t="s">
        <v>15</v>
      </c>
      <c r="P7" s="20">
        <f t="shared" ref="P7:P19" si="0">IF(COUNT(C7:N7)=12,SUM(C7:N7),"")</f>
        <v>54469628.572397754</v>
      </c>
      <c r="Q7" s="2"/>
      <c r="R7" s="2"/>
      <c r="S7" s="6" t="s">
        <v>15</v>
      </c>
      <c r="T7" s="20">
        <f ca="1">IFERROR(IF(SUM(OFFSET(C7,0,0,1,$C$56))=0,"",SUM(OFFSET(C7,0,0,1,$C$56))),"")</f>
        <v>54469628.572397754</v>
      </c>
      <c r="U7" s="2"/>
    </row>
    <row r="8" spans="1:35" x14ac:dyDescent="0.55000000000000004">
      <c r="A8" s="14">
        <v>2</v>
      </c>
      <c r="B8" s="6" t="s">
        <v>16</v>
      </c>
      <c r="C8" s="23">
        <f>Vietnam!C8+'Brazil Robusta'!C8+'Brazil Arabica'!C8</f>
        <v>4724246.333333334</v>
      </c>
      <c r="D8" s="23">
        <f>Vietnam!D8+'Brazil Robusta'!D8+'Brazil Arabica'!D8</f>
        <v>5059571.333333334</v>
      </c>
      <c r="E8" s="23">
        <f>Vietnam!E8+'Brazil Robusta'!E8+'Brazil Arabica'!E8</f>
        <v>5688176</v>
      </c>
      <c r="F8" s="23">
        <f>Vietnam!F8+'Brazil Robusta'!F8+'Brazil Arabica'!F8</f>
        <v>5763899.666666667</v>
      </c>
      <c r="G8" s="23">
        <f>Vietnam!G8+'Brazil Robusta'!G8+'Brazil Arabica'!G8</f>
        <v>4807688.666666667</v>
      </c>
      <c r="H8" s="23">
        <f>Vietnam!H8+'Brazil Robusta'!H8+'Brazil Arabica'!H8</f>
        <v>5817910</v>
      </c>
      <c r="I8" s="23">
        <f>Vietnam!I8+'Brazil Robusta'!I8+'Brazil Arabica'!I8</f>
        <v>5335272.666666667</v>
      </c>
      <c r="J8" s="23">
        <f>Vietnam!J8+'Brazil Robusta'!J8+'Brazil Arabica'!J8</f>
        <v>4914491.666666667</v>
      </c>
      <c r="K8" s="23">
        <f>Vietnam!K8+'Brazil Robusta'!K8+'Brazil Arabica'!K8</f>
        <v>4709406.666666667</v>
      </c>
      <c r="L8" s="23">
        <f>Vietnam!L8+'Brazil Robusta'!L8+'Brazil Arabica'!L8</f>
        <v>3992005</v>
      </c>
      <c r="M8" s="23">
        <f>Vietnam!M8+'Brazil Robusta'!M8+'Brazil Arabica'!M8</f>
        <v>5250931</v>
      </c>
      <c r="N8" s="23">
        <f>Vietnam!N8+'Brazil Robusta'!N8+'Brazil Arabica'!N8</f>
        <v>4897582.666666667</v>
      </c>
      <c r="O8" s="6" t="s">
        <v>16</v>
      </c>
      <c r="P8" s="20">
        <f t="shared" si="0"/>
        <v>60961181.666666664</v>
      </c>
      <c r="Q8" s="7">
        <f t="shared" ref="Q8:Q16" si="1">IFERROR(P8/P7-1,"")</f>
        <v>0.11917748044932464</v>
      </c>
      <c r="R8" s="2"/>
      <c r="S8" s="6" t="s">
        <v>16</v>
      </c>
      <c r="T8" s="20">
        <f t="shared" ref="T8:T19" ca="1" si="2">IFERROR(IF(SUM(OFFSET(C8,0,0,1,$C$56))=0,"",SUM(OFFSET(C8,0,0,1,$C$56))),"")</f>
        <v>60961181.666666664</v>
      </c>
      <c r="U8" s="7">
        <f t="shared" ref="U8:U17" ca="1" si="3">IFERROR(T8/T7-1,"")</f>
        <v>0.11917748044932464</v>
      </c>
    </row>
    <row r="9" spans="1:35" x14ac:dyDescent="0.55000000000000004">
      <c r="A9" s="14">
        <v>3</v>
      </c>
      <c r="B9" s="6" t="s">
        <v>17</v>
      </c>
      <c r="C9" s="23">
        <f>Vietnam!C9+'Brazil Robusta'!C9+'Brazil Arabica'!C9</f>
        <v>4995476.666666667</v>
      </c>
      <c r="D9" s="23">
        <f>Vietnam!D9+'Brazil Robusta'!D9+'Brazil Arabica'!D9</f>
        <v>4873694.333333334</v>
      </c>
      <c r="E9" s="23">
        <f>Vietnam!E9+'Brazil Robusta'!E9+'Brazil Arabica'!E9</f>
        <v>5392939.666666667</v>
      </c>
      <c r="F9" s="23">
        <f>Vietnam!F9+'Brazil Robusta'!F9+'Brazil Arabica'!F9</f>
        <v>5522500</v>
      </c>
      <c r="G9" s="23">
        <f>Vietnam!G9+'Brazil Robusta'!G9+'Brazil Arabica'!G9</f>
        <v>5130927</v>
      </c>
      <c r="H9" s="23">
        <f>Vietnam!H9+'Brazil Robusta'!H9+'Brazil Arabica'!H9</f>
        <v>5547792.666666667</v>
      </c>
      <c r="I9" s="23">
        <f>Vietnam!I9+'Brazil Robusta'!I9+'Brazil Arabica'!I9</f>
        <v>4352916.333333334</v>
      </c>
      <c r="J9" s="23">
        <f>Vietnam!J9+'Brazil Robusta'!J9+'Brazil Arabica'!J9</f>
        <v>4443034</v>
      </c>
      <c r="K9" s="23">
        <f>Vietnam!K9+'Brazil Robusta'!K9+'Brazil Arabica'!K9</f>
        <v>3923460.666666667</v>
      </c>
      <c r="L9" s="23">
        <f>Vietnam!L9+'Brazil Robusta'!L9+'Brazil Arabica'!L9</f>
        <v>3285094.3333333335</v>
      </c>
      <c r="M9" s="23">
        <f>Vietnam!M9+'Brazil Robusta'!M9+'Brazil Arabica'!M9</f>
        <v>3877768.6475507766</v>
      </c>
      <c r="N9" s="23">
        <f>Vietnam!N9+'Brazil Robusta'!N9+'Brazil Arabica'!N9</f>
        <v>3475200</v>
      </c>
      <c r="O9" s="6" t="s">
        <v>17</v>
      </c>
      <c r="P9" s="20">
        <f t="shared" si="0"/>
        <v>54820804.314217448</v>
      </c>
      <c r="Q9" s="7">
        <f t="shared" si="1"/>
        <v>-0.10072602243874729</v>
      </c>
      <c r="R9" s="2"/>
      <c r="S9" s="6" t="s">
        <v>17</v>
      </c>
      <c r="T9" s="20">
        <f t="shared" ca="1" si="2"/>
        <v>54820804.314217448</v>
      </c>
      <c r="U9" s="7">
        <f t="shared" ca="1" si="3"/>
        <v>-0.10072602243874729</v>
      </c>
    </row>
    <row r="10" spans="1:35" x14ac:dyDescent="0.55000000000000004">
      <c r="A10" s="14">
        <v>4</v>
      </c>
      <c r="B10" s="6" t="s">
        <v>18</v>
      </c>
      <c r="C10" s="23">
        <f>Vietnam!C10+'Brazil Robusta'!C10+'Brazil Arabica'!C10</f>
        <v>3912058.3333333335</v>
      </c>
      <c r="D10" s="23">
        <f>Vietnam!D10+'Brazil Robusta'!D10+'Brazil Arabica'!D10</f>
        <v>4459747.9446219383</v>
      </c>
      <c r="E10" s="23">
        <f>Vietnam!E10+'Brazil Robusta'!E10+'Brazil Arabica'!E10</f>
        <v>5354698.333333334</v>
      </c>
      <c r="F10" s="23">
        <f>Vietnam!F10+'Brazil Robusta'!F10+'Brazil Arabica'!F10</f>
        <v>6145059</v>
      </c>
      <c r="G10" s="23">
        <f>Vietnam!G10+'Brazil Robusta'!G10+'Brazil Arabica'!G10</f>
        <v>4519098</v>
      </c>
      <c r="H10" s="23">
        <f>Vietnam!H10+'Brazil Robusta'!H10+'Brazil Arabica'!H10</f>
        <v>5792761</v>
      </c>
      <c r="I10" s="23">
        <f>Vietnam!I10+'Brazil Robusta'!I10+'Brazil Arabica'!I10</f>
        <v>4765896</v>
      </c>
      <c r="J10" s="23">
        <f>Vietnam!J10+'Brazil Robusta'!J10+'Brazil Arabica'!J10</f>
        <v>4057383</v>
      </c>
      <c r="K10" s="23">
        <f>Vietnam!K10+'Brazil Robusta'!K10+'Brazil Arabica'!K10</f>
        <v>4660478.333333334</v>
      </c>
      <c r="L10" s="23">
        <f>Vietnam!L10+'Brazil Robusta'!L10+'Brazil Arabica'!L10</f>
        <v>4057222.3333333335</v>
      </c>
      <c r="M10" s="23">
        <f>Vietnam!M10+'Brazil Robusta'!M10+'Brazil Arabica'!M10</f>
        <v>5220494.333333334</v>
      </c>
      <c r="N10" s="23">
        <f>Vietnam!N10+'Brazil Robusta'!N10+'Brazil Arabica'!N10</f>
        <v>4844570</v>
      </c>
      <c r="O10" s="6" t="s">
        <v>18</v>
      </c>
      <c r="P10" s="20">
        <f t="shared" si="0"/>
        <v>57789466.611288615</v>
      </c>
      <c r="Q10" s="7">
        <f t="shared" si="1"/>
        <v>5.4152111305329154E-2</v>
      </c>
      <c r="R10" s="2"/>
      <c r="S10" s="6" t="s">
        <v>18</v>
      </c>
      <c r="T10" s="20">
        <f t="shared" ca="1" si="2"/>
        <v>57789466.611288615</v>
      </c>
      <c r="U10" s="7">
        <f t="shared" ca="1" si="3"/>
        <v>5.4152111305329154E-2</v>
      </c>
    </row>
    <row r="11" spans="1:35" x14ac:dyDescent="0.55000000000000004">
      <c r="A11" s="14">
        <v>5</v>
      </c>
      <c r="B11" s="6" t="s">
        <v>19</v>
      </c>
      <c r="C11" s="23">
        <f>Vietnam!C11+'Brazil Robusta'!C11+'Brazil Arabica'!C11</f>
        <v>5905736.666666667</v>
      </c>
      <c r="D11" s="23">
        <f>Vietnam!D11+'Brazil Robusta'!D11+'Brazil Arabica'!D11</f>
        <v>6223904.333333334</v>
      </c>
      <c r="E11" s="23">
        <f>Vietnam!E11+'Brazil Robusta'!E11+'Brazil Arabica'!E11</f>
        <v>6311954</v>
      </c>
      <c r="F11" s="23">
        <f>Vietnam!F11+'Brazil Robusta'!F11+'Brazil Arabica'!F11</f>
        <v>6803593</v>
      </c>
      <c r="G11" s="23">
        <f>Vietnam!G11+'Brazil Robusta'!G11+'Brazil Arabica'!G11</f>
        <v>5193502.666666667</v>
      </c>
      <c r="H11" s="23">
        <f>Vietnam!H11+'Brazil Robusta'!H11+'Brazil Arabica'!H11</f>
        <v>5589861.333333334</v>
      </c>
      <c r="I11" s="23">
        <f>Vietnam!I11+'Brazil Robusta'!I11+'Brazil Arabica'!I11</f>
        <v>5251004.666666667</v>
      </c>
      <c r="J11" s="23">
        <f>Vietnam!J11+'Brazil Robusta'!J11+'Brazil Arabica'!J11</f>
        <v>5655973.666666667</v>
      </c>
      <c r="K11" s="23">
        <f>Vietnam!K11+'Brazil Robusta'!K11+'Brazil Arabica'!K11</f>
        <v>4951434.333333334</v>
      </c>
      <c r="L11" s="23">
        <f>Vietnam!L11+'Brazil Robusta'!L11+'Brazil Arabica'!L11</f>
        <v>5033671</v>
      </c>
      <c r="M11" s="23">
        <f>Vietnam!M11+'Brazil Robusta'!M11+'Brazil Arabica'!M11</f>
        <v>4935287</v>
      </c>
      <c r="N11" s="23">
        <f>Vietnam!N11+'Brazil Robusta'!N11+'Brazil Arabica'!N11</f>
        <v>4722481.666666667</v>
      </c>
      <c r="O11" s="6" t="s">
        <v>19</v>
      </c>
      <c r="P11" s="20">
        <f t="shared" si="0"/>
        <v>66578404.333333328</v>
      </c>
      <c r="Q11" s="7">
        <f t="shared" si="1"/>
        <v>0.15208546189155991</v>
      </c>
      <c r="R11" s="2"/>
      <c r="S11" s="6" t="s">
        <v>19</v>
      </c>
      <c r="T11" s="20">
        <f t="shared" ca="1" si="2"/>
        <v>66578404.333333328</v>
      </c>
      <c r="U11" s="7">
        <f t="shared" ca="1" si="3"/>
        <v>0.15208546189155991</v>
      </c>
    </row>
    <row r="12" spans="1:35" x14ac:dyDescent="0.55000000000000004">
      <c r="A12" s="14">
        <v>6</v>
      </c>
      <c r="B12" s="6" t="s">
        <v>20</v>
      </c>
      <c r="C12" s="23">
        <f>Vietnam!C12+'Brazil Robusta'!C12+'Brazil Arabica'!C12</f>
        <v>5051709.666666667</v>
      </c>
      <c r="D12" s="23">
        <f>Vietnam!D12+'Brazil Robusta'!D12+'Brazil Arabica'!D12</f>
        <v>5087436.666666667</v>
      </c>
      <c r="E12" s="23">
        <f>Vietnam!E12+'Brazil Robusta'!E12+'Brazil Arabica'!E12</f>
        <v>5886214.666666667</v>
      </c>
      <c r="F12" s="23">
        <f>Vietnam!F12+'Brazil Robusta'!F12+'Brazil Arabica'!F12</f>
        <v>5706056.333333334</v>
      </c>
      <c r="G12" s="23">
        <f>Vietnam!G12+'Brazil Robusta'!G12+'Brazil Arabica'!G12</f>
        <v>5790450.666666667</v>
      </c>
      <c r="H12" s="23">
        <f>Vietnam!H12+'Brazil Robusta'!H12+'Brazil Arabica'!H12</f>
        <v>6306290.333333334</v>
      </c>
      <c r="I12" s="23">
        <f>Vietnam!I12+'Brazil Robusta'!I12+'Brazil Arabica'!I12</f>
        <v>5959663</v>
      </c>
      <c r="J12" s="23">
        <f>Vietnam!J12+'Brazil Robusta'!J12+'Brazil Arabica'!J12</f>
        <v>4845545.333333334</v>
      </c>
      <c r="K12" s="23">
        <f>Vietnam!K12+'Brazil Robusta'!K12+'Brazil Arabica'!K12</f>
        <v>4463472</v>
      </c>
      <c r="L12" s="23">
        <f>Vietnam!L12+'Brazil Robusta'!L12+'Brazil Arabica'!L12</f>
        <v>4571591</v>
      </c>
      <c r="M12" s="23">
        <f>Vietnam!M12+'Brazil Robusta'!M12+'Brazil Arabica'!M12</f>
        <v>4922572</v>
      </c>
      <c r="N12" s="23">
        <f>Vietnam!N12+'Brazil Robusta'!N12+'Brazil Arabica'!N12</f>
        <v>5526250.666666667</v>
      </c>
      <c r="O12" s="6" t="s">
        <v>20</v>
      </c>
      <c r="P12" s="20">
        <f t="shared" si="0"/>
        <v>64117252.333333336</v>
      </c>
      <c r="Q12" s="7">
        <f t="shared" si="1"/>
        <v>-3.6966220873632216E-2</v>
      </c>
      <c r="R12" s="2"/>
      <c r="S12" s="6" t="s">
        <v>20</v>
      </c>
      <c r="T12" s="20">
        <f t="shared" ca="1" si="2"/>
        <v>64117252.333333336</v>
      </c>
      <c r="U12" s="7">
        <f t="shared" ca="1" si="3"/>
        <v>-3.6966220873632216E-2</v>
      </c>
    </row>
    <row r="13" spans="1:35" x14ac:dyDescent="0.55000000000000004">
      <c r="A13" s="14">
        <v>7</v>
      </c>
      <c r="B13" s="6" t="s">
        <v>21</v>
      </c>
      <c r="C13" s="23">
        <f>Vietnam!C13+'Brazil Robusta'!C13+'Brazil Arabica'!C13</f>
        <v>5680359</v>
      </c>
      <c r="D13" s="23">
        <f>Vietnam!D13+'Brazil Robusta'!D13+'Brazil Arabica'!D13</f>
        <v>5951135.333333334</v>
      </c>
      <c r="E13" s="23">
        <f>Vietnam!E13+'Brazil Robusta'!E13+'Brazil Arabica'!E13</f>
        <v>6636125.333333334</v>
      </c>
      <c r="F13" s="23">
        <f>Vietnam!F13+'Brazil Robusta'!F13+'Brazil Arabica'!F13</f>
        <v>6285637.666666667</v>
      </c>
      <c r="G13" s="23">
        <f>Vietnam!G13+'Brazil Robusta'!G13+'Brazil Arabica'!G13</f>
        <v>5742864</v>
      </c>
      <c r="H13" s="23">
        <f>Vietnam!H13+'Brazil Robusta'!H13+'Brazil Arabica'!H13</f>
        <v>6330879.333333334</v>
      </c>
      <c r="I13" s="23">
        <f>Vietnam!I13+'Brazil Robusta'!I13+'Brazil Arabica'!I13</f>
        <v>5488599.666666667</v>
      </c>
      <c r="J13" s="23">
        <f>Vietnam!J13+'Brazil Robusta'!J13+'Brazil Arabica'!J13</f>
        <v>4567733.333333334</v>
      </c>
      <c r="K13" s="23">
        <f>Vietnam!K13+'Brazil Robusta'!K13+'Brazil Arabica'!K13</f>
        <v>4860331.666666667</v>
      </c>
      <c r="L13" s="23">
        <f>Vietnam!L13+'Brazil Robusta'!L13+'Brazil Arabica'!L13</f>
        <v>4536019</v>
      </c>
      <c r="M13" s="23">
        <f>Vietnam!M13+'Brazil Robusta'!M13+'Brazil Arabica'!M13</f>
        <v>4292171.666666667</v>
      </c>
      <c r="N13" s="23">
        <f>Vietnam!N13+'Brazil Robusta'!N13+'Brazil Arabica'!N13</f>
        <v>4551312.333333334</v>
      </c>
      <c r="O13" s="6" t="s">
        <v>21</v>
      </c>
      <c r="P13" s="20">
        <f t="shared" si="0"/>
        <v>64923168.333333336</v>
      </c>
      <c r="Q13" s="7">
        <f t="shared" si="1"/>
        <v>1.2569409490759131E-2</v>
      </c>
      <c r="R13" s="2"/>
      <c r="S13" s="6" t="s">
        <v>21</v>
      </c>
      <c r="T13" s="20">
        <f t="shared" ca="1" si="2"/>
        <v>64923168.333333336</v>
      </c>
      <c r="U13" s="7">
        <f t="shared" ca="1" si="3"/>
        <v>1.2569409490759131E-2</v>
      </c>
    </row>
    <row r="14" spans="1:35" x14ac:dyDescent="0.55000000000000004">
      <c r="A14" s="14">
        <v>8</v>
      </c>
      <c r="B14" s="6" t="s">
        <v>22</v>
      </c>
      <c r="C14" s="23">
        <f>Vietnam!C14+'Brazil Robusta'!C14+'Brazil Arabica'!C14</f>
        <v>5033318</v>
      </c>
      <c r="D14" s="23">
        <f>Vietnam!D14+'Brazil Robusta'!D14+'Brazil Arabica'!D14</f>
        <v>4764573.666666667</v>
      </c>
      <c r="E14" s="23">
        <f>Vietnam!E14+'Brazil Robusta'!E14+'Brazil Arabica'!E14</f>
        <v>6502655.333333334</v>
      </c>
      <c r="F14" s="23">
        <f>Vietnam!F14+'Brazil Robusta'!F14+'Brazil Arabica'!F14</f>
        <v>7153053.333333334</v>
      </c>
      <c r="G14" s="23">
        <f>Vietnam!G14+'Brazil Robusta'!G14+'Brazil Arabica'!G14</f>
        <v>5697305</v>
      </c>
      <c r="H14" s="23">
        <f>Vietnam!H14+'Brazil Robusta'!H14+'Brazil Arabica'!H14</f>
        <v>6955926</v>
      </c>
      <c r="I14" s="23">
        <f>Vietnam!I14+'Brazil Robusta'!I14+'Brazil Arabica'!I14</f>
        <v>5356323.333333334</v>
      </c>
      <c r="J14" s="23">
        <f>Vietnam!J14+'Brazil Robusta'!J14+'Brazil Arabica'!J14</f>
        <v>5047196.666666667</v>
      </c>
      <c r="K14" s="23">
        <f>Vietnam!K14+'Brazil Robusta'!K14+'Brazil Arabica'!K14</f>
        <v>5113039.333333334</v>
      </c>
      <c r="L14" s="23">
        <f>Vietnam!L14+'Brazil Robusta'!L14+'Brazil Arabica'!L14</f>
        <v>4097523.3333333335</v>
      </c>
      <c r="M14" s="23">
        <f>Vietnam!M14+'Brazil Robusta'!M14+'Brazil Arabica'!M14</f>
        <v>4391415.666666667</v>
      </c>
      <c r="N14" s="23">
        <f>Vietnam!N14+'Brazil Robusta'!N14+'Brazil Arabica'!N14</f>
        <v>4687027</v>
      </c>
      <c r="O14" s="6" t="s">
        <v>22</v>
      </c>
      <c r="P14" s="20">
        <f t="shared" si="0"/>
        <v>64799356.666666672</v>
      </c>
      <c r="Q14" s="7">
        <f t="shared" si="1"/>
        <v>-1.9070490526738038E-3</v>
      </c>
      <c r="R14" s="2"/>
      <c r="S14" s="6" t="s">
        <v>22</v>
      </c>
      <c r="T14" s="20">
        <f t="shared" ca="1" si="2"/>
        <v>64799356.666666672</v>
      </c>
      <c r="U14" s="7">
        <f t="shared" ca="1" si="3"/>
        <v>-1.9070490526738038E-3</v>
      </c>
    </row>
    <row r="15" spans="1:35" x14ac:dyDescent="0.55000000000000004">
      <c r="A15" s="14">
        <v>9</v>
      </c>
      <c r="B15" s="6" t="s">
        <v>23</v>
      </c>
      <c r="C15" s="23">
        <f>Vietnam!C15+'Brazil Robusta'!C15+'Brazil Arabica'!C15</f>
        <v>4610952</v>
      </c>
      <c r="D15" s="23">
        <f>Vietnam!D15+'Brazil Robusta'!D15+'Brazil Arabica'!D15</f>
        <v>5601198</v>
      </c>
      <c r="E15" s="23">
        <f>Vietnam!E15+'Brazil Robusta'!E15+'Brazil Arabica'!E15</f>
        <v>6181379.7000000002</v>
      </c>
      <c r="F15" s="23">
        <f>Vietnam!F15+'Brazil Robusta'!F15+'Brazil Arabica'!F15</f>
        <v>5309452.3341989312</v>
      </c>
      <c r="G15" s="23">
        <f>Vietnam!G15+'Brazil Robusta'!G15+'Brazil Arabica'!G15</f>
        <v>5035338.8064211532</v>
      </c>
      <c r="H15" s="23">
        <f>Vietnam!H15+'Brazil Robusta'!H15+'Brazil Arabica'!H15</f>
        <v>6361096.694444444</v>
      </c>
      <c r="I15" s="23">
        <f>Vietnam!I15+'Brazil Robusta'!I15+'Brazil Arabica'!I15</f>
        <v>5215142.027777778</v>
      </c>
      <c r="J15" s="23">
        <f>Vietnam!J15+'Brazil Robusta'!J15+'Brazil Arabica'!J15</f>
        <v>4650598.3320561945</v>
      </c>
      <c r="K15" s="23">
        <f>Vietnam!K15+'Brazil Robusta'!K15+'Brazil Arabica'!K15</f>
        <v>4702988.694444444</v>
      </c>
      <c r="L15" s="23">
        <f>Vietnam!L15+'Brazil Robusta'!L15+'Brazil Arabica'!L15</f>
        <v>4692794.2104717474</v>
      </c>
      <c r="M15" s="23">
        <f>Vietnam!M15+'Brazil Robusta'!M15+'Brazil Arabica'!M15</f>
        <v>4928216.694444444</v>
      </c>
      <c r="N15" s="23">
        <f>Vietnam!N15+'Brazil Robusta'!N15+'Brazil Arabica'!N15</f>
        <v>3978815.6944444445</v>
      </c>
      <c r="O15" s="6" t="s">
        <v>23</v>
      </c>
      <c r="P15" s="20">
        <f t="shared" si="0"/>
        <v>61267973.188703597</v>
      </c>
      <c r="Q15" s="7">
        <f t="shared" si="1"/>
        <v>-5.4497199657842388E-2</v>
      </c>
      <c r="R15" s="2"/>
      <c r="S15" s="6" t="s">
        <v>23</v>
      </c>
      <c r="T15" s="20">
        <f t="shared" ca="1" si="2"/>
        <v>61267973.188703597</v>
      </c>
      <c r="U15" s="7">
        <f t="shared" ca="1" si="3"/>
        <v>-5.4497199657842388E-2</v>
      </c>
    </row>
    <row r="16" spans="1:35" x14ac:dyDescent="0.55000000000000004">
      <c r="A16" s="14">
        <v>10</v>
      </c>
      <c r="B16" s="6" t="s">
        <v>24</v>
      </c>
      <c r="C16" s="23">
        <f>Vietnam!C16+'Brazil Robusta'!C16+'Brazil Arabica'!C16</f>
        <v>4855193</v>
      </c>
      <c r="D16" s="23">
        <f>Vietnam!D16+'Brazil Robusta'!D16+'Brazil Arabica'!D16</f>
        <v>6165363.333333334</v>
      </c>
      <c r="E16" s="23">
        <f>Vietnam!E16+'Brazil Robusta'!E16+'Brazil Arabica'!E16</f>
        <v>7260371.666666667</v>
      </c>
      <c r="F16" s="23">
        <f>Vietnam!F16+'Brazil Robusta'!F16+'Brazil Arabica'!F16</f>
        <v>7706679</v>
      </c>
      <c r="G16" s="23">
        <f>Vietnam!G16+'Brazil Robusta'!G16+'Brazil Arabica'!G16</f>
        <v>6063560</v>
      </c>
      <c r="H16" s="23">
        <f>Vietnam!H16+'Brazil Robusta'!H16+'Brazil Arabica'!H16</f>
        <v>7160936.333333334</v>
      </c>
      <c r="I16" s="23">
        <f>Vietnam!I16+'Brazil Robusta'!I16+'Brazil Arabica'!I16</f>
        <v>6464392</v>
      </c>
      <c r="J16" s="23">
        <f>Vietnam!J16+'Brazil Robusta'!J16+'Brazil Arabica'!J16</f>
        <v>5380650.333333334</v>
      </c>
      <c r="K16" s="23">
        <f>Vietnam!K16+'Brazil Robusta'!K16+'Brazil Arabica'!K16</f>
        <v>4489908.333333334</v>
      </c>
      <c r="L16" s="23">
        <f>Vietnam!L16+'Brazil Robusta'!L16+'Brazil Arabica'!L16</f>
        <v>4683420.333333334</v>
      </c>
      <c r="M16" s="23">
        <f>Vietnam!M16+'Brazil Robusta'!M16+'Brazil Arabica'!M16</f>
        <v>4758272.333333334</v>
      </c>
      <c r="N16" s="23">
        <f>Vietnam!N16+'Brazil Robusta'!N16+'Brazil Arabica'!N16</f>
        <v>5019928.666666667</v>
      </c>
      <c r="O16" s="6" t="s">
        <v>24</v>
      </c>
      <c r="P16" s="20">
        <f t="shared" si="0"/>
        <v>70008675.333333343</v>
      </c>
      <c r="Q16" s="7">
        <f t="shared" si="1"/>
        <v>0.14266347799214185</v>
      </c>
      <c r="R16" s="2"/>
      <c r="S16" s="6" t="s">
        <v>24</v>
      </c>
      <c r="T16" s="20">
        <f t="shared" ca="1" si="2"/>
        <v>70008675.333333343</v>
      </c>
      <c r="U16" s="7">
        <f t="shared" ca="1" si="3"/>
        <v>0.14266347799214185</v>
      </c>
    </row>
    <row r="17" spans="1:21" x14ac:dyDescent="0.55000000000000004">
      <c r="A17" s="14">
        <v>11</v>
      </c>
      <c r="B17" s="6" t="s">
        <v>25</v>
      </c>
      <c r="C17" s="23">
        <f>Vietnam!C17+'Brazil Robusta'!C17+'Brazil Arabica'!C17</f>
        <v>5540993</v>
      </c>
      <c r="D17" s="23">
        <f>Vietnam!D17+'Brazil Robusta'!D17+'Brazil Arabica'!D17</f>
        <v>5342896.666666667</v>
      </c>
      <c r="E17" s="23">
        <f>Vietnam!E17+'Brazil Robusta'!E17+'Brazil Arabica'!E17</f>
        <v>6800000</v>
      </c>
      <c r="F17" s="23">
        <f>Vietnam!F17+'Brazil Robusta'!F17+'Brazil Arabica'!F17</f>
        <v>5868913.666666667</v>
      </c>
      <c r="G17" s="23">
        <f>Vietnam!G17+'Brazil Robusta'!G17+'Brazil Arabica'!G17</f>
        <v>5969025.333333334</v>
      </c>
      <c r="H17" s="23">
        <f>Vietnam!H17+'Brazil Robusta'!H17+'Brazil Arabica'!H17</f>
        <v>5981745.333333334</v>
      </c>
      <c r="I17" s="23">
        <f>Vietnam!I17+'Brazil Robusta'!I17+'Brazil Arabica'!I17</f>
        <v>5569711.666666667</v>
      </c>
      <c r="J17" s="23">
        <f>Vietnam!J17+'Brazil Robusta'!J17+'Brazil Arabica'!J17</f>
        <v>5096233.666666667</v>
      </c>
      <c r="K17" s="23">
        <f>Vietnam!K17+'Brazil Robusta'!K17+'Brazil Arabica'!K17</f>
        <v>4272068.333333334</v>
      </c>
      <c r="L17" s="23">
        <f>Vietnam!L17+'Brazil Robusta'!L17+'Brazil Arabica'!L17</f>
        <v>4153698</v>
      </c>
      <c r="M17" s="23">
        <f>Vietnam!M17+'Brazil Robusta'!M17+'Brazil Arabica'!M17</f>
        <v>4301665</v>
      </c>
      <c r="N17" s="23">
        <f>Vietnam!N17+'Brazil Robusta'!N17+'Brazil Arabica'!N17</f>
        <v>4822124</v>
      </c>
      <c r="O17" s="6" t="s">
        <v>25</v>
      </c>
      <c r="P17" s="5">
        <f t="shared" si="0"/>
        <v>63719074.666666672</v>
      </c>
      <c r="Q17" s="7"/>
      <c r="R17" s="2"/>
      <c r="S17" s="6" t="s">
        <v>25</v>
      </c>
      <c r="T17" s="20">
        <f t="shared" ca="1" si="2"/>
        <v>63719074.666666672</v>
      </c>
      <c r="U17" s="7">
        <f t="shared" ca="1" si="3"/>
        <v>-8.9840303886909778E-2</v>
      </c>
    </row>
    <row r="18" spans="1:21" x14ac:dyDescent="0.55000000000000004">
      <c r="A18" s="14">
        <v>12</v>
      </c>
      <c r="B18" s="6" t="s">
        <v>26</v>
      </c>
      <c r="C18" s="23">
        <f>Vietnam!C18+'Brazil Robusta'!C18+'Brazil Arabica'!C18</f>
        <v>4975158</v>
      </c>
      <c r="D18" s="23">
        <f>Vietnam!D18+'Brazil Robusta'!D18+'Brazil Arabica'!D18</f>
        <v>4803801</v>
      </c>
      <c r="E18" s="23">
        <f>Vietnam!E18+'Brazil Robusta'!E18+'Brazil Arabica'!E18</f>
        <v>5917674</v>
      </c>
      <c r="F18" s="23">
        <f>Vietnam!F18+'Brazil Robusta'!F18+'Brazil Arabica'!F18</f>
        <v>6276243.333333334</v>
      </c>
      <c r="G18" s="23">
        <f>Vietnam!G18+'Brazil Robusta'!G18+'Brazil Arabica'!G18</f>
        <v>4672559.333333334</v>
      </c>
      <c r="H18" s="23">
        <f>Vietnam!H18+'Brazil Robusta'!H18+'Brazil Arabica'!H18</f>
        <v>5821316</v>
      </c>
      <c r="I18" s="23">
        <f>Vietnam!I18+'Brazil Robusta'!I18+'Brazil Arabica'!I18</f>
        <v>5950599</v>
      </c>
      <c r="J18" s="23">
        <f>Vietnam!J18+'Brazil Robusta'!J18+'Brazil Arabica'!J18</f>
        <v>4969724</v>
      </c>
      <c r="K18" s="23">
        <f>Vietnam!K18+'Brazil Robusta'!K18+'Brazil Arabica'!K18</f>
        <v>4596167.666666667</v>
      </c>
      <c r="L18" s="23">
        <f>Vietnam!L18+'Brazil Robusta'!L18+'Brazil Arabica'!L18</f>
        <v>4918881.333333334</v>
      </c>
      <c r="M18" s="23">
        <f>Vietnam!M18+'Brazil Robusta'!M18+'Brazil Arabica'!M18</f>
        <v>6053631.666666667</v>
      </c>
      <c r="N18" s="23">
        <f>Vietnam!N18+'Brazil Robusta'!N18+'Brazil Arabica'!N18</f>
        <v>5337560.666666667</v>
      </c>
      <c r="O18" s="6" t="s">
        <v>26</v>
      </c>
      <c r="P18" s="5">
        <f t="shared" si="0"/>
        <v>64293316</v>
      </c>
      <c r="Q18" s="7"/>
      <c r="R18" s="2"/>
      <c r="S18" s="6" t="s">
        <v>26</v>
      </c>
      <c r="T18" s="20">
        <f t="shared" ca="1" si="2"/>
        <v>64293316</v>
      </c>
      <c r="U18" s="7"/>
    </row>
    <row r="19" spans="1:21" x14ac:dyDescent="0.55000000000000004">
      <c r="A19" s="14">
        <v>13</v>
      </c>
      <c r="B19" s="6" t="s">
        <v>27</v>
      </c>
      <c r="C19" s="23" t="e">
        <f>Vietnam!C19+'Brazil Robusta'!C19+'Brazil Arabica'!C19</f>
        <v>#N/A</v>
      </c>
      <c r="D19" s="23" t="e">
        <f>Vietnam!D19+'Brazil Robusta'!D19+'Brazil Arabica'!D19</f>
        <v>#N/A</v>
      </c>
      <c r="E19" s="23" t="e">
        <f>Vietnam!E19+'Brazil Robusta'!E19+'Brazil Arabica'!E19</f>
        <v>#N/A</v>
      </c>
      <c r="F19" s="23" t="e">
        <f>Vietnam!F19+'Brazil Robusta'!F19+'Brazil Arabica'!F19</f>
        <v>#N/A</v>
      </c>
      <c r="G19" s="23" t="e">
        <f>Vietnam!G19+'Brazil Robusta'!G19+'Brazil Arabica'!G19</f>
        <v>#N/A</v>
      </c>
      <c r="H19" s="23" t="e">
        <f>Vietnam!H19+'Brazil Robusta'!H19+'Brazil Arabica'!H19</f>
        <v>#N/A</v>
      </c>
      <c r="I19" s="23" t="e">
        <f>Vietnam!I19+'Brazil Robusta'!I19+'Brazil Arabica'!I19</f>
        <v>#N/A</v>
      </c>
      <c r="J19" s="23" t="e">
        <f>Vietnam!J19+'Brazil Robusta'!J19+'Brazil Arabica'!J19</f>
        <v>#N/A</v>
      </c>
      <c r="K19" s="23" t="e">
        <f>Vietnam!K19+'Brazil Robusta'!K19+'Brazil Arabica'!K19</f>
        <v>#N/A</v>
      </c>
      <c r="L19" s="23" t="e">
        <f>Vietnam!L19+'Brazil Robusta'!L19+'Brazil Arabica'!L19</f>
        <v>#N/A</v>
      </c>
      <c r="M19" s="23" t="e">
        <f>Vietnam!M19+'Brazil Robusta'!M19+'Brazil Arabica'!M19</f>
        <v>#N/A</v>
      </c>
      <c r="N19" s="23" t="e">
        <f>Vietnam!N19+'Brazil Robusta'!N19+'Brazil Arabica'!N19</f>
        <v>#N/A</v>
      </c>
      <c r="O19" s="6" t="s">
        <v>27</v>
      </c>
      <c r="P19" s="5" t="str">
        <f t="shared" si="0"/>
        <v/>
      </c>
      <c r="Q19" s="7"/>
      <c r="R19" s="2"/>
      <c r="S19" s="6" t="s">
        <v>27</v>
      </c>
      <c r="T19" s="20" t="str">
        <f t="shared" ca="1" si="2"/>
        <v/>
      </c>
      <c r="U19" s="7"/>
    </row>
    <row r="20" spans="1:21" x14ac:dyDescent="0.55000000000000004">
      <c r="B20" s="8" t="s">
        <v>28</v>
      </c>
      <c r="C20" s="22">
        <f>IFERROR(C17/C16-1,"")</f>
        <v>0.14125082154303659</v>
      </c>
      <c r="D20" s="22">
        <f t="shared" ref="D20:N20" si="4">IFERROR(D17/D16-1,"")</f>
        <v>-0.13340116748999387</v>
      </c>
      <c r="E20" s="22">
        <f t="shared" si="4"/>
        <v>-6.3408829162327152E-2</v>
      </c>
      <c r="F20" s="22">
        <f t="shared" si="4"/>
        <v>-0.23846397823671295</v>
      </c>
      <c r="G20" s="22">
        <f t="shared" si="4"/>
        <v>-1.5590621131260529E-2</v>
      </c>
      <c r="H20" s="22">
        <f t="shared" si="4"/>
        <v>-0.16466994609503816</v>
      </c>
      <c r="I20" s="22">
        <f t="shared" si="4"/>
        <v>-0.13840131188413896</v>
      </c>
      <c r="J20" s="22">
        <f t="shared" si="4"/>
        <v>-5.2859161820030365E-2</v>
      </c>
      <c r="K20" s="22">
        <f t="shared" si="4"/>
        <v>-4.8517694310759918E-2</v>
      </c>
      <c r="L20" s="22">
        <f t="shared" si="4"/>
        <v>-0.11310587041763864</v>
      </c>
      <c r="M20" s="22">
        <f t="shared" si="4"/>
        <v>-9.5960739811936091E-2</v>
      </c>
      <c r="N20" s="22">
        <f t="shared" si="4"/>
        <v>-3.9403879975452583E-2</v>
      </c>
      <c r="O20" s="8"/>
      <c r="P20" s="2"/>
      <c r="Q20" s="2"/>
      <c r="R20" s="2"/>
      <c r="S20" s="8"/>
      <c r="T20" s="5"/>
      <c r="U20" s="2"/>
    </row>
    <row r="21" spans="1:21" x14ac:dyDescent="0.5500000000000000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55000000000000004">
      <c r="D22" s="2"/>
      <c r="E22" s="2"/>
      <c r="F22" s="2"/>
      <c r="G22" s="2"/>
      <c r="H22" s="5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7" spans="1:21" x14ac:dyDescent="0.55000000000000004">
      <c r="K27" s="13" t="str">
        <f ca="1">_xlfn.CONCAT(A1," | ",S6)</f>
        <v>Vietnam &amp; Brazil : Total Coffee Exports | YTD : Oct-Sep</v>
      </c>
      <c r="Q27" s="13" t="str">
        <f>_xlfn.CONCAT(A1," | ","Cumulative")</f>
        <v>Vietnam &amp; Brazil : Total Coffee Exports | Cumulative</v>
      </c>
    </row>
    <row r="56" spans="2:6" x14ac:dyDescent="0.55000000000000004">
      <c r="B56" s="9" t="s">
        <v>29</v>
      </c>
      <c r="C56" s="9">
        <f>COUNT(C17:N17)</f>
        <v>12</v>
      </c>
      <c r="D56" s="25" t="str">
        <f ca="1">OFFSET(B6,0,$C$56,1,1)</f>
        <v>Sep</v>
      </c>
      <c r="E56" s="11" t="str">
        <f>B17</f>
        <v>24/25</v>
      </c>
      <c r="F56" s="11" t="str">
        <f ca="1">_xlfn.CONCAT(D56,"'",E56)</f>
        <v>Sep'24/25</v>
      </c>
    </row>
    <row r="65" spans="1:25" x14ac:dyDescent="0.55000000000000004"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7</v>
      </c>
      <c r="I65" s="3" t="s">
        <v>8</v>
      </c>
      <c r="J65" s="3" t="s">
        <v>9</v>
      </c>
      <c r="K65" s="3" t="s">
        <v>10</v>
      </c>
      <c r="L65" s="3" t="s">
        <v>11</v>
      </c>
      <c r="M65" s="3" t="s">
        <v>12</v>
      </c>
      <c r="N65" s="3"/>
    </row>
    <row r="66" spans="1:25" x14ac:dyDescent="0.55000000000000004">
      <c r="A66" s="11" t="str">
        <f t="shared" ref="A66:M66" si="5">B17</f>
        <v>24/25</v>
      </c>
      <c r="B66" s="12">
        <f t="shared" si="5"/>
        <v>5540993</v>
      </c>
      <c r="C66" s="12">
        <f t="shared" si="5"/>
        <v>5342896.666666667</v>
      </c>
      <c r="D66" s="12">
        <f t="shared" si="5"/>
        <v>6800000</v>
      </c>
      <c r="E66" s="12">
        <f t="shared" si="5"/>
        <v>5868913.666666667</v>
      </c>
      <c r="F66" s="12">
        <f t="shared" si="5"/>
        <v>5969025.333333334</v>
      </c>
      <c r="G66" s="12">
        <f t="shared" si="5"/>
        <v>5981745.333333334</v>
      </c>
      <c r="H66" s="12">
        <f t="shared" si="5"/>
        <v>5569711.666666667</v>
      </c>
      <c r="I66" s="12">
        <f t="shared" si="5"/>
        <v>5096233.666666667</v>
      </c>
      <c r="J66" s="12">
        <f t="shared" si="5"/>
        <v>4272068.333333334</v>
      </c>
      <c r="K66" s="12">
        <f t="shared" si="5"/>
        <v>4153698</v>
      </c>
      <c r="L66" s="12">
        <f t="shared" si="5"/>
        <v>4301665</v>
      </c>
      <c r="M66" s="12">
        <f t="shared" si="5"/>
        <v>4822124</v>
      </c>
    </row>
    <row r="67" spans="1:25" x14ac:dyDescent="0.55000000000000004">
      <c r="A67" s="11" t="s">
        <v>30</v>
      </c>
      <c r="B67" s="12">
        <f t="shared" ref="B67:M67" si="6">MIN(C7:C16)</f>
        <v>3912058.3333333335</v>
      </c>
      <c r="C67" s="12">
        <f t="shared" si="6"/>
        <v>4275055.666666667</v>
      </c>
      <c r="D67" s="12">
        <f t="shared" si="6"/>
        <v>4605678.333333334</v>
      </c>
      <c r="E67" s="12">
        <f t="shared" si="6"/>
        <v>5211031.666666667</v>
      </c>
      <c r="F67" s="12">
        <f t="shared" si="6"/>
        <v>4302501.1697574891</v>
      </c>
      <c r="G67" s="12">
        <f t="shared" si="6"/>
        <v>5208363</v>
      </c>
      <c r="H67" s="12">
        <f t="shared" si="6"/>
        <v>4352916.333333334</v>
      </c>
      <c r="I67" s="12">
        <f t="shared" si="6"/>
        <v>4057383</v>
      </c>
      <c r="J67" s="12">
        <f t="shared" si="6"/>
        <v>3923460.666666667</v>
      </c>
      <c r="K67" s="12">
        <f t="shared" si="6"/>
        <v>3285094.3333333335</v>
      </c>
      <c r="L67" s="12">
        <f t="shared" si="6"/>
        <v>3877768.6475507766</v>
      </c>
      <c r="M67" s="12">
        <f t="shared" si="6"/>
        <v>3475200</v>
      </c>
      <c r="N67" s="12"/>
    </row>
    <row r="68" spans="1:25" x14ac:dyDescent="0.55000000000000004">
      <c r="A68" s="11" t="s">
        <v>31</v>
      </c>
      <c r="B68" s="12">
        <f t="shared" ref="B68:M68" si="7">MAX(C7:C16)</f>
        <v>5905736.666666667</v>
      </c>
      <c r="C68" s="12">
        <f t="shared" si="7"/>
        <v>6223904.333333334</v>
      </c>
      <c r="D68" s="12">
        <f t="shared" si="7"/>
        <v>7260371.666666667</v>
      </c>
      <c r="E68" s="12">
        <f t="shared" si="7"/>
        <v>7706679</v>
      </c>
      <c r="F68" s="12">
        <f t="shared" si="7"/>
        <v>6063560</v>
      </c>
      <c r="G68" s="12">
        <f t="shared" si="7"/>
        <v>7160936.333333334</v>
      </c>
      <c r="H68" s="12">
        <f t="shared" si="7"/>
        <v>6464392</v>
      </c>
      <c r="I68" s="12">
        <f t="shared" si="7"/>
        <v>5655973.666666667</v>
      </c>
      <c r="J68" s="12">
        <f t="shared" si="7"/>
        <v>5113039.333333334</v>
      </c>
      <c r="K68" s="12">
        <f t="shared" si="7"/>
        <v>5033671</v>
      </c>
      <c r="L68" s="12">
        <f t="shared" si="7"/>
        <v>5250931</v>
      </c>
      <c r="M68" s="12">
        <f t="shared" si="7"/>
        <v>5526250.666666667</v>
      </c>
      <c r="N68" s="12"/>
    </row>
    <row r="69" spans="1:25" x14ac:dyDescent="0.55000000000000004">
      <c r="A69" s="11" t="s">
        <v>32</v>
      </c>
      <c r="B69" s="12">
        <f t="shared" ref="B69:M69" si="8">AVERAGE(C12:C16)</f>
        <v>5046306.333333334</v>
      </c>
      <c r="C69" s="12">
        <f t="shared" si="8"/>
        <v>5513941.4000000004</v>
      </c>
      <c r="D69" s="12">
        <f t="shared" si="8"/>
        <v>6493349.3400000008</v>
      </c>
      <c r="E69" s="12">
        <f t="shared" si="8"/>
        <v>6432175.7335064532</v>
      </c>
      <c r="F69" s="12">
        <f t="shared" si="8"/>
        <v>5665903.6946175639</v>
      </c>
      <c r="G69" s="12">
        <f t="shared" si="8"/>
        <v>6623025.7388888896</v>
      </c>
      <c r="H69" s="12">
        <f t="shared" si="8"/>
        <v>5696824.0055555552</v>
      </c>
      <c r="I69" s="12">
        <f t="shared" si="8"/>
        <v>4898344.7997445734</v>
      </c>
      <c r="J69" s="12">
        <f t="shared" si="8"/>
        <v>4725948.0055555571</v>
      </c>
      <c r="K69" s="12">
        <f t="shared" si="8"/>
        <v>4516269.5754276831</v>
      </c>
      <c r="L69" s="12">
        <f t="shared" si="8"/>
        <v>4658529.6722222222</v>
      </c>
      <c r="M69" s="12">
        <f t="shared" si="8"/>
        <v>4752666.8722222224</v>
      </c>
      <c r="N69" s="12"/>
    </row>
    <row r="74" spans="1:25" x14ac:dyDescent="0.55000000000000004">
      <c r="B74" s="11">
        <v>1</v>
      </c>
      <c r="C74" s="11">
        <v>1</v>
      </c>
      <c r="D74" s="12">
        <f>INDEX($C$7:$N$19,MATCH(B74,$A$7:$A$19),MATCH(C74,$C$4:$N$4))</f>
        <v>4838890</v>
      </c>
      <c r="E74" s="11" t="str">
        <f>_xlfn.XLOOKUP(B74,$A$7:$A$19,$B$7:$B$19)</f>
        <v>14/15</v>
      </c>
      <c r="F74" s="11" t="str">
        <f>_xlfn.XLOOKUP(C74,$C$4:$N$4,$C$6:$N$6)</f>
        <v>Oct</v>
      </c>
      <c r="G74" s="11" t="str">
        <f>_xlfn.CONCAT(F74,"'",E74)</f>
        <v>Oct'14/15</v>
      </c>
      <c r="M74" s="2"/>
      <c r="N74" s="74" t="s">
        <v>33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x14ac:dyDescent="0.55000000000000004">
      <c r="B75" s="11">
        <v>1</v>
      </c>
      <c r="C75" s="11">
        <v>2</v>
      </c>
      <c r="D75" s="12">
        <f t="shared" ref="D75:D138" si="9">INDEX($C$7:$N$19,MATCH(B75,$A$7:$A$19),MATCH(C75,$C$4:$N$4))</f>
        <v>4275055.666666667</v>
      </c>
      <c r="E75" s="11" t="str">
        <f t="shared" ref="E75:E138" si="10">_xlfn.XLOOKUP(B75,$A$7:$A$19,$B$7:$B$19)</f>
        <v>14/15</v>
      </c>
      <c r="F75" s="11" t="str">
        <f t="shared" ref="F75:F138" si="11">_xlfn.XLOOKUP(C75,$C$4:$N$4,$C$6:$N$6)</f>
        <v>Nov</v>
      </c>
      <c r="G75" s="11" t="str">
        <f t="shared" ref="G75:G138" si="12">_xlfn.CONCAT(F75,"'",E75)</f>
        <v>Nov'14/15</v>
      </c>
      <c r="M75" s="2"/>
      <c r="N75" s="3" t="s">
        <v>1</v>
      </c>
      <c r="O75" s="3" t="s">
        <v>2</v>
      </c>
      <c r="P75" s="3" t="s">
        <v>3</v>
      </c>
      <c r="Q75" s="3" t="s">
        <v>4</v>
      </c>
      <c r="R75" s="3" t="s">
        <v>5</v>
      </c>
      <c r="S75" s="3" t="s">
        <v>6</v>
      </c>
      <c r="T75" s="3" t="s">
        <v>7</v>
      </c>
      <c r="U75" s="3" t="s">
        <v>8</v>
      </c>
      <c r="V75" s="3" t="s">
        <v>9</v>
      </c>
      <c r="W75" s="3" t="s">
        <v>10</v>
      </c>
      <c r="X75" s="3" t="s">
        <v>11</v>
      </c>
      <c r="Y75" s="3" t="s">
        <v>12</v>
      </c>
    </row>
    <row r="76" spans="1:25" x14ac:dyDescent="0.55000000000000004">
      <c r="B76" s="11">
        <v>1</v>
      </c>
      <c r="C76" s="11">
        <v>3</v>
      </c>
      <c r="D76" s="12">
        <f t="shared" si="9"/>
        <v>4605678.333333334</v>
      </c>
      <c r="E76" s="11" t="str">
        <f t="shared" si="10"/>
        <v>14/15</v>
      </c>
      <c r="F76" s="11" t="str">
        <f t="shared" si="11"/>
        <v>Dec</v>
      </c>
      <c r="G76" s="11" t="str">
        <f t="shared" si="12"/>
        <v>Dec'14/15</v>
      </c>
      <c r="M76" s="6" t="s">
        <v>15</v>
      </c>
      <c r="N76" s="5">
        <f>C7</f>
        <v>4838890</v>
      </c>
      <c r="O76" s="5">
        <f t="shared" ref="O76:Y88" si="13">N76+D7</f>
        <v>9113945.6666666679</v>
      </c>
      <c r="P76" s="5">
        <f t="shared" si="13"/>
        <v>13719624.000000002</v>
      </c>
      <c r="Q76" s="5">
        <f t="shared" si="13"/>
        <v>18930655.666666668</v>
      </c>
      <c r="R76" s="5">
        <f t="shared" si="13"/>
        <v>23233156.836424157</v>
      </c>
      <c r="S76" s="5">
        <f t="shared" si="13"/>
        <v>28441519.836424157</v>
      </c>
      <c r="T76" s="5">
        <f t="shared" si="13"/>
        <v>32917814.503090825</v>
      </c>
      <c r="U76" s="5">
        <f t="shared" si="13"/>
        <v>37196445.169757493</v>
      </c>
      <c r="V76" s="5">
        <f t="shared" si="13"/>
        <v>41309711.836424157</v>
      </c>
      <c r="W76" s="5">
        <f t="shared" si="13"/>
        <v>45833634.836424157</v>
      </c>
      <c r="X76" s="5">
        <f t="shared" si="13"/>
        <v>50028099.836424157</v>
      </c>
      <c r="Y76" s="5">
        <f t="shared" si="13"/>
        <v>54469628.572397754</v>
      </c>
    </row>
    <row r="77" spans="1:25" x14ac:dyDescent="0.55000000000000004">
      <c r="B77" s="11">
        <v>1</v>
      </c>
      <c r="C77" s="11">
        <v>4</v>
      </c>
      <c r="D77" s="12">
        <f t="shared" si="9"/>
        <v>5211031.666666667</v>
      </c>
      <c r="E77" s="11" t="str">
        <f t="shared" si="10"/>
        <v>14/15</v>
      </c>
      <c r="F77" s="11" t="str">
        <f t="shared" si="11"/>
        <v>Jan</v>
      </c>
      <c r="G77" s="11" t="str">
        <f t="shared" si="12"/>
        <v>Jan'14/15</v>
      </c>
      <c r="M77" s="6" t="s">
        <v>16</v>
      </c>
      <c r="N77" s="5">
        <f t="shared" ref="N77:N88" si="14">C8</f>
        <v>4724246.333333334</v>
      </c>
      <c r="O77" s="5">
        <f t="shared" si="13"/>
        <v>9783817.6666666679</v>
      </c>
      <c r="P77" s="5">
        <f t="shared" si="13"/>
        <v>15471993.666666668</v>
      </c>
      <c r="Q77" s="5">
        <f t="shared" si="13"/>
        <v>21235893.333333336</v>
      </c>
      <c r="R77" s="5">
        <f t="shared" si="13"/>
        <v>26043582.000000004</v>
      </c>
      <c r="S77" s="5">
        <f t="shared" si="13"/>
        <v>31861492.000000004</v>
      </c>
      <c r="T77" s="5">
        <f t="shared" si="13"/>
        <v>37196764.666666672</v>
      </c>
      <c r="U77" s="5">
        <f t="shared" si="13"/>
        <v>42111256.333333336</v>
      </c>
      <c r="V77" s="5">
        <f t="shared" si="13"/>
        <v>46820663</v>
      </c>
      <c r="W77" s="5">
        <f t="shared" si="13"/>
        <v>50812668</v>
      </c>
      <c r="X77" s="5">
        <f t="shared" si="13"/>
        <v>56063599</v>
      </c>
      <c r="Y77" s="5">
        <f t="shared" si="13"/>
        <v>60961181.666666664</v>
      </c>
    </row>
    <row r="78" spans="1:25" x14ac:dyDescent="0.55000000000000004">
      <c r="B78" s="11">
        <v>1</v>
      </c>
      <c r="C78" s="11">
        <v>5</v>
      </c>
      <c r="D78" s="12">
        <f t="shared" si="9"/>
        <v>4302501.1697574891</v>
      </c>
      <c r="E78" s="11" t="str">
        <f t="shared" si="10"/>
        <v>14/15</v>
      </c>
      <c r="F78" s="11" t="str">
        <f t="shared" si="11"/>
        <v>Feb</v>
      </c>
      <c r="G78" s="11" t="str">
        <f t="shared" si="12"/>
        <v>Feb'14/15</v>
      </c>
      <c r="M78" s="6" t="s">
        <v>17</v>
      </c>
      <c r="N78" s="5">
        <f t="shared" si="14"/>
        <v>4995476.666666667</v>
      </c>
      <c r="O78" s="5">
        <f t="shared" si="13"/>
        <v>9869171</v>
      </c>
      <c r="P78" s="5">
        <f t="shared" si="13"/>
        <v>15262110.666666668</v>
      </c>
      <c r="Q78" s="5">
        <f t="shared" si="13"/>
        <v>20784610.666666668</v>
      </c>
      <c r="R78" s="5">
        <f t="shared" si="13"/>
        <v>25915537.666666668</v>
      </c>
      <c r="S78" s="5">
        <f t="shared" si="13"/>
        <v>31463330.333333336</v>
      </c>
      <c r="T78" s="5">
        <f t="shared" si="13"/>
        <v>35816246.666666672</v>
      </c>
      <c r="U78" s="5">
        <f t="shared" si="13"/>
        <v>40259280.666666672</v>
      </c>
      <c r="V78" s="5">
        <f t="shared" si="13"/>
        <v>44182741.333333336</v>
      </c>
      <c r="W78" s="5">
        <f t="shared" si="13"/>
        <v>47467835.666666672</v>
      </c>
      <c r="X78" s="5">
        <f t="shared" si="13"/>
        <v>51345604.314217448</v>
      </c>
      <c r="Y78" s="5">
        <f t="shared" si="13"/>
        <v>54820804.314217448</v>
      </c>
    </row>
    <row r="79" spans="1:25" x14ac:dyDescent="0.55000000000000004">
      <c r="B79" s="11">
        <v>1</v>
      </c>
      <c r="C79" s="11">
        <v>6</v>
      </c>
      <c r="D79" s="12">
        <f t="shared" si="9"/>
        <v>5208363</v>
      </c>
      <c r="E79" s="11" t="str">
        <f t="shared" si="10"/>
        <v>14/15</v>
      </c>
      <c r="F79" s="11" t="str">
        <f t="shared" si="11"/>
        <v>Mar</v>
      </c>
      <c r="G79" s="11" t="str">
        <f t="shared" si="12"/>
        <v>Mar'14/15</v>
      </c>
      <c r="M79" s="6" t="s">
        <v>18</v>
      </c>
      <c r="N79" s="5">
        <f t="shared" si="14"/>
        <v>3912058.3333333335</v>
      </c>
      <c r="O79" s="5">
        <f t="shared" si="13"/>
        <v>8371806.2779552713</v>
      </c>
      <c r="P79" s="5">
        <f t="shared" si="13"/>
        <v>13726504.611288605</v>
      </c>
      <c r="Q79" s="5">
        <f t="shared" si="13"/>
        <v>19871563.611288607</v>
      </c>
      <c r="R79" s="5">
        <f t="shared" si="13"/>
        <v>24390661.611288607</v>
      </c>
      <c r="S79" s="5">
        <f t="shared" si="13"/>
        <v>30183422.611288607</v>
      </c>
      <c r="T79" s="5">
        <f t="shared" si="13"/>
        <v>34949318.611288607</v>
      </c>
      <c r="U79" s="5">
        <f t="shared" si="13"/>
        <v>39006701.611288607</v>
      </c>
      <c r="V79" s="5">
        <f t="shared" si="13"/>
        <v>43667179.944621943</v>
      </c>
      <c r="W79" s="5">
        <f t="shared" si="13"/>
        <v>47724402.277955279</v>
      </c>
      <c r="X79" s="5">
        <f t="shared" si="13"/>
        <v>52944896.611288615</v>
      </c>
      <c r="Y79" s="5">
        <f t="shared" si="13"/>
        <v>57789466.611288615</v>
      </c>
    </row>
    <row r="80" spans="1:25" x14ac:dyDescent="0.55000000000000004">
      <c r="B80" s="11">
        <v>1</v>
      </c>
      <c r="C80" s="11">
        <v>7</v>
      </c>
      <c r="D80" s="12">
        <f t="shared" si="9"/>
        <v>4476294.666666667</v>
      </c>
      <c r="E80" s="11" t="str">
        <f t="shared" si="10"/>
        <v>14/15</v>
      </c>
      <c r="F80" s="11" t="str">
        <f t="shared" si="11"/>
        <v>Apr</v>
      </c>
      <c r="G80" s="11" t="str">
        <f t="shared" si="12"/>
        <v>Apr'14/15</v>
      </c>
      <c r="M80" s="6" t="s">
        <v>19</v>
      </c>
      <c r="N80" s="5">
        <f t="shared" si="14"/>
        <v>5905736.666666667</v>
      </c>
      <c r="O80" s="5">
        <f t="shared" si="13"/>
        <v>12129641</v>
      </c>
      <c r="P80" s="5">
        <f t="shared" si="13"/>
        <v>18441595</v>
      </c>
      <c r="Q80" s="5">
        <f t="shared" si="13"/>
        <v>25245188</v>
      </c>
      <c r="R80" s="5">
        <f t="shared" si="13"/>
        <v>30438690.666666668</v>
      </c>
      <c r="S80" s="5">
        <f t="shared" si="13"/>
        <v>36028552</v>
      </c>
      <c r="T80" s="5">
        <f t="shared" si="13"/>
        <v>41279556.666666664</v>
      </c>
      <c r="U80" s="5">
        <f t="shared" si="13"/>
        <v>46935530.333333328</v>
      </c>
      <c r="V80" s="5">
        <f t="shared" si="13"/>
        <v>51886964.666666664</v>
      </c>
      <c r="W80" s="5">
        <f t="shared" si="13"/>
        <v>56920635.666666664</v>
      </c>
      <c r="X80" s="5">
        <f t="shared" si="13"/>
        <v>61855922.666666664</v>
      </c>
      <c r="Y80" s="5">
        <f t="shared" si="13"/>
        <v>66578404.333333328</v>
      </c>
    </row>
    <row r="81" spans="2:25" x14ac:dyDescent="0.55000000000000004">
      <c r="B81" s="11">
        <v>1</v>
      </c>
      <c r="C81" s="11">
        <v>8</v>
      </c>
      <c r="D81" s="12">
        <f t="shared" si="9"/>
        <v>4278630.666666667</v>
      </c>
      <c r="E81" s="11" t="str">
        <f t="shared" si="10"/>
        <v>14/15</v>
      </c>
      <c r="F81" s="11" t="str">
        <f t="shared" si="11"/>
        <v>May</v>
      </c>
      <c r="G81" s="11" t="str">
        <f t="shared" si="12"/>
        <v>May'14/15</v>
      </c>
      <c r="M81" s="6" t="s">
        <v>20</v>
      </c>
      <c r="N81" s="5">
        <f t="shared" si="14"/>
        <v>5051709.666666667</v>
      </c>
      <c r="O81" s="5">
        <f t="shared" si="13"/>
        <v>10139146.333333334</v>
      </c>
      <c r="P81" s="5">
        <f t="shared" si="13"/>
        <v>16025361</v>
      </c>
      <c r="Q81" s="5">
        <f t="shared" si="13"/>
        <v>21731417.333333336</v>
      </c>
      <c r="R81" s="5">
        <f t="shared" si="13"/>
        <v>27521868.000000004</v>
      </c>
      <c r="S81" s="5">
        <f t="shared" si="13"/>
        <v>33828158.333333336</v>
      </c>
      <c r="T81" s="5">
        <f t="shared" si="13"/>
        <v>39787821.333333336</v>
      </c>
      <c r="U81" s="5">
        <f t="shared" si="13"/>
        <v>44633366.666666672</v>
      </c>
      <c r="V81" s="5">
        <f t="shared" si="13"/>
        <v>49096838.666666672</v>
      </c>
      <c r="W81" s="5">
        <f t="shared" si="13"/>
        <v>53668429.666666672</v>
      </c>
      <c r="X81" s="5">
        <f t="shared" si="13"/>
        <v>58591001.666666672</v>
      </c>
      <c r="Y81" s="5">
        <f t="shared" si="13"/>
        <v>64117252.333333336</v>
      </c>
    </row>
    <row r="82" spans="2:25" x14ac:dyDescent="0.55000000000000004">
      <c r="B82" s="11">
        <v>1</v>
      </c>
      <c r="C82" s="11">
        <v>9</v>
      </c>
      <c r="D82" s="12">
        <f t="shared" si="9"/>
        <v>4113266.666666667</v>
      </c>
      <c r="E82" s="11" t="str">
        <f t="shared" si="10"/>
        <v>14/15</v>
      </c>
      <c r="F82" s="11" t="str">
        <f t="shared" si="11"/>
        <v>Jun</v>
      </c>
      <c r="G82" s="11" t="str">
        <f t="shared" si="12"/>
        <v>Jun'14/15</v>
      </c>
      <c r="M82" s="6" t="s">
        <v>21</v>
      </c>
      <c r="N82" s="5">
        <f t="shared" si="14"/>
        <v>5680359</v>
      </c>
      <c r="O82" s="5">
        <f t="shared" si="13"/>
        <v>11631494.333333334</v>
      </c>
      <c r="P82" s="5">
        <f t="shared" si="13"/>
        <v>18267619.666666668</v>
      </c>
      <c r="Q82" s="5">
        <f t="shared" si="13"/>
        <v>24553257.333333336</v>
      </c>
      <c r="R82" s="5">
        <f t="shared" si="13"/>
        <v>30296121.333333336</v>
      </c>
      <c r="S82" s="5">
        <f t="shared" si="13"/>
        <v>36627000.666666672</v>
      </c>
      <c r="T82" s="5">
        <f t="shared" si="13"/>
        <v>42115600.333333336</v>
      </c>
      <c r="U82" s="5">
        <f t="shared" si="13"/>
        <v>46683333.666666672</v>
      </c>
      <c r="V82" s="5">
        <f t="shared" si="13"/>
        <v>51543665.333333336</v>
      </c>
      <c r="W82" s="5">
        <f t="shared" si="13"/>
        <v>56079684.333333336</v>
      </c>
      <c r="X82" s="5">
        <f t="shared" si="13"/>
        <v>60371856</v>
      </c>
      <c r="Y82" s="5">
        <f t="shared" si="13"/>
        <v>64923168.333333336</v>
      </c>
    </row>
    <row r="83" spans="2:25" x14ac:dyDescent="0.55000000000000004">
      <c r="B83" s="11">
        <v>1</v>
      </c>
      <c r="C83" s="11">
        <v>10</v>
      </c>
      <c r="D83" s="12">
        <f t="shared" si="9"/>
        <v>4523923</v>
      </c>
      <c r="E83" s="11" t="str">
        <f t="shared" si="10"/>
        <v>14/15</v>
      </c>
      <c r="F83" s="11" t="str">
        <f t="shared" si="11"/>
        <v>Jul</v>
      </c>
      <c r="G83" s="11" t="str">
        <f t="shared" si="12"/>
        <v>Jul'14/15</v>
      </c>
      <c r="M83" s="6" t="s">
        <v>22</v>
      </c>
      <c r="N83" s="5">
        <f t="shared" si="14"/>
        <v>5033318</v>
      </c>
      <c r="O83" s="5">
        <f t="shared" si="13"/>
        <v>9797891.6666666679</v>
      </c>
      <c r="P83" s="5">
        <f t="shared" si="13"/>
        <v>16300547.000000002</v>
      </c>
      <c r="Q83" s="5">
        <f t="shared" si="13"/>
        <v>23453600.333333336</v>
      </c>
      <c r="R83" s="5">
        <f t="shared" si="13"/>
        <v>29150905.333333336</v>
      </c>
      <c r="S83" s="5">
        <f t="shared" si="13"/>
        <v>36106831.333333336</v>
      </c>
      <c r="T83" s="5">
        <f t="shared" si="13"/>
        <v>41463154.666666672</v>
      </c>
      <c r="U83" s="5">
        <f t="shared" si="13"/>
        <v>46510351.333333336</v>
      </c>
      <c r="V83" s="5">
        <f t="shared" si="13"/>
        <v>51623390.666666672</v>
      </c>
      <c r="W83" s="5">
        <f t="shared" si="13"/>
        <v>55720914.000000007</v>
      </c>
      <c r="X83" s="5">
        <f t="shared" si="13"/>
        <v>60112329.666666672</v>
      </c>
      <c r="Y83" s="5">
        <f t="shared" si="13"/>
        <v>64799356.666666672</v>
      </c>
    </row>
    <row r="84" spans="2:25" x14ac:dyDescent="0.55000000000000004">
      <c r="B84" s="11">
        <v>1</v>
      </c>
      <c r="C84" s="11">
        <v>11</v>
      </c>
      <c r="D84" s="12">
        <f t="shared" si="9"/>
        <v>4194465</v>
      </c>
      <c r="E84" s="11" t="str">
        <f t="shared" si="10"/>
        <v>14/15</v>
      </c>
      <c r="F84" s="11" t="str">
        <f t="shared" si="11"/>
        <v>Aug</v>
      </c>
      <c r="G84" s="11" t="str">
        <f t="shared" si="12"/>
        <v>Aug'14/15</v>
      </c>
      <c r="H84" s="11" t="s">
        <v>34</v>
      </c>
      <c r="I84" s="11" t="s">
        <v>44</v>
      </c>
      <c r="M84" s="6" t="s">
        <v>23</v>
      </c>
      <c r="N84" s="5">
        <f t="shared" si="14"/>
        <v>4610952</v>
      </c>
      <c r="O84" s="5">
        <f t="shared" si="13"/>
        <v>10212150</v>
      </c>
      <c r="P84" s="5">
        <f t="shared" si="13"/>
        <v>16393529.699999999</v>
      </c>
      <c r="Q84" s="5">
        <f t="shared" si="13"/>
        <v>21702982.034198932</v>
      </c>
      <c r="R84" s="5">
        <f t="shared" si="13"/>
        <v>26738320.840620086</v>
      </c>
      <c r="S84" s="5">
        <f t="shared" si="13"/>
        <v>33099417.53506453</v>
      </c>
      <c r="T84" s="5">
        <f t="shared" si="13"/>
        <v>38314559.562842309</v>
      </c>
      <c r="U84" s="5">
        <f t="shared" si="13"/>
        <v>42965157.894898504</v>
      </c>
      <c r="V84" s="5">
        <f t="shared" si="13"/>
        <v>47668146.589342952</v>
      </c>
      <c r="W84" s="5">
        <f t="shared" si="13"/>
        <v>52360940.799814701</v>
      </c>
      <c r="X84" s="5">
        <f t="shared" si="13"/>
        <v>57289157.494259149</v>
      </c>
      <c r="Y84" s="5">
        <f t="shared" si="13"/>
        <v>61267973.188703597</v>
      </c>
    </row>
    <row r="85" spans="2:25" x14ac:dyDescent="0.55000000000000004">
      <c r="B85" s="11">
        <v>1</v>
      </c>
      <c r="C85" s="11">
        <v>12</v>
      </c>
      <c r="D85" s="12">
        <f t="shared" si="9"/>
        <v>4441528.7359735975</v>
      </c>
      <c r="E85" s="11" t="str">
        <f t="shared" si="10"/>
        <v>14/15</v>
      </c>
      <c r="F85" s="11" t="str">
        <f t="shared" si="11"/>
        <v>Sep</v>
      </c>
      <c r="G85" s="11" t="str">
        <f t="shared" si="12"/>
        <v>Sep'14/15</v>
      </c>
      <c r="H85" s="11" t="str">
        <f>G85</f>
        <v>Sep'14/15</v>
      </c>
      <c r="I85" s="11">
        <f>SUM(D74:D85)/1000000</f>
        <v>54.469628572397752</v>
      </c>
      <c r="M85" s="6" t="s">
        <v>24</v>
      </c>
      <c r="N85" s="5">
        <f t="shared" si="14"/>
        <v>4855193</v>
      </c>
      <c r="O85" s="5">
        <f t="shared" si="13"/>
        <v>11020556.333333334</v>
      </c>
      <c r="P85" s="5">
        <f t="shared" si="13"/>
        <v>18280928</v>
      </c>
      <c r="Q85" s="5">
        <f t="shared" si="13"/>
        <v>25987607</v>
      </c>
      <c r="R85" s="5">
        <f t="shared" si="13"/>
        <v>32051167</v>
      </c>
      <c r="S85" s="5">
        <f t="shared" si="13"/>
        <v>39212103.333333336</v>
      </c>
      <c r="T85" s="5">
        <f t="shared" si="13"/>
        <v>45676495.333333336</v>
      </c>
      <c r="U85" s="5">
        <f t="shared" si="13"/>
        <v>51057145.666666672</v>
      </c>
      <c r="V85" s="5">
        <f t="shared" si="13"/>
        <v>55547054.000000007</v>
      </c>
      <c r="W85" s="5">
        <f t="shared" si="13"/>
        <v>60230474.333333343</v>
      </c>
      <c r="X85" s="5">
        <f t="shared" si="13"/>
        <v>64988746.666666679</v>
      </c>
      <c r="Y85" s="5">
        <f t="shared" si="13"/>
        <v>70008675.333333343</v>
      </c>
    </row>
    <row r="86" spans="2:25" x14ac:dyDescent="0.55000000000000004">
      <c r="B86" s="11">
        <f>B74+1</f>
        <v>2</v>
      </c>
      <c r="C86" s="11">
        <f>C74</f>
        <v>1</v>
      </c>
      <c r="D86" s="12">
        <f t="shared" si="9"/>
        <v>4724246.333333334</v>
      </c>
      <c r="E86" s="11" t="str">
        <f t="shared" si="10"/>
        <v>15/16</v>
      </c>
      <c r="F86" s="11" t="str">
        <f t="shared" si="11"/>
        <v>Oct</v>
      </c>
      <c r="G86" s="11" t="str">
        <f t="shared" si="12"/>
        <v>Oct'15/16</v>
      </c>
      <c r="H86" s="11" t="str">
        <f t="shared" ref="H86:H149" si="15">G86</f>
        <v>Oct'15/16</v>
      </c>
      <c r="I86" s="11">
        <f t="shared" ref="I86:I149" si="16">SUM(D75:D86)/1000000</f>
        <v>54.354984905731087</v>
      </c>
      <c r="M86" s="6" t="s">
        <v>25</v>
      </c>
      <c r="N86" s="5">
        <f t="shared" si="14"/>
        <v>5540993</v>
      </c>
      <c r="O86" s="5">
        <f t="shared" si="13"/>
        <v>10883889.666666668</v>
      </c>
      <c r="P86" s="5">
        <f t="shared" si="13"/>
        <v>17683889.666666668</v>
      </c>
      <c r="Q86" s="5">
        <f t="shared" si="13"/>
        <v>23552803.333333336</v>
      </c>
      <c r="R86" s="5">
        <f t="shared" si="13"/>
        <v>29521828.666666672</v>
      </c>
      <c r="S86" s="5">
        <f t="shared" si="13"/>
        <v>35503574.000000007</v>
      </c>
      <c r="T86" s="5">
        <f t="shared" si="13"/>
        <v>41073285.666666672</v>
      </c>
      <c r="U86" s="5">
        <f t="shared" si="13"/>
        <v>46169519.333333336</v>
      </c>
      <c r="V86" s="5">
        <f t="shared" si="13"/>
        <v>50441587.666666672</v>
      </c>
      <c r="W86" s="5">
        <f t="shared" si="13"/>
        <v>54595285.666666672</v>
      </c>
      <c r="X86" s="5">
        <f t="shared" si="13"/>
        <v>58896950.666666672</v>
      </c>
      <c r="Y86" s="5">
        <f t="shared" si="13"/>
        <v>63719074.666666672</v>
      </c>
    </row>
    <row r="87" spans="2:25" x14ac:dyDescent="0.55000000000000004">
      <c r="B87" s="11">
        <f t="shared" ref="B87:B150" si="17">B75+1</f>
        <v>2</v>
      </c>
      <c r="C87" s="11">
        <f t="shared" ref="C87:C150" si="18">C75</f>
        <v>2</v>
      </c>
      <c r="D87" s="12">
        <f t="shared" si="9"/>
        <v>5059571.333333334</v>
      </c>
      <c r="E87" s="11" t="str">
        <f t="shared" si="10"/>
        <v>15/16</v>
      </c>
      <c r="F87" s="11" t="str">
        <f t="shared" si="11"/>
        <v>Nov</v>
      </c>
      <c r="G87" s="11" t="str">
        <f t="shared" si="12"/>
        <v>Nov'15/16</v>
      </c>
      <c r="H87" s="11" t="str">
        <f t="shared" si="15"/>
        <v>Nov'15/16</v>
      </c>
      <c r="I87" s="11">
        <f t="shared" si="16"/>
        <v>55.139500572397758</v>
      </c>
      <c r="M87" s="6" t="s">
        <v>26</v>
      </c>
      <c r="N87" s="5">
        <f t="shared" si="14"/>
        <v>4975158</v>
      </c>
      <c r="O87" s="5">
        <f t="shared" si="13"/>
        <v>9778959</v>
      </c>
      <c r="P87" s="5">
        <f t="shared" si="13"/>
        <v>15696633</v>
      </c>
      <c r="Q87" s="5">
        <f t="shared" si="13"/>
        <v>21972876.333333336</v>
      </c>
      <c r="R87" s="5">
        <f t="shared" si="13"/>
        <v>26645435.666666672</v>
      </c>
      <c r="S87" s="5">
        <f t="shared" si="13"/>
        <v>32466751.666666672</v>
      </c>
      <c r="T87" s="5">
        <f t="shared" si="13"/>
        <v>38417350.666666672</v>
      </c>
      <c r="U87" s="5">
        <f t="shared" si="13"/>
        <v>43387074.666666672</v>
      </c>
      <c r="V87" s="5">
        <f t="shared" si="13"/>
        <v>47983242.333333336</v>
      </c>
      <c r="W87" s="5">
        <f t="shared" si="13"/>
        <v>52902123.666666672</v>
      </c>
      <c r="X87" s="5">
        <f t="shared" si="13"/>
        <v>58955755.333333336</v>
      </c>
      <c r="Y87" s="5">
        <f t="shared" si="13"/>
        <v>64293316</v>
      </c>
    </row>
    <row r="88" spans="2:25" x14ac:dyDescent="0.55000000000000004">
      <c r="B88" s="11">
        <f t="shared" si="17"/>
        <v>2</v>
      </c>
      <c r="C88" s="11">
        <f t="shared" si="18"/>
        <v>3</v>
      </c>
      <c r="D88" s="12">
        <f t="shared" si="9"/>
        <v>5688176</v>
      </c>
      <c r="E88" s="11" t="str">
        <f t="shared" si="10"/>
        <v>15/16</v>
      </c>
      <c r="F88" s="11" t="str">
        <f t="shared" si="11"/>
        <v>Dec</v>
      </c>
      <c r="G88" s="11" t="str">
        <f t="shared" si="12"/>
        <v>Dec'15/16</v>
      </c>
      <c r="H88" s="11" t="str">
        <f t="shared" si="15"/>
        <v>Dec'15/16</v>
      </c>
      <c r="I88" s="11">
        <f t="shared" si="16"/>
        <v>56.221998239064426</v>
      </c>
      <c r="M88" s="6" t="s">
        <v>27</v>
      </c>
      <c r="N88" s="5" t="e">
        <f t="shared" si="14"/>
        <v>#N/A</v>
      </c>
      <c r="O88" s="5" t="e">
        <f t="shared" si="13"/>
        <v>#N/A</v>
      </c>
      <c r="P88" s="5" t="e">
        <f t="shared" si="13"/>
        <v>#N/A</v>
      </c>
      <c r="Q88" s="5" t="e">
        <f t="shared" si="13"/>
        <v>#N/A</v>
      </c>
      <c r="R88" s="5" t="e">
        <f t="shared" si="13"/>
        <v>#N/A</v>
      </c>
      <c r="S88" s="5" t="e">
        <f t="shared" si="13"/>
        <v>#N/A</v>
      </c>
      <c r="T88" s="5" t="e">
        <f t="shared" si="13"/>
        <v>#N/A</v>
      </c>
      <c r="U88" s="5" t="e">
        <f t="shared" si="13"/>
        <v>#N/A</v>
      </c>
      <c r="V88" s="5" t="e">
        <f t="shared" si="13"/>
        <v>#N/A</v>
      </c>
      <c r="W88" s="5" t="e">
        <f t="shared" si="13"/>
        <v>#N/A</v>
      </c>
      <c r="X88" s="5" t="e">
        <f t="shared" si="13"/>
        <v>#N/A</v>
      </c>
      <c r="Y88" s="5" t="e">
        <f t="shared" si="13"/>
        <v>#N/A</v>
      </c>
    </row>
    <row r="89" spans="2:25" x14ac:dyDescent="0.55000000000000004">
      <c r="B89" s="11">
        <f t="shared" si="17"/>
        <v>2</v>
      </c>
      <c r="C89" s="11">
        <f t="shared" si="18"/>
        <v>4</v>
      </c>
      <c r="D89" s="12">
        <f t="shared" si="9"/>
        <v>5763899.666666667</v>
      </c>
      <c r="E89" s="11" t="str">
        <f t="shared" si="10"/>
        <v>15/16</v>
      </c>
      <c r="F89" s="11" t="str">
        <f t="shared" si="11"/>
        <v>Jan</v>
      </c>
      <c r="G89" s="11" t="str">
        <f t="shared" si="12"/>
        <v>Jan'15/16</v>
      </c>
      <c r="H89" s="11" t="str">
        <f t="shared" si="15"/>
        <v>Jan'15/16</v>
      </c>
      <c r="I89" s="11">
        <f t="shared" si="16"/>
        <v>56.774866239064423</v>
      </c>
    </row>
    <row r="90" spans="2:25" x14ac:dyDescent="0.55000000000000004">
      <c r="B90" s="11">
        <f t="shared" si="17"/>
        <v>2</v>
      </c>
      <c r="C90" s="11">
        <f t="shared" si="18"/>
        <v>5</v>
      </c>
      <c r="D90" s="12">
        <f t="shared" si="9"/>
        <v>4807688.666666667</v>
      </c>
      <c r="E90" s="11" t="str">
        <f t="shared" si="10"/>
        <v>15/16</v>
      </c>
      <c r="F90" s="11" t="str">
        <f t="shared" si="11"/>
        <v>Feb</v>
      </c>
      <c r="G90" s="11" t="str">
        <f t="shared" si="12"/>
        <v>Feb'15/16</v>
      </c>
      <c r="H90" s="11" t="str">
        <f t="shared" si="15"/>
        <v>Feb'15/16</v>
      </c>
      <c r="I90" s="11">
        <f t="shared" si="16"/>
        <v>57.280053735973596</v>
      </c>
    </row>
    <row r="91" spans="2:25" x14ac:dyDescent="0.55000000000000004">
      <c r="B91" s="11">
        <f t="shared" si="17"/>
        <v>2</v>
      </c>
      <c r="C91" s="11">
        <f t="shared" si="18"/>
        <v>6</v>
      </c>
      <c r="D91" s="12">
        <f t="shared" si="9"/>
        <v>5817910</v>
      </c>
      <c r="E91" s="11" t="str">
        <f t="shared" si="10"/>
        <v>15/16</v>
      </c>
      <c r="F91" s="11" t="str">
        <f t="shared" si="11"/>
        <v>Mar</v>
      </c>
      <c r="G91" s="11" t="str">
        <f t="shared" si="12"/>
        <v>Mar'15/16</v>
      </c>
      <c r="H91" s="11" t="str">
        <f t="shared" si="15"/>
        <v>Mar'15/16</v>
      </c>
      <c r="I91" s="11">
        <f t="shared" si="16"/>
        <v>57.889600735973595</v>
      </c>
    </row>
    <row r="92" spans="2:25" x14ac:dyDescent="0.55000000000000004">
      <c r="B92" s="11">
        <f t="shared" si="17"/>
        <v>2</v>
      </c>
      <c r="C92" s="11">
        <f t="shared" si="18"/>
        <v>7</v>
      </c>
      <c r="D92" s="12">
        <f t="shared" si="9"/>
        <v>5335272.666666667</v>
      </c>
      <c r="E92" s="11" t="str">
        <f t="shared" si="10"/>
        <v>15/16</v>
      </c>
      <c r="F92" s="11" t="str">
        <f t="shared" si="11"/>
        <v>Apr</v>
      </c>
      <c r="G92" s="11" t="str">
        <f t="shared" si="12"/>
        <v>Apr'15/16</v>
      </c>
      <c r="H92" s="11" t="str">
        <f t="shared" si="15"/>
        <v>Apr'15/16</v>
      </c>
      <c r="I92" s="11">
        <f t="shared" si="16"/>
        <v>58.748578735973595</v>
      </c>
    </row>
    <row r="93" spans="2:25" x14ac:dyDescent="0.55000000000000004">
      <c r="B93" s="11">
        <f t="shared" si="17"/>
        <v>2</v>
      </c>
      <c r="C93" s="11">
        <f t="shared" si="18"/>
        <v>8</v>
      </c>
      <c r="D93" s="12">
        <f t="shared" si="9"/>
        <v>4914491.666666667</v>
      </c>
      <c r="E93" s="11" t="str">
        <f t="shared" si="10"/>
        <v>15/16</v>
      </c>
      <c r="F93" s="11" t="str">
        <f t="shared" si="11"/>
        <v>May</v>
      </c>
      <c r="G93" s="11" t="str">
        <f t="shared" si="12"/>
        <v>May'15/16</v>
      </c>
      <c r="H93" s="11" t="str">
        <f t="shared" si="15"/>
        <v>May'15/16</v>
      </c>
      <c r="I93" s="11">
        <f t="shared" si="16"/>
        <v>59.384439735973586</v>
      </c>
    </row>
    <row r="94" spans="2:25" x14ac:dyDescent="0.55000000000000004">
      <c r="B94" s="11">
        <f t="shared" si="17"/>
        <v>2</v>
      </c>
      <c r="C94" s="11">
        <f t="shared" si="18"/>
        <v>9</v>
      </c>
      <c r="D94" s="12">
        <f t="shared" si="9"/>
        <v>4709406.666666667</v>
      </c>
      <c r="E94" s="11" t="str">
        <f t="shared" si="10"/>
        <v>15/16</v>
      </c>
      <c r="F94" s="11" t="str">
        <f t="shared" si="11"/>
        <v>Jun</v>
      </c>
      <c r="G94" s="11" t="str">
        <f t="shared" si="12"/>
        <v>Jun'15/16</v>
      </c>
      <c r="H94" s="11" t="str">
        <f t="shared" si="15"/>
        <v>Jun'15/16</v>
      </c>
      <c r="I94" s="11">
        <f t="shared" si="16"/>
        <v>59.980579735973592</v>
      </c>
    </row>
    <row r="95" spans="2:25" x14ac:dyDescent="0.55000000000000004">
      <c r="B95" s="11">
        <f t="shared" si="17"/>
        <v>2</v>
      </c>
      <c r="C95" s="11">
        <f t="shared" si="18"/>
        <v>10</v>
      </c>
      <c r="D95" s="12">
        <f t="shared" si="9"/>
        <v>3992005</v>
      </c>
      <c r="E95" s="11" t="str">
        <f t="shared" si="10"/>
        <v>15/16</v>
      </c>
      <c r="F95" s="11" t="str">
        <f t="shared" si="11"/>
        <v>Jul</v>
      </c>
      <c r="G95" s="11" t="str">
        <f t="shared" si="12"/>
        <v>Jul'15/16</v>
      </c>
      <c r="H95" s="11" t="str">
        <f t="shared" si="15"/>
        <v>Jul'15/16</v>
      </c>
      <c r="I95" s="11">
        <f t="shared" si="16"/>
        <v>59.448661735973587</v>
      </c>
    </row>
    <row r="96" spans="2:25" x14ac:dyDescent="0.55000000000000004">
      <c r="B96" s="11">
        <f t="shared" si="17"/>
        <v>2</v>
      </c>
      <c r="C96" s="11">
        <f t="shared" si="18"/>
        <v>11</v>
      </c>
      <c r="D96" s="12">
        <f t="shared" si="9"/>
        <v>5250931</v>
      </c>
      <c r="E96" s="11" t="str">
        <f t="shared" si="10"/>
        <v>15/16</v>
      </c>
      <c r="F96" s="11" t="str">
        <f t="shared" si="11"/>
        <v>Aug</v>
      </c>
      <c r="G96" s="11" t="str">
        <f t="shared" si="12"/>
        <v>Aug'15/16</v>
      </c>
      <c r="H96" s="11" t="str">
        <f t="shared" si="15"/>
        <v>Aug'15/16</v>
      </c>
      <c r="I96" s="11">
        <f t="shared" si="16"/>
        <v>60.505127735973595</v>
      </c>
    </row>
    <row r="97" spans="2:9" x14ac:dyDescent="0.55000000000000004">
      <c r="B97" s="11">
        <f t="shared" si="17"/>
        <v>2</v>
      </c>
      <c r="C97" s="11">
        <f t="shared" si="18"/>
        <v>12</v>
      </c>
      <c r="D97" s="12">
        <f t="shared" si="9"/>
        <v>4897582.666666667</v>
      </c>
      <c r="E97" s="11" t="str">
        <f t="shared" si="10"/>
        <v>15/16</v>
      </c>
      <c r="F97" s="11" t="str">
        <f t="shared" si="11"/>
        <v>Sep</v>
      </c>
      <c r="G97" s="11" t="str">
        <f t="shared" si="12"/>
        <v>Sep'15/16</v>
      </c>
      <c r="H97" s="11" t="str">
        <f t="shared" si="15"/>
        <v>Sep'15/16</v>
      </c>
      <c r="I97" s="11">
        <f t="shared" si="16"/>
        <v>60.961181666666661</v>
      </c>
    </row>
    <row r="98" spans="2:9" x14ac:dyDescent="0.55000000000000004">
      <c r="B98" s="11">
        <f t="shared" si="17"/>
        <v>3</v>
      </c>
      <c r="C98" s="11">
        <f t="shared" si="18"/>
        <v>1</v>
      </c>
      <c r="D98" s="12">
        <f t="shared" si="9"/>
        <v>4995476.666666667</v>
      </c>
      <c r="E98" s="11" t="str">
        <f t="shared" si="10"/>
        <v>16/17</v>
      </c>
      <c r="F98" s="11" t="str">
        <f t="shared" si="11"/>
        <v>Oct</v>
      </c>
      <c r="G98" s="11" t="str">
        <f t="shared" si="12"/>
        <v>Oct'16/17</v>
      </c>
      <c r="H98" s="11" t="str">
        <f t="shared" si="15"/>
        <v>Oct'16/17</v>
      </c>
      <c r="I98" s="11">
        <f t="shared" si="16"/>
        <v>61.232411999999989</v>
      </c>
    </row>
    <row r="99" spans="2:9" x14ac:dyDescent="0.55000000000000004">
      <c r="B99" s="11">
        <f t="shared" si="17"/>
        <v>3</v>
      </c>
      <c r="C99" s="11">
        <f t="shared" si="18"/>
        <v>2</v>
      </c>
      <c r="D99" s="12">
        <f t="shared" si="9"/>
        <v>4873694.333333334</v>
      </c>
      <c r="E99" s="11" t="str">
        <f t="shared" si="10"/>
        <v>16/17</v>
      </c>
      <c r="F99" s="11" t="str">
        <f t="shared" si="11"/>
        <v>Nov</v>
      </c>
      <c r="G99" s="11" t="str">
        <f t="shared" si="12"/>
        <v>Nov'16/17</v>
      </c>
      <c r="H99" s="11" t="str">
        <f t="shared" si="15"/>
        <v>Nov'16/17</v>
      </c>
      <c r="I99" s="11">
        <f t="shared" si="16"/>
        <v>61.046534999999999</v>
      </c>
    </row>
    <row r="100" spans="2:9" x14ac:dyDescent="0.55000000000000004">
      <c r="B100" s="11">
        <f t="shared" si="17"/>
        <v>3</v>
      </c>
      <c r="C100" s="11">
        <f t="shared" si="18"/>
        <v>3</v>
      </c>
      <c r="D100" s="12">
        <f t="shared" si="9"/>
        <v>5392939.666666667</v>
      </c>
      <c r="E100" s="11" t="str">
        <f t="shared" si="10"/>
        <v>16/17</v>
      </c>
      <c r="F100" s="11" t="str">
        <f t="shared" si="11"/>
        <v>Dec</v>
      </c>
      <c r="G100" s="11" t="str">
        <f t="shared" si="12"/>
        <v>Dec'16/17</v>
      </c>
      <c r="H100" s="11" t="str">
        <f t="shared" si="15"/>
        <v>Dec'16/17</v>
      </c>
      <c r="I100" s="11">
        <f t="shared" si="16"/>
        <v>60.751298666666663</v>
      </c>
    </row>
    <row r="101" spans="2:9" x14ac:dyDescent="0.55000000000000004">
      <c r="B101" s="11">
        <f t="shared" si="17"/>
        <v>3</v>
      </c>
      <c r="C101" s="11">
        <f t="shared" si="18"/>
        <v>4</v>
      </c>
      <c r="D101" s="12">
        <f t="shared" si="9"/>
        <v>5522500</v>
      </c>
      <c r="E101" s="11" t="str">
        <f t="shared" si="10"/>
        <v>16/17</v>
      </c>
      <c r="F101" s="11" t="str">
        <f t="shared" si="11"/>
        <v>Jan</v>
      </c>
      <c r="G101" s="11" t="str">
        <f t="shared" si="12"/>
        <v>Jan'16/17</v>
      </c>
      <c r="H101" s="11" t="str">
        <f t="shared" si="15"/>
        <v>Jan'16/17</v>
      </c>
      <c r="I101" s="11">
        <f t="shared" si="16"/>
        <v>60.509898999999997</v>
      </c>
    </row>
    <row r="102" spans="2:9" x14ac:dyDescent="0.55000000000000004">
      <c r="B102" s="11">
        <f t="shared" si="17"/>
        <v>3</v>
      </c>
      <c r="C102" s="11">
        <f t="shared" si="18"/>
        <v>5</v>
      </c>
      <c r="D102" s="12">
        <f t="shared" si="9"/>
        <v>5130927</v>
      </c>
      <c r="E102" s="11" t="str">
        <f t="shared" si="10"/>
        <v>16/17</v>
      </c>
      <c r="F102" s="11" t="str">
        <f t="shared" si="11"/>
        <v>Feb</v>
      </c>
      <c r="G102" s="11" t="str">
        <f t="shared" si="12"/>
        <v>Feb'16/17</v>
      </c>
      <c r="H102" s="11" t="str">
        <f t="shared" si="15"/>
        <v>Feb'16/17</v>
      </c>
      <c r="I102" s="11">
        <f t="shared" si="16"/>
        <v>60.833137333333333</v>
      </c>
    </row>
    <row r="103" spans="2:9" x14ac:dyDescent="0.55000000000000004">
      <c r="B103" s="11">
        <f t="shared" si="17"/>
        <v>3</v>
      </c>
      <c r="C103" s="11">
        <f t="shared" si="18"/>
        <v>6</v>
      </c>
      <c r="D103" s="12">
        <f t="shared" si="9"/>
        <v>5547792.666666667</v>
      </c>
      <c r="E103" s="11" t="str">
        <f t="shared" si="10"/>
        <v>16/17</v>
      </c>
      <c r="F103" s="11" t="str">
        <f t="shared" si="11"/>
        <v>Mar</v>
      </c>
      <c r="G103" s="11" t="str">
        <f t="shared" si="12"/>
        <v>Mar'16/17</v>
      </c>
      <c r="H103" s="11" t="str">
        <f t="shared" si="15"/>
        <v>Mar'16/17</v>
      </c>
      <c r="I103" s="11">
        <f t="shared" si="16"/>
        <v>60.563020000000002</v>
      </c>
    </row>
    <row r="104" spans="2:9" x14ac:dyDescent="0.55000000000000004">
      <c r="B104" s="11">
        <f t="shared" si="17"/>
        <v>3</v>
      </c>
      <c r="C104" s="11">
        <f t="shared" si="18"/>
        <v>7</v>
      </c>
      <c r="D104" s="12">
        <f t="shared" si="9"/>
        <v>4352916.333333334</v>
      </c>
      <c r="E104" s="11" t="str">
        <f t="shared" si="10"/>
        <v>16/17</v>
      </c>
      <c r="F104" s="11" t="str">
        <f t="shared" si="11"/>
        <v>Apr</v>
      </c>
      <c r="G104" s="11" t="str">
        <f t="shared" si="12"/>
        <v>Apr'16/17</v>
      </c>
      <c r="H104" s="11" t="str">
        <f t="shared" si="15"/>
        <v>Apr'16/17</v>
      </c>
      <c r="I104" s="11">
        <f t="shared" si="16"/>
        <v>59.580663666666673</v>
      </c>
    </row>
    <row r="105" spans="2:9" x14ac:dyDescent="0.55000000000000004">
      <c r="B105" s="11">
        <f t="shared" si="17"/>
        <v>3</v>
      </c>
      <c r="C105" s="11">
        <f t="shared" si="18"/>
        <v>8</v>
      </c>
      <c r="D105" s="12">
        <f t="shared" si="9"/>
        <v>4443034</v>
      </c>
      <c r="E105" s="11" t="str">
        <f t="shared" si="10"/>
        <v>16/17</v>
      </c>
      <c r="F105" s="11" t="str">
        <f t="shared" si="11"/>
        <v>May</v>
      </c>
      <c r="G105" s="11" t="str">
        <f t="shared" si="12"/>
        <v>May'16/17</v>
      </c>
      <c r="H105" s="11" t="str">
        <f t="shared" si="15"/>
        <v>May'16/17</v>
      </c>
      <c r="I105" s="11">
        <f t="shared" si="16"/>
        <v>59.109206</v>
      </c>
    </row>
    <row r="106" spans="2:9" x14ac:dyDescent="0.55000000000000004">
      <c r="B106" s="11">
        <f t="shared" si="17"/>
        <v>3</v>
      </c>
      <c r="C106" s="11">
        <f t="shared" si="18"/>
        <v>9</v>
      </c>
      <c r="D106" s="12">
        <f t="shared" si="9"/>
        <v>3923460.666666667</v>
      </c>
      <c r="E106" s="11" t="str">
        <f t="shared" si="10"/>
        <v>16/17</v>
      </c>
      <c r="F106" s="11" t="str">
        <f t="shared" si="11"/>
        <v>Jun</v>
      </c>
      <c r="G106" s="11" t="str">
        <f t="shared" si="12"/>
        <v>Jun'16/17</v>
      </c>
      <c r="H106" s="11" t="str">
        <f t="shared" si="15"/>
        <v>Jun'16/17</v>
      </c>
      <c r="I106" s="11">
        <f t="shared" si="16"/>
        <v>58.323260000000005</v>
      </c>
    </row>
    <row r="107" spans="2:9" x14ac:dyDescent="0.55000000000000004">
      <c r="B107" s="11">
        <f t="shared" si="17"/>
        <v>3</v>
      </c>
      <c r="C107" s="11">
        <f t="shared" si="18"/>
        <v>10</v>
      </c>
      <c r="D107" s="12">
        <f t="shared" si="9"/>
        <v>3285094.3333333335</v>
      </c>
      <c r="E107" s="11" t="str">
        <f t="shared" si="10"/>
        <v>16/17</v>
      </c>
      <c r="F107" s="11" t="str">
        <f t="shared" si="11"/>
        <v>Jul</v>
      </c>
      <c r="G107" s="11" t="str">
        <f t="shared" si="12"/>
        <v>Jul'16/17</v>
      </c>
      <c r="H107" s="11" t="str">
        <f t="shared" si="15"/>
        <v>Jul'16/17</v>
      </c>
      <c r="I107" s="11">
        <f t="shared" si="16"/>
        <v>57.616349333333346</v>
      </c>
    </row>
    <row r="108" spans="2:9" x14ac:dyDescent="0.55000000000000004">
      <c r="B108" s="11">
        <f t="shared" si="17"/>
        <v>3</v>
      </c>
      <c r="C108" s="11">
        <f t="shared" si="18"/>
        <v>11</v>
      </c>
      <c r="D108" s="12">
        <f t="shared" si="9"/>
        <v>3877768.6475507766</v>
      </c>
      <c r="E108" s="11" t="str">
        <f t="shared" si="10"/>
        <v>16/17</v>
      </c>
      <c r="F108" s="11" t="str">
        <f t="shared" si="11"/>
        <v>Aug</v>
      </c>
      <c r="G108" s="11" t="str">
        <f t="shared" si="12"/>
        <v>Aug'16/17</v>
      </c>
      <c r="H108" s="11" t="str">
        <f t="shared" si="15"/>
        <v>Aug'16/17</v>
      </c>
      <c r="I108" s="11">
        <f t="shared" si="16"/>
        <v>56.243186980884111</v>
      </c>
    </row>
    <row r="109" spans="2:9" x14ac:dyDescent="0.55000000000000004">
      <c r="B109" s="11">
        <f t="shared" si="17"/>
        <v>3</v>
      </c>
      <c r="C109" s="11">
        <f t="shared" si="18"/>
        <v>12</v>
      </c>
      <c r="D109" s="12">
        <f t="shared" si="9"/>
        <v>3475200</v>
      </c>
      <c r="E109" s="11" t="str">
        <f t="shared" si="10"/>
        <v>16/17</v>
      </c>
      <c r="F109" s="11" t="str">
        <f t="shared" si="11"/>
        <v>Sep</v>
      </c>
      <c r="G109" s="11" t="str">
        <f t="shared" si="12"/>
        <v>Sep'16/17</v>
      </c>
      <c r="H109" s="11" t="str">
        <f t="shared" si="15"/>
        <v>Sep'16/17</v>
      </c>
      <c r="I109" s="11">
        <f t="shared" si="16"/>
        <v>54.820804314217447</v>
      </c>
    </row>
    <row r="110" spans="2:9" x14ac:dyDescent="0.55000000000000004">
      <c r="B110" s="11">
        <f t="shared" si="17"/>
        <v>4</v>
      </c>
      <c r="C110" s="11">
        <f t="shared" si="18"/>
        <v>1</v>
      </c>
      <c r="D110" s="12">
        <f t="shared" si="9"/>
        <v>3912058.3333333335</v>
      </c>
      <c r="E110" s="11" t="str">
        <f t="shared" si="10"/>
        <v>17/18</v>
      </c>
      <c r="F110" s="11" t="str">
        <f t="shared" si="11"/>
        <v>Oct</v>
      </c>
      <c r="G110" s="11" t="str">
        <f t="shared" si="12"/>
        <v>Oct'17/18</v>
      </c>
      <c r="H110" s="11" t="str">
        <f t="shared" si="15"/>
        <v>Oct'17/18</v>
      </c>
      <c r="I110" s="11">
        <f t="shared" si="16"/>
        <v>53.737385980884113</v>
      </c>
    </row>
    <row r="111" spans="2:9" x14ac:dyDescent="0.55000000000000004">
      <c r="B111" s="11">
        <f t="shared" si="17"/>
        <v>4</v>
      </c>
      <c r="C111" s="11">
        <f t="shared" si="18"/>
        <v>2</v>
      </c>
      <c r="D111" s="12">
        <f t="shared" si="9"/>
        <v>4459747.9446219383</v>
      </c>
      <c r="E111" s="11" t="str">
        <f t="shared" si="10"/>
        <v>17/18</v>
      </c>
      <c r="F111" s="11" t="str">
        <f t="shared" si="11"/>
        <v>Nov</v>
      </c>
      <c r="G111" s="11" t="str">
        <f t="shared" si="12"/>
        <v>Nov'17/18</v>
      </c>
      <c r="H111" s="11" t="str">
        <f t="shared" si="15"/>
        <v>Nov'17/18</v>
      </c>
      <c r="I111" s="11">
        <f t="shared" si="16"/>
        <v>53.323439592172718</v>
      </c>
    </row>
    <row r="112" spans="2:9" x14ac:dyDescent="0.55000000000000004">
      <c r="B112" s="11">
        <f t="shared" si="17"/>
        <v>4</v>
      </c>
      <c r="C112" s="11">
        <f t="shared" si="18"/>
        <v>3</v>
      </c>
      <c r="D112" s="12">
        <f t="shared" si="9"/>
        <v>5354698.333333334</v>
      </c>
      <c r="E112" s="11" t="str">
        <f t="shared" si="10"/>
        <v>17/18</v>
      </c>
      <c r="F112" s="11" t="str">
        <f t="shared" si="11"/>
        <v>Dec</v>
      </c>
      <c r="G112" s="11" t="str">
        <f t="shared" si="12"/>
        <v>Dec'17/18</v>
      </c>
      <c r="H112" s="11" t="str">
        <f t="shared" si="15"/>
        <v>Dec'17/18</v>
      </c>
      <c r="I112" s="11">
        <f t="shared" si="16"/>
        <v>53.285198258839387</v>
      </c>
    </row>
    <row r="113" spans="2:9" x14ac:dyDescent="0.55000000000000004">
      <c r="B113" s="11">
        <f t="shared" si="17"/>
        <v>4</v>
      </c>
      <c r="C113" s="11">
        <f t="shared" si="18"/>
        <v>4</v>
      </c>
      <c r="D113" s="12">
        <f t="shared" si="9"/>
        <v>6145059</v>
      </c>
      <c r="E113" s="11" t="str">
        <f t="shared" si="10"/>
        <v>17/18</v>
      </c>
      <c r="F113" s="11" t="str">
        <f t="shared" si="11"/>
        <v>Jan</v>
      </c>
      <c r="G113" s="11" t="str">
        <f t="shared" si="12"/>
        <v>Jan'17/18</v>
      </c>
      <c r="H113" s="11" t="str">
        <f t="shared" si="15"/>
        <v>Jan'17/18</v>
      </c>
      <c r="I113" s="11">
        <f t="shared" si="16"/>
        <v>53.907757258839382</v>
      </c>
    </row>
    <row r="114" spans="2:9" x14ac:dyDescent="0.55000000000000004">
      <c r="B114" s="11">
        <f t="shared" si="17"/>
        <v>4</v>
      </c>
      <c r="C114" s="11">
        <f t="shared" si="18"/>
        <v>5</v>
      </c>
      <c r="D114" s="12">
        <f t="shared" si="9"/>
        <v>4519098</v>
      </c>
      <c r="E114" s="11" t="str">
        <f t="shared" si="10"/>
        <v>17/18</v>
      </c>
      <c r="F114" s="11" t="str">
        <f t="shared" si="11"/>
        <v>Feb</v>
      </c>
      <c r="G114" s="11" t="str">
        <f t="shared" si="12"/>
        <v>Feb'17/18</v>
      </c>
      <c r="H114" s="11" t="str">
        <f t="shared" si="15"/>
        <v>Feb'17/18</v>
      </c>
      <c r="I114" s="11">
        <f t="shared" si="16"/>
        <v>53.295928258839382</v>
      </c>
    </row>
    <row r="115" spans="2:9" x14ac:dyDescent="0.55000000000000004">
      <c r="B115" s="11">
        <f t="shared" si="17"/>
        <v>4</v>
      </c>
      <c r="C115" s="11">
        <f t="shared" si="18"/>
        <v>6</v>
      </c>
      <c r="D115" s="12">
        <f t="shared" si="9"/>
        <v>5792761</v>
      </c>
      <c r="E115" s="11" t="str">
        <f t="shared" si="10"/>
        <v>17/18</v>
      </c>
      <c r="F115" s="11" t="str">
        <f t="shared" si="11"/>
        <v>Mar</v>
      </c>
      <c r="G115" s="11" t="str">
        <f t="shared" si="12"/>
        <v>Mar'17/18</v>
      </c>
      <c r="H115" s="11" t="str">
        <f t="shared" si="15"/>
        <v>Mar'17/18</v>
      </c>
      <c r="I115" s="11">
        <f t="shared" si="16"/>
        <v>53.540896592172722</v>
      </c>
    </row>
    <row r="116" spans="2:9" x14ac:dyDescent="0.55000000000000004">
      <c r="B116" s="11">
        <f t="shared" si="17"/>
        <v>4</v>
      </c>
      <c r="C116" s="11">
        <f t="shared" si="18"/>
        <v>7</v>
      </c>
      <c r="D116" s="12">
        <f t="shared" si="9"/>
        <v>4765896</v>
      </c>
      <c r="E116" s="11" t="str">
        <f t="shared" si="10"/>
        <v>17/18</v>
      </c>
      <c r="F116" s="11" t="str">
        <f t="shared" si="11"/>
        <v>Apr</v>
      </c>
      <c r="G116" s="11" t="str">
        <f t="shared" si="12"/>
        <v>Apr'17/18</v>
      </c>
      <c r="H116" s="11" t="str">
        <f t="shared" si="15"/>
        <v>Apr'17/18</v>
      </c>
      <c r="I116" s="11">
        <f t="shared" si="16"/>
        <v>53.953876258839387</v>
      </c>
    </row>
    <row r="117" spans="2:9" x14ac:dyDescent="0.55000000000000004">
      <c r="B117" s="11">
        <f t="shared" si="17"/>
        <v>4</v>
      </c>
      <c r="C117" s="11">
        <f t="shared" si="18"/>
        <v>8</v>
      </c>
      <c r="D117" s="12">
        <f t="shared" si="9"/>
        <v>4057383</v>
      </c>
      <c r="E117" s="11" t="str">
        <f t="shared" si="10"/>
        <v>17/18</v>
      </c>
      <c r="F117" s="11" t="str">
        <f t="shared" si="11"/>
        <v>May</v>
      </c>
      <c r="G117" s="11" t="str">
        <f t="shared" si="12"/>
        <v>May'17/18</v>
      </c>
      <c r="H117" s="11" t="str">
        <f t="shared" si="15"/>
        <v>May'17/18</v>
      </c>
      <c r="I117" s="11">
        <f t="shared" si="16"/>
        <v>53.568225258839384</v>
      </c>
    </row>
    <row r="118" spans="2:9" x14ac:dyDescent="0.55000000000000004">
      <c r="B118" s="11">
        <f t="shared" si="17"/>
        <v>4</v>
      </c>
      <c r="C118" s="11">
        <f t="shared" si="18"/>
        <v>9</v>
      </c>
      <c r="D118" s="12">
        <f t="shared" si="9"/>
        <v>4660478.333333334</v>
      </c>
      <c r="E118" s="11" t="str">
        <f t="shared" si="10"/>
        <v>17/18</v>
      </c>
      <c r="F118" s="11" t="str">
        <f t="shared" si="11"/>
        <v>Jun</v>
      </c>
      <c r="G118" s="11" t="str">
        <f t="shared" si="12"/>
        <v>Jun'17/18</v>
      </c>
      <c r="H118" s="11" t="str">
        <f t="shared" si="15"/>
        <v>Jun'17/18</v>
      </c>
      <c r="I118" s="11">
        <f t="shared" si="16"/>
        <v>54.305242925506057</v>
      </c>
    </row>
    <row r="119" spans="2:9" x14ac:dyDescent="0.55000000000000004">
      <c r="B119" s="11">
        <f t="shared" si="17"/>
        <v>4</v>
      </c>
      <c r="C119" s="11">
        <f t="shared" si="18"/>
        <v>10</v>
      </c>
      <c r="D119" s="12">
        <f t="shared" si="9"/>
        <v>4057222.3333333335</v>
      </c>
      <c r="E119" s="11" t="str">
        <f t="shared" si="10"/>
        <v>17/18</v>
      </c>
      <c r="F119" s="11" t="str">
        <f t="shared" si="11"/>
        <v>Jul</v>
      </c>
      <c r="G119" s="11" t="str">
        <f t="shared" si="12"/>
        <v>Jul'17/18</v>
      </c>
      <c r="H119" s="11" t="str">
        <f t="shared" si="15"/>
        <v>Jul'17/18</v>
      </c>
      <c r="I119" s="11">
        <f t="shared" si="16"/>
        <v>55.077370925506052</v>
      </c>
    </row>
    <row r="120" spans="2:9" x14ac:dyDescent="0.55000000000000004">
      <c r="B120" s="11">
        <f t="shared" si="17"/>
        <v>4</v>
      </c>
      <c r="C120" s="11">
        <f t="shared" si="18"/>
        <v>11</v>
      </c>
      <c r="D120" s="12">
        <f t="shared" si="9"/>
        <v>5220494.333333334</v>
      </c>
      <c r="E120" s="11" t="str">
        <f t="shared" si="10"/>
        <v>17/18</v>
      </c>
      <c r="F120" s="11" t="str">
        <f t="shared" si="11"/>
        <v>Aug</v>
      </c>
      <c r="G120" s="11" t="str">
        <f t="shared" si="12"/>
        <v>Aug'17/18</v>
      </c>
      <c r="H120" s="11" t="str">
        <f t="shared" si="15"/>
        <v>Aug'17/18</v>
      </c>
      <c r="I120" s="11">
        <f t="shared" si="16"/>
        <v>56.420096611288614</v>
      </c>
    </row>
    <row r="121" spans="2:9" x14ac:dyDescent="0.55000000000000004">
      <c r="B121" s="11">
        <f t="shared" si="17"/>
        <v>4</v>
      </c>
      <c r="C121" s="11">
        <f t="shared" si="18"/>
        <v>12</v>
      </c>
      <c r="D121" s="12">
        <f t="shared" si="9"/>
        <v>4844570</v>
      </c>
      <c r="E121" s="11" t="str">
        <f t="shared" si="10"/>
        <v>17/18</v>
      </c>
      <c r="F121" s="11" t="str">
        <f t="shared" si="11"/>
        <v>Sep</v>
      </c>
      <c r="G121" s="11" t="str">
        <f t="shared" si="12"/>
        <v>Sep'17/18</v>
      </c>
      <c r="H121" s="11" t="str">
        <f t="shared" si="15"/>
        <v>Sep'17/18</v>
      </c>
      <c r="I121" s="11">
        <f t="shared" si="16"/>
        <v>57.789466611288617</v>
      </c>
    </row>
    <row r="122" spans="2:9" x14ac:dyDescent="0.55000000000000004">
      <c r="B122" s="11">
        <f t="shared" si="17"/>
        <v>5</v>
      </c>
      <c r="C122" s="11">
        <f t="shared" si="18"/>
        <v>1</v>
      </c>
      <c r="D122" s="12">
        <f t="shared" si="9"/>
        <v>5905736.666666667</v>
      </c>
      <c r="E122" s="11" t="str">
        <f t="shared" si="10"/>
        <v>18/19</v>
      </c>
      <c r="F122" s="11" t="str">
        <f t="shared" si="11"/>
        <v>Oct</v>
      </c>
      <c r="G122" s="11" t="str">
        <f t="shared" si="12"/>
        <v>Oct'18/19</v>
      </c>
      <c r="H122" s="11" t="str">
        <f t="shared" si="15"/>
        <v>Oct'18/19</v>
      </c>
      <c r="I122" s="11">
        <f t="shared" si="16"/>
        <v>59.783144944621945</v>
      </c>
    </row>
    <row r="123" spans="2:9" x14ac:dyDescent="0.55000000000000004">
      <c r="B123" s="11">
        <f t="shared" si="17"/>
        <v>5</v>
      </c>
      <c r="C123" s="11">
        <f t="shared" si="18"/>
        <v>2</v>
      </c>
      <c r="D123" s="12">
        <f t="shared" si="9"/>
        <v>6223904.333333334</v>
      </c>
      <c r="E123" s="11" t="str">
        <f t="shared" si="10"/>
        <v>18/19</v>
      </c>
      <c r="F123" s="11" t="str">
        <f t="shared" si="11"/>
        <v>Nov</v>
      </c>
      <c r="G123" s="11" t="str">
        <f t="shared" si="12"/>
        <v>Nov'18/19</v>
      </c>
      <c r="H123" s="11" t="str">
        <f t="shared" si="15"/>
        <v>Nov'18/19</v>
      </c>
      <c r="I123" s="11">
        <f t="shared" si="16"/>
        <v>61.547301333333344</v>
      </c>
    </row>
    <row r="124" spans="2:9" x14ac:dyDescent="0.55000000000000004">
      <c r="B124" s="11">
        <f t="shared" si="17"/>
        <v>5</v>
      </c>
      <c r="C124" s="11">
        <f t="shared" si="18"/>
        <v>3</v>
      </c>
      <c r="D124" s="12">
        <f t="shared" si="9"/>
        <v>6311954</v>
      </c>
      <c r="E124" s="11" t="str">
        <f t="shared" si="10"/>
        <v>18/19</v>
      </c>
      <c r="F124" s="11" t="str">
        <f t="shared" si="11"/>
        <v>Dec</v>
      </c>
      <c r="G124" s="11" t="str">
        <f t="shared" si="12"/>
        <v>Dec'18/19</v>
      </c>
      <c r="H124" s="11" t="str">
        <f t="shared" si="15"/>
        <v>Dec'18/19</v>
      </c>
      <c r="I124" s="11">
        <f t="shared" si="16"/>
        <v>62.504557000000005</v>
      </c>
    </row>
    <row r="125" spans="2:9" x14ac:dyDescent="0.55000000000000004">
      <c r="B125" s="11">
        <f t="shared" si="17"/>
        <v>5</v>
      </c>
      <c r="C125" s="11">
        <f t="shared" si="18"/>
        <v>4</v>
      </c>
      <c r="D125" s="12">
        <f t="shared" si="9"/>
        <v>6803593</v>
      </c>
      <c r="E125" s="11" t="str">
        <f t="shared" si="10"/>
        <v>18/19</v>
      </c>
      <c r="F125" s="11" t="str">
        <f t="shared" si="11"/>
        <v>Jan</v>
      </c>
      <c r="G125" s="11" t="str">
        <f t="shared" si="12"/>
        <v>Jan'18/19</v>
      </c>
      <c r="H125" s="11" t="str">
        <f t="shared" si="15"/>
        <v>Jan'18/19</v>
      </c>
      <c r="I125" s="11">
        <f t="shared" si="16"/>
        <v>63.163091000000001</v>
      </c>
    </row>
    <row r="126" spans="2:9" x14ac:dyDescent="0.55000000000000004">
      <c r="B126" s="11">
        <f t="shared" si="17"/>
        <v>5</v>
      </c>
      <c r="C126" s="11">
        <f t="shared" si="18"/>
        <v>5</v>
      </c>
      <c r="D126" s="12">
        <f t="shared" si="9"/>
        <v>5193502.666666667</v>
      </c>
      <c r="E126" s="11" t="str">
        <f t="shared" si="10"/>
        <v>18/19</v>
      </c>
      <c r="F126" s="11" t="str">
        <f t="shared" si="11"/>
        <v>Feb</v>
      </c>
      <c r="G126" s="11" t="str">
        <f t="shared" si="12"/>
        <v>Feb'18/19</v>
      </c>
      <c r="H126" s="11" t="str">
        <f t="shared" si="15"/>
        <v>Feb'18/19</v>
      </c>
      <c r="I126" s="11">
        <f t="shared" si="16"/>
        <v>63.837495666666662</v>
      </c>
    </row>
    <row r="127" spans="2:9" x14ac:dyDescent="0.55000000000000004">
      <c r="B127" s="11">
        <f t="shared" si="17"/>
        <v>5</v>
      </c>
      <c r="C127" s="11">
        <f t="shared" si="18"/>
        <v>6</v>
      </c>
      <c r="D127" s="12">
        <f t="shared" si="9"/>
        <v>5589861.333333334</v>
      </c>
      <c r="E127" s="11" t="str">
        <f t="shared" si="10"/>
        <v>18/19</v>
      </c>
      <c r="F127" s="11" t="str">
        <f t="shared" si="11"/>
        <v>Mar</v>
      </c>
      <c r="G127" s="11" t="str">
        <f t="shared" si="12"/>
        <v>Mar'18/19</v>
      </c>
      <c r="H127" s="11" t="str">
        <f t="shared" si="15"/>
        <v>Mar'18/19</v>
      </c>
      <c r="I127" s="11">
        <f t="shared" si="16"/>
        <v>63.634596000000002</v>
      </c>
    </row>
    <row r="128" spans="2:9" x14ac:dyDescent="0.55000000000000004">
      <c r="B128" s="11">
        <f t="shared" si="17"/>
        <v>5</v>
      </c>
      <c r="C128" s="11">
        <f t="shared" si="18"/>
        <v>7</v>
      </c>
      <c r="D128" s="12">
        <f t="shared" si="9"/>
        <v>5251004.666666667</v>
      </c>
      <c r="E128" s="11" t="str">
        <f t="shared" si="10"/>
        <v>18/19</v>
      </c>
      <c r="F128" s="11" t="str">
        <f t="shared" si="11"/>
        <v>Apr</v>
      </c>
      <c r="G128" s="11" t="str">
        <f t="shared" si="12"/>
        <v>Apr'18/19</v>
      </c>
      <c r="H128" s="11" t="str">
        <f t="shared" si="15"/>
        <v>Apr'18/19</v>
      </c>
      <c r="I128" s="11">
        <f t="shared" si="16"/>
        <v>64.119704666666664</v>
      </c>
    </row>
    <row r="129" spans="2:9" x14ac:dyDescent="0.55000000000000004">
      <c r="B129" s="11">
        <f t="shared" si="17"/>
        <v>5</v>
      </c>
      <c r="C129" s="11">
        <f t="shared" si="18"/>
        <v>8</v>
      </c>
      <c r="D129" s="12">
        <f t="shared" si="9"/>
        <v>5655973.666666667</v>
      </c>
      <c r="E129" s="11" t="str">
        <f t="shared" si="10"/>
        <v>18/19</v>
      </c>
      <c r="F129" s="11" t="str">
        <f t="shared" si="11"/>
        <v>May</v>
      </c>
      <c r="G129" s="11" t="str">
        <f t="shared" si="12"/>
        <v>May'18/19</v>
      </c>
      <c r="H129" s="11" t="str">
        <f t="shared" si="15"/>
        <v>May'18/19</v>
      </c>
      <c r="I129" s="11">
        <f t="shared" si="16"/>
        <v>65.71829533333333</v>
      </c>
    </row>
    <row r="130" spans="2:9" x14ac:dyDescent="0.55000000000000004">
      <c r="B130" s="11">
        <f t="shared" si="17"/>
        <v>5</v>
      </c>
      <c r="C130" s="11">
        <f t="shared" si="18"/>
        <v>9</v>
      </c>
      <c r="D130" s="12">
        <f t="shared" si="9"/>
        <v>4951434.333333334</v>
      </c>
      <c r="E130" s="11" t="str">
        <f t="shared" si="10"/>
        <v>18/19</v>
      </c>
      <c r="F130" s="11" t="str">
        <f t="shared" si="11"/>
        <v>Jun</v>
      </c>
      <c r="G130" s="11" t="str">
        <f t="shared" si="12"/>
        <v>Jun'18/19</v>
      </c>
      <c r="H130" s="11" t="str">
        <f t="shared" si="15"/>
        <v>Jun'18/19</v>
      </c>
      <c r="I130" s="11">
        <f t="shared" si="16"/>
        <v>66.009251333333339</v>
      </c>
    </row>
    <row r="131" spans="2:9" x14ac:dyDescent="0.55000000000000004">
      <c r="B131" s="11">
        <f t="shared" si="17"/>
        <v>5</v>
      </c>
      <c r="C131" s="11">
        <f t="shared" si="18"/>
        <v>10</v>
      </c>
      <c r="D131" s="12">
        <f t="shared" si="9"/>
        <v>5033671</v>
      </c>
      <c r="E131" s="11" t="str">
        <f t="shared" si="10"/>
        <v>18/19</v>
      </c>
      <c r="F131" s="11" t="str">
        <f t="shared" si="11"/>
        <v>Jul</v>
      </c>
      <c r="G131" s="11" t="str">
        <f t="shared" si="12"/>
        <v>Jul'18/19</v>
      </c>
      <c r="H131" s="11" t="str">
        <f t="shared" si="15"/>
        <v>Jul'18/19</v>
      </c>
      <c r="I131" s="11">
        <f t="shared" si="16"/>
        <v>66.985699999999994</v>
      </c>
    </row>
    <row r="132" spans="2:9" x14ac:dyDescent="0.55000000000000004">
      <c r="B132" s="11">
        <f t="shared" si="17"/>
        <v>5</v>
      </c>
      <c r="C132" s="11">
        <f t="shared" si="18"/>
        <v>11</v>
      </c>
      <c r="D132" s="12">
        <f t="shared" si="9"/>
        <v>4935287</v>
      </c>
      <c r="E132" s="11" t="str">
        <f t="shared" si="10"/>
        <v>18/19</v>
      </c>
      <c r="F132" s="11" t="str">
        <f t="shared" si="11"/>
        <v>Aug</v>
      </c>
      <c r="G132" s="11" t="str">
        <f t="shared" si="12"/>
        <v>Aug'18/19</v>
      </c>
      <c r="H132" s="11" t="str">
        <f t="shared" si="15"/>
        <v>Aug'18/19</v>
      </c>
      <c r="I132" s="11">
        <f t="shared" si="16"/>
        <v>66.700492666666662</v>
      </c>
    </row>
    <row r="133" spans="2:9" x14ac:dyDescent="0.55000000000000004">
      <c r="B133" s="11">
        <f t="shared" si="17"/>
        <v>5</v>
      </c>
      <c r="C133" s="11">
        <f t="shared" si="18"/>
        <v>12</v>
      </c>
      <c r="D133" s="12">
        <f t="shared" si="9"/>
        <v>4722481.666666667</v>
      </c>
      <c r="E133" s="11" t="str">
        <f t="shared" si="10"/>
        <v>18/19</v>
      </c>
      <c r="F133" s="11" t="str">
        <f t="shared" si="11"/>
        <v>Sep</v>
      </c>
      <c r="G133" s="11" t="str">
        <f t="shared" si="12"/>
        <v>Sep'18/19</v>
      </c>
      <c r="H133" s="11" t="str">
        <f t="shared" si="15"/>
        <v>Sep'18/19</v>
      </c>
      <c r="I133" s="11">
        <f t="shared" si="16"/>
        <v>66.578404333333324</v>
      </c>
    </row>
    <row r="134" spans="2:9" x14ac:dyDescent="0.55000000000000004">
      <c r="B134" s="11">
        <f t="shared" si="17"/>
        <v>6</v>
      </c>
      <c r="C134" s="11">
        <f t="shared" si="18"/>
        <v>1</v>
      </c>
      <c r="D134" s="12">
        <f t="shared" si="9"/>
        <v>5051709.666666667</v>
      </c>
      <c r="E134" s="11" t="str">
        <f t="shared" si="10"/>
        <v>19/20</v>
      </c>
      <c r="F134" s="11" t="str">
        <f t="shared" si="11"/>
        <v>Oct</v>
      </c>
      <c r="G134" s="11" t="str">
        <f t="shared" si="12"/>
        <v>Oct'19/20</v>
      </c>
      <c r="H134" s="11" t="str">
        <f t="shared" si="15"/>
        <v>Oct'19/20</v>
      </c>
      <c r="I134" s="11">
        <f t="shared" si="16"/>
        <v>65.724377333333322</v>
      </c>
    </row>
    <row r="135" spans="2:9" x14ac:dyDescent="0.55000000000000004">
      <c r="B135" s="11">
        <f t="shared" si="17"/>
        <v>6</v>
      </c>
      <c r="C135" s="11">
        <f t="shared" si="18"/>
        <v>2</v>
      </c>
      <c r="D135" s="12">
        <f t="shared" si="9"/>
        <v>5087436.666666667</v>
      </c>
      <c r="E135" s="11" t="str">
        <f t="shared" si="10"/>
        <v>19/20</v>
      </c>
      <c r="F135" s="11" t="str">
        <f t="shared" si="11"/>
        <v>Nov</v>
      </c>
      <c r="G135" s="11" t="str">
        <f t="shared" si="12"/>
        <v>Nov'19/20</v>
      </c>
      <c r="H135" s="11" t="str">
        <f t="shared" si="15"/>
        <v>Nov'19/20</v>
      </c>
      <c r="I135" s="11">
        <f t="shared" si="16"/>
        <v>64.587909666666661</v>
      </c>
    </row>
    <row r="136" spans="2:9" x14ac:dyDescent="0.55000000000000004">
      <c r="B136" s="11">
        <f t="shared" si="17"/>
        <v>6</v>
      </c>
      <c r="C136" s="11">
        <f t="shared" si="18"/>
        <v>3</v>
      </c>
      <c r="D136" s="12">
        <f t="shared" si="9"/>
        <v>5886214.666666667</v>
      </c>
      <c r="E136" s="11" t="str">
        <f t="shared" si="10"/>
        <v>19/20</v>
      </c>
      <c r="F136" s="11" t="str">
        <f t="shared" si="11"/>
        <v>Dec</v>
      </c>
      <c r="G136" s="11" t="str">
        <f t="shared" si="12"/>
        <v>Dec'19/20</v>
      </c>
      <c r="H136" s="11" t="str">
        <f t="shared" si="15"/>
        <v>Dec'19/20</v>
      </c>
      <c r="I136" s="11">
        <f t="shared" si="16"/>
        <v>64.162170333333322</v>
      </c>
    </row>
    <row r="137" spans="2:9" x14ac:dyDescent="0.55000000000000004">
      <c r="B137" s="11">
        <f t="shared" si="17"/>
        <v>6</v>
      </c>
      <c r="C137" s="11">
        <f t="shared" si="18"/>
        <v>4</v>
      </c>
      <c r="D137" s="12">
        <f t="shared" si="9"/>
        <v>5706056.333333334</v>
      </c>
      <c r="E137" s="11" t="str">
        <f t="shared" si="10"/>
        <v>19/20</v>
      </c>
      <c r="F137" s="11" t="str">
        <f t="shared" si="11"/>
        <v>Jan</v>
      </c>
      <c r="G137" s="11" t="str">
        <f t="shared" si="12"/>
        <v>Jan'19/20</v>
      </c>
      <c r="H137" s="11" t="str">
        <f t="shared" si="15"/>
        <v>Jan'19/20</v>
      </c>
      <c r="I137" s="11">
        <f t="shared" si="16"/>
        <v>63.064633666666666</v>
      </c>
    </row>
    <row r="138" spans="2:9" x14ac:dyDescent="0.55000000000000004">
      <c r="B138" s="11">
        <f t="shared" si="17"/>
        <v>6</v>
      </c>
      <c r="C138" s="11">
        <f t="shared" si="18"/>
        <v>5</v>
      </c>
      <c r="D138" s="12">
        <f t="shared" si="9"/>
        <v>5790450.666666667</v>
      </c>
      <c r="E138" s="11" t="str">
        <f t="shared" si="10"/>
        <v>19/20</v>
      </c>
      <c r="F138" s="11" t="str">
        <f t="shared" si="11"/>
        <v>Feb</v>
      </c>
      <c r="G138" s="11" t="str">
        <f t="shared" si="12"/>
        <v>Feb'19/20</v>
      </c>
      <c r="H138" s="11" t="str">
        <f t="shared" si="15"/>
        <v>Feb'19/20</v>
      </c>
      <c r="I138" s="11">
        <f t="shared" si="16"/>
        <v>63.661581666666656</v>
      </c>
    </row>
    <row r="139" spans="2:9" x14ac:dyDescent="0.55000000000000004">
      <c r="B139" s="11">
        <f t="shared" si="17"/>
        <v>6</v>
      </c>
      <c r="C139" s="11">
        <f t="shared" si="18"/>
        <v>6</v>
      </c>
      <c r="D139" s="12">
        <f t="shared" ref="D139:D202" si="19">INDEX($C$7:$N$19,MATCH(B139,$A$7:$A$19),MATCH(C139,$C$4:$N$4))</f>
        <v>6306290.333333334</v>
      </c>
      <c r="E139" s="11" t="str">
        <f t="shared" ref="E139:E202" si="20">_xlfn.XLOOKUP(B139,$A$7:$A$19,$B$7:$B$19)</f>
        <v>19/20</v>
      </c>
      <c r="F139" s="11" t="str">
        <f t="shared" ref="F139:F202" si="21">_xlfn.XLOOKUP(C139,$C$4:$N$4,$C$6:$N$6)</f>
        <v>Mar</v>
      </c>
      <c r="G139" s="11" t="str">
        <f t="shared" ref="G139:G202" si="22">_xlfn.CONCAT(F139,"'",E139)</f>
        <v>Mar'19/20</v>
      </c>
      <c r="H139" s="11" t="str">
        <f t="shared" si="15"/>
        <v>Mar'19/20</v>
      </c>
      <c r="I139" s="11">
        <f t="shared" si="16"/>
        <v>64.378010666666668</v>
      </c>
    </row>
    <row r="140" spans="2:9" x14ac:dyDescent="0.55000000000000004">
      <c r="B140" s="11">
        <f t="shared" si="17"/>
        <v>6</v>
      </c>
      <c r="C140" s="11">
        <f t="shared" si="18"/>
        <v>7</v>
      </c>
      <c r="D140" s="12">
        <f t="shared" si="19"/>
        <v>5959663</v>
      </c>
      <c r="E140" s="11" t="str">
        <f t="shared" si="20"/>
        <v>19/20</v>
      </c>
      <c r="F140" s="11" t="str">
        <f t="shared" si="21"/>
        <v>Apr</v>
      </c>
      <c r="G140" s="11" t="str">
        <f t="shared" si="22"/>
        <v>Apr'19/20</v>
      </c>
      <c r="H140" s="11" t="str">
        <f t="shared" si="15"/>
        <v>Apr'19/20</v>
      </c>
      <c r="I140" s="11">
        <f t="shared" si="16"/>
        <v>65.086669000000001</v>
      </c>
    </row>
    <row r="141" spans="2:9" x14ac:dyDescent="0.55000000000000004">
      <c r="B141" s="11">
        <f t="shared" si="17"/>
        <v>6</v>
      </c>
      <c r="C141" s="11">
        <f t="shared" si="18"/>
        <v>8</v>
      </c>
      <c r="D141" s="12">
        <f t="shared" si="19"/>
        <v>4845545.333333334</v>
      </c>
      <c r="E141" s="11" t="str">
        <f t="shared" si="20"/>
        <v>19/20</v>
      </c>
      <c r="F141" s="11" t="str">
        <f t="shared" si="21"/>
        <v>May</v>
      </c>
      <c r="G141" s="11" t="str">
        <f t="shared" si="22"/>
        <v>May'19/20</v>
      </c>
      <c r="H141" s="11" t="str">
        <f t="shared" si="15"/>
        <v>May'19/20</v>
      </c>
      <c r="I141" s="11">
        <f t="shared" si="16"/>
        <v>64.276240666666666</v>
      </c>
    </row>
    <row r="142" spans="2:9" x14ac:dyDescent="0.55000000000000004">
      <c r="B142" s="11">
        <f t="shared" si="17"/>
        <v>6</v>
      </c>
      <c r="C142" s="11">
        <f t="shared" si="18"/>
        <v>9</v>
      </c>
      <c r="D142" s="12">
        <f t="shared" si="19"/>
        <v>4463472</v>
      </c>
      <c r="E142" s="11" t="str">
        <f t="shared" si="20"/>
        <v>19/20</v>
      </c>
      <c r="F142" s="11" t="str">
        <f t="shared" si="21"/>
        <v>Jun</v>
      </c>
      <c r="G142" s="11" t="str">
        <f t="shared" si="22"/>
        <v>Jun'19/20</v>
      </c>
      <c r="H142" s="11" t="str">
        <f t="shared" si="15"/>
        <v>Jun'19/20</v>
      </c>
      <c r="I142" s="11">
        <f t="shared" si="16"/>
        <v>63.788278333333345</v>
      </c>
    </row>
    <row r="143" spans="2:9" x14ac:dyDescent="0.55000000000000004">
      <c r="B143" s="11">
        <f t="shared" si="17"/>
        <v>6</v>
      </c>
      <c r="C143" s="11">
        <f t="shared" si="18"/>
        <v>10</v>
      </c>
      <c r="D143" s="12">
        <f t="shared" si="19"/>
        <v>4571591</v>
      </c>
      <c r="E143" s="11" t="str">
        <f t="shared" si="20"/>
        <v>19/20</v>
      </c>
      <c r="F143" s="11" t="str">
        <f t="shared" si="21"/>
        <v>Jul</v>
      </c>
      <c r="G143" s="11" t="str">
        <f t="shared" si="22"/>
        <v>Jul'19/20</v>
      </c>
      <c r="H143" s="11" t="str">
        <f t="shared" si="15"/>
        <v>Jul'19/20</v>
      </c>
      <c r="I143" s="11">
        <f t="shared" si="16"/>
        <v>63.326198333333345</v>
      </c>
    </row>
    <row r="144" spans="2:9" x14ac:dyDescent="0.55000000000000004">
      <c r="B144" s="11">
        <f t="shared" si="17"/>
        <v>6</v>
      </c>
      <c r="C144" s="11">
        <f t="shared" si="18"/>
        <v>11</v>
      </c>
      <c r="D144" s="12">
        <f t="shared" si="19"/>
        <v>4922572</v>
      </c>
      <c r="E144" s="11" t="str">
        <f t="shared" si="20"/>
        <v>19/20</v>
      </c>
      <c r="F144" s="11" t="str">
        <f t="shared" si="21"/>
        <v>Aug</v>
      </c>
      <c r="G144" s="11" t="str">
        <f t="shared" si="22"/>
        <v>Aug'19/20</v>
      </c>
      <c r="H144" s="11" t="str">
        <f t="shared" si="15"/>
        <v>Aug'19/20</v>
      </c>
      <c r="I144" s="11">
        <f t="shared" si="16"/>
        <v>63.313483333333338</v>
      </c>
    </row>
    <row r="145" spans="2:9" x14ac:dyDescent="0.55000000000000004">
      <c r="B145" s="11">
        <f t="shared" si="17"/>
        <v>6</v>
      </c>
      <c r="C145" s="11">
        <f t="shared" si="18"/>
        <v>12</v>
      </c>
      <c r="D145" s="12">
        <f t="shared" si="19"/>
        <v>5526250.666666667</v>
      </c>
      <c r="E145" s="11" t="str">
        <f t="shared" si="20"/>
        <v>19/20</v>
      </c>
      <c r="F145" s="11" t="str">
        <f t="shared" si="21"/>
        <v>Sep</v>
      </c>
      <c r="G145" s="11" t="str">
        <f t="shared" si="22"/>
        <v>Sep'19/20</v>
      </c>
      <c r="H145" s="11" t="str">
        <f t="shared" si="15"/>
        <v>Sep'19/20</v>
      </c>
      <c r="I145" s="11">
        <f t="shared" si="16"/>
        <v>64.11725233333334</v>
      </c>
    </row>
    <row r="146" spans="2:9" x14ac:dyDescent="0.55000000000000004">
      <c r="B146" s="11">
        <f t="shared" si="17"/>
        <v>7</v>
      </c>
      <c r="C146" s="11">
        <f t="shared" si="18"/>
        <v>1</v>
      </c>
      <c r="D146" s="12">
        <f t="shared" si="19"/>
        <v>5680359</v>
      </c>
      <c r="E146" s="11" t="str">
        <f t="shared" si="20"/>
        <v>20/21</v>
      </c>
      <c r="F146" s="11" t="str">
        <f t="shared" si="21"/>
        <v>Oct</v>
      </c>
      <c r="G146" s="11" t="str">
        <f t="shared" si="22"/>
        <v>Oct'20/21</v>
      </c>
      <c r="H146" s="11" t="str">
        <f t="shared" si="15"/>
        <v>Oct'20/21</v>
      </c>
      <c r="I146" s="11">
        <f t="shared" si="16"/>
        <v>64.745901666666668</v>
      </c>
    </row>
    <row r="147" spans="2:9" x14ac:dyDescent="0.55000000000000004">
      <c r="B147" s="11">
        <f t="shared" si="17"/>
        <v>7</v>
      </c>
      <c r="C147" s="11">
        <f t="shared" si="18"/>
        <v>2</v>
      </c>
      <c r="D147" s="12">
        <f t="shared" si="19"/>
        <v>5951135.333333334</v>
      </c>
      <c r="E147" s="11" t="str">
        <f t="shared" si="20"/>
        <v>20/21</v>
      </c>
      <c r="F147" s="11" t="str">
        <f t="shared" si="21"/>
        <v>Nov</v>
      </c>
      <c r="G147" s="11" t="str">
        <f t="shared" si="22"/>
        <v>Nov'20/21</v>
      </c>
      <c r="H147" s="11" t="str">
        <f t="shared" si="15"/>
        <v>Nov'20/21</v>
      </c>
      <c r="I147" s="11">
        <f t="shared" si="16"/>
        <v>65.609600333333333</v>
      </c>
    </row>
    <row r="148" spans="2:9" x14ac:dyDescent="0.55000000000000004">
      <c r="B148" s="11">
        <f t="shared" si="17"/>
        <v>7</v>
      </c>
      <c r="C148" s="11">
        <f t="shared" si="18"/>
        <v>3</v>
      </c>
      <c r="D148" s="12">
        <f t="shared" si="19"/>
        <v>6636125.333333334</v>
      </c>
      <c r="E148" s="11" t="str">
        <f t="shared" si="20"/>
        <v>20/21</v>
      </c>
      <c r="F148" s="11" t="str">
        <f t="shared" si="21"/>
        <v>Dec</v>
      </c>
      <c r="G148" s="11" t="str">
        <f t="shared" si="22"/>
        <v>Dec'20/21</v>
      </c>
      <c r="H148" s="11" t="str">
        <f t="shared" si="15"/>
        <v>Dec'20/21</v>
      </c>
      <c r="I148" s="11">
        <f t="shared" si="16"/>
        <v>66.359511000000012</v>
      </c>
    </row>
    <row r="149" spans="2:9" x14ac:dyDescent="0.55000000000000004">
      <c r="B149" s="11">
        <f t="shared" si="17"/>
        <v>7</v>
      </c>
      <c r="C149" s="11">
        <f t="shared" si="18"/>
        <v>4</v>
      </c>
      <c r="D149" s="12">
        <f t="shared" si="19"/>
        <v>6285637.666666667</v>
      </c>
      <c r="E149" s="11" t="str">
        <f t="shared" si="20"/>
        <v>20/21</v>
      </c>
      <c r="F149" s="11" t="str">
        <f t="shared" si="21"/>
        <v>Jan</v>
      </c>
      <c r="G149" s="11" t="str">
        <f t="shared" si="22"/>
        <v>Jan'20/21</v>
      </c>
      <c r="H149" s="11" t="str">
        <f t="shared" si="15"/>
        <v>Jan'20/21</v>
      </c>
      <c r="I149" s="11">
        <f t="shared" si="16"/>
        <v>66.939092333333335</v>
      </c>
    </row>
    <row r="150" spans="2:9" x14ac:dyDescent="0.55000000000000004">
      <c r="B150" s="11">
        <f t="shared" si="17"/>
        <v>7</v>
      </c>
      <c r="C150" s="11">
        <f t="shared" si="18"/>
        <v>5</v>
      </c>
      <c r="D150" s="12">
        <f t="shared" si="19"/>
        <v>5742864</v>
      </c>
      <c r="E150" s="11" t="str">
        <f t="shared" si="20"/>
        <v>20/21</v>
      </c>
      <c r="F150" s="11" t="str">
        <f t="shared" si="21"/>
        <v>Feb</v>
      </c>
      <c r="G150" s="11" t="str">
        <f t="shared" si="22"/>
        <v>Feb'20/21</v>
      </c>
      <c r="H150" s="11" t="str">
        <f t="shared" ref="H150:H213" si="23">G150</f>
        <v>Feb'20/21</v>
      </c>
      <c r="I150" s="11">
        <f t="shared" ref="I150:I213" si="24">SUM(D139:D150)/1000000</f>
        <v>66.891505666666674</v>
      </c>
    </row>
    <row r="151" spans="2:9" x14ac:dyDescent="0.55000000000000004">
      <c r="B151" s="11">
        <f t="shared" ref="B151:B214" si="25">B139+1</f>
        <v>7</v>
      </c>
      <c r="C151" s="11">
        <f t="shared" ref="C151:C214" si="26">C139</f>
        <v>6</v>
      </c>
      <c r="D151" s="12">
        <f t="shared" si="19"/>
        <v>6330879.333333334</v>
      </c>
      <c r="E151" s="11" t="str">
        <f t="shared" si="20"/>
        <v>20/21</v>
      </c>
      <c r="F151" s="11" t="str">
        <f t="shared" si="21"/>
        <v>Mar</v>
      </c>
      <c r="G151" s="11" t="str">
        <f t="shared" si="22"/>
        <v>Mar'20/21</v>
      </c>
      <c r="H151" s="11" t="str">
        <f t="shared" si="23"/>
        <v>Mar'20/21</v>
      </c>
      <c r="I151" s="11">
        <f t="shared" si="24"/>
        <v>66.916094666666666</v>
      </c>
    </row>
    <row r="152" spans="2:9" x14ac:dyDescent="0.55000000000000004">
      <c r="B152" s="11">
        <f t="shared" si="25"/>
        <v>7</v>
      </c>
      <c r="C152" s="11">
        <f t="shared" si="26"/>
        <v>7</v>
      </c>
      <c r="D152" s="12">
        <f t="shared" si="19"/>
        <v>5488599.666666667</v>
      </c>
      <c r="E152" s="11" t="str">
        <f t="shared" si="20"/>
        <v>20/21</v>
      </c>
      <c r="F152" s="11" t="str">
        <f t="shared" si="21"/>
        <v>Apr</v>
      </c>
      <c r="G152" s="11" t="str">
        <f t="shared" si="22"/>
        <v>Apr'20/21</v>
      </c>
      <c r="H152" s="11" t="str">
        <f t="shared" si="23"/>
        <v>Apr'20/21</v>
      </c>
      <c r="I152" s="11">
        <f t="shared" si="24"/>
        <v>66.445031333333333</v>
      </c>
    </row>
    <row r="153" spans="2:9" x14ac:dyDescent="0.55000000000000004">
      <c r="B153" s="11">
        <f t="shared" si="25"/>
        <v>7</v>
      </c>
      <c r="C153" s="11">
        <f t="shared" si="26"/>
        <v>8</v>
      </c>
      <c r="D153" s="12">
        <f t="shared" si="19"/>
        <v>4567733.333333334</v>
      </c>
      <c r="E153" s="11" t="str">
        <f t="shared" si="20"/>
        <v>20/21</v>
      </c>
      <c r="F153" s="11" t="str">
        <f t="shared" si="21"/>
        <v>May</v>
      </c>
      <c r="G153" s="11" t="str">
        <f t="shared" si="22"/>
        <v>May'20/21</v>
      </c>
      <c r="H153" s="11" t="str">
        <f t="shared" si="23"/>
        <v>May'20/21</v>
      </c>
      <c r="I153" s="11">
        <f t="shared" si="24"/>
        <v>66.167219333333335</v>
      </c>
    </row>
    <row r="154" spans="2:9" x14ac:dyDescent="0.55000000000000004">
      <c r="B154" s="11">
        <f t="shared" si="25"/>
        <v>7</v>
      </c>
      <c r="C154" s="11">
        <f t="shared" si="26"/>
        <v>9</v>
      </c>
      <c r="D154" s="12">
        <f t="shared" si="19"/>
        <v>4860331.666666667</v>
      </c>
      <c r="E154" s="11" t="str">
        <f t="shared" si="20"/>
        <v>20/21</v>
      </c>
      <c r="F154" s="11" t="str">
        <f t="shared" si="21"/>
        <v>Jun</v>
      </c>
      <c r="G154" s="11" t="str">
        <f t="shared" si="22"/>
        <v>Jun'20/21</v>
      </c>
      <c r="H154" s="11" t="str">
        <f t="shared" si="23"/>
        <v>Jun'20/21</v>
      </c>
      <c r="I154" s="11">
        <f t="shared" si="24"/>
        <v>66.564079000000007</v>
      </c>
    </row>
    <row r="155" spans="2:9" x14ac:dyDescent="0.55000000000000004">
      <c r="B155" s="11">
        <f t="shared" si="25"/>
        <v>7</v>
      </c>
      <c r="C155" s="11">
        <f t="shared" si="26"/>
        <v>10</v>
      </c>
      <c r="D155" s="12">
        <f t="shared" si="19"/>
        <v>4536019</v>
      </c>
      <c r="E155" s="11" t="str">
        <f t="shared" si="20"/>
        <v>20/21</v>
      </c>
      <c r="F155" s="11" t="str">
        <f t="shared" si="21"/>
        <v>Jul</v>
      </c>
      <c r="G155" s="11" t="str">
        <f t="shared" si="22"/>
        <v>Jul'20/21</v>
      </c>
      <c r="H155" s="11" t="str">
        <f t="shared" si="23"/>
        <v>Jul'20/21</v>
      </c>
      <c r="I155" s="11">
        <f t="shared" si="24"/>
        <v>66.528507000000005</v>
      </c>
    </row>
    <row r="156" spans="2:9" x14ac:dyDescent="0.55000000000000004">
      <c r="B156" s="11">
        <f t="shared" si="25"/>
        <v>7</v>
      </c>
      <c r="C156" s="11">
        <f t="shared" si="26"/>
        <v>11</v>
      </c>
      <c r="D156" s="12">
        <f t="shared" si="19"/>
        <v>4292171.666666667</v>
      </c>
      <c r="E156" s="11" t="str">
        <f t="shared" si="20"/>
        <v>20/21</v>
      </c>
      <c r="F156" s="11" t="str">
        <f t="shared" si="21"/>
        <v>Aug</v>
      </c>
      <c r="G156" s="11" t="str">
        <f t="shared" si="22"/>
        <v>Aug'20/21</v>
      </c>
      <c r="H156" s="11" t="str">
        <f t="shared" si="23"/>
        <v>Aug'20/21</v>
      </c>
      <c r="I156" s="11">
        <f t="shared" si="24"/>
        <v>65.898106666666664</v>
      </c>
    </row>
    <row r="157" spans="2:9" x14ac:dyDescent="0.55000000000000004">
      <c r="B157" s="11">
        <f t="shared" si="25"/>
        <v>7</v>
      </c>
      <c r="C157" s="11">
        <f t="shared" si="26"/>
        <v>12</v>
      </c>
      <c r="D157" s="12">
        <f t="shared" si="19"/>
        <v>4551312.333333334</v>
      </c>
      <c r="E157" s="11" t="str">
        <f t="shared" si="20"/>
        <v>20/21</v>
      </c>
      <c r="F157" s="11" t="str">
        <f t="shared" si="21"/>
        <v>Sep</v>
      </c>
      <c r="G157" s="11" t="str">
        <f t="shared" si="22"/>
        <v>Sep'20/21</v>
      </c>
      <c r="H157" s="11" t="str">
        <f t="shared" si="23"/>
        <v>Sep'20/21</v>
      </c>
      <c r="I157" s="11">
        <f t="shared" si="24"/>
        <v>64.923168333333336</v>
      </c>
    </row>
    <row r="158" spans="2:9" x14ac:dyDescent="0.55000000000000004">
      <c r="B158" s="11">
        <f t="shared" si="25"/>
        <v>8</v>
      </c>
      <c r="C158" s="11">
        <f t="shared" si="26"/>
        <v>1</v>
      </c>
      <c r="D158" s="12">
        <f t="shared" si="19"/>
        <v>5033318</v>
      </c>
      <c r="E158" s="11" t="str">
        <f t="shared" si="20"/>
        <v>21/22</v>
      </c>
      <c r="F158" s="11" t="str">
        <f t="shared" si="21"/>
        <v>Oct</v>
      </c>
      <c r="G158" s="11" t="str">
        <f t="shared" si="22"/>
        <v>Oct'21/22</v>
      </c>
      <c r="H158" s="11" t="str">
        <f t="shared" si="23"/>
        <v>Oct'21/22</v>
      </c>
      <c r="I158" s="11">
        <f t="shared" si="24"/>
        <v>64.276127333333335</v>
      </c>
    </row>
    <row r="159" spans="2:9" x14ac:dyDescent="0.55000000000000004">
      <c r="B159" s="11">
        <f t="shared" si="25"/>
        <v>8</v>
      </c>
      <c r="C159" s="11">
        <f t="shared" si="26"/>
        <v>2</v>
      </c>
      <c r="D159" s="12">
        <f t="shared" si="19"/>
        <v>4764573.666666667</v>
      </c>
      <c r="E159" s="11" t="str">
        <f t="shared" si="20"/>
        <v>21/22</v>
      </c>
      <c r="F159" s="11" t="str">
        <f t="shared" si="21"/>
        <v>Nov</v>
      </c>
      <c r="G159" s="11" t="str">
        <f t="shared" si="22"/>
        <v>Nov'21/22</v>
      </c>
      <c r="H159" s="11" t="str">
        <f t="shared" si="23"/>
        <v>Nov'21/22</v>
      </c>
      <c r="I159" s="11">
        <f t="shared" si="24"/>
        <v>63.089565666666665</v>
      </c>
    </row>
    <row r="160" spans="2:9" x14ac:dyDescent="0.55000000000000004">
      <c r="B160" s="11">
        <f t="shared" si="25"/>
        <v>8</v>
      </c>
      <c r="C160" s="11">
        <f t="shared" si="26"/>
        <v>3</v>
      </c>
      <c r="D160" s="12">
        <f t="shared" si="19"/>
        <v>6502655.333333334</v>
      </c>
      <c r="E160" s="11" t="str">
        <f t="shared" si="20"/>
        <v>21/22</v>
      </c>
      <c r="F160" s="11" t="str">
        <f t="shared" si="21"/>
        <v>Dec</v>
      </c>
      <c r="G160" s="11" t="str">
        <f t="shared" si="22"/>
        <v>Dec'21/22</v>
      </c>
      <c r="H160" s="11" t="str">
        <f t="shared" si="23"/>
        <v>Dec'21/22</v>
      </c>
      <c r="I160" s="11">
        <f t="shared" si="24"/>
        <v>62.95609566666667</v>
      </c>
    </row>
    <row r="161" spans="2:9" x14ac:dyDescent="0.55000000000000004">
      <c r="B161" s="11">
        <f t="shared" si="25"/>
        <v>8</v>
      </c>
      <c r="C161" s="11">
        <f t="shared" si="26"/>
        <v>4</v>
      </c>
      <c r="D161" s="12">
        <f t="shared" si="19"/>
        <v>7153053.333333334</v>
      </c>
      <c r="E161" s="11" t="str">
        <f t="shared" si="20"/>
        <v>21/22</v>
      </c>
      <c r="F161" s="11" t="str">
        <f t="shared" si="21"/>
        <v>Jan</v>
      </c>
      <c r="G161" s="11" t="str">
        <f t="shared" si="22"/>
        <v>Jan'21/22</v>
      </c>
      <c r="H161" s="11" t="str">
        <f t="shared" si="23"/>
        <v>Jan'21/22</v>
      </c>
      <c r="I161" s="11">
        <f t="shared" si="24"/>
        <v>63.823511333333343</v>
      </c>
    </row>
    <row r="162" spans="2:9" x14ac:dyDescent="0.55000000000000004">
      <c r="B162" s="11">
        <f t="shared" si="25"/>
        <v>8</v>
      </c>
      <c r="C162" s="11">
        <f t="shared" si="26"/>
        <v>5</v>
      </c>
      <c r="D162" s="12">
        <f t="shared" si="19"/>
        <v>5697305</v>
      </c>
      <c r="E162" s="11" t="str">
        <f t="shared" si="20"/>
        <v>21/22</v>
      </c>
      <c r="F162" s="11" t="str">
        <f t="shared" si="21"/>
        <v>Feb</v>
      </c>
      <c r="G162" s="11" t="str">
        <f t="shared" si="22"/>
        <v>Feb'21/22</v>
      </c>
      <c r="H162" s="11" t="str">
        <f t="shared" si="23"/>
        <v>Feb'21/22</v>
      </c>
      <c r="I162" s="11">
        <f t="shared" si="24"/>
        <v>63.777952333333339</v>
      </c>
    </row>
    <row r="163" spans="2:9" x14ac:dyDescent="0.55000000000000004">
      <c r="B163" s="11">
        <f t="shared" si="25"/>
        <v>8</v>
      </c>
      <c r="C163" s="11">
        <f t="shared" si="26"/>
        <v>6</v>
      </c>
      <c r="D163" s="12">
        <f t="shared" si="19"/>
        <v>6955926</v>
      </c>
      <c r="E163" s="11" t="str">
        <f t="shared" si="20"/>
        <v>21/22</v>
      </c>
      <c r="F163" s="11" t="str">
        <f t="shared" si="21"/>
        <v>Mar</v>
      </c>
      <c r="G163" s="11" t="str">
        <f t="shared" si="22"/>
        <v>Mar'21/22</v>
      </c>
      <c r="H163" s="11" t="str">
        <f t="shared" si="23"/>
        <v>Mar'21/22</v>
      </c>
      <c r="I163" s="11">
        <f t="shared" si="24"/>
        <v>64.402999000000008</v>
      </c>
    </row>
    <row r="164" spans="2:9" x14ac:dyDescent="0.55000000000000004">
      <c r="B164" s="11">
        <f t="shared" si="25"/>
        <v>8</v>
      </c>
      <c r="C164" s="11">
        <f t="shared" si="26"/>
        <v>7</v>
      </c>
      <c r="D164" s="12">
        <f t="shared" si="19"/>
        <v>5356323.333333334</v>
      </c>
      <c r="E164" s="11" t="str">
        <f t="shared" si="20"/>
        <v>21/22</v>
      </c>
      <c r="F164" s="11" t="str">
        <f t="shared" si="21"/>
        <v>Apr</v>
      </c>
      <c r="G164" s="11" t="str">
        <f t="shared" si="22"/>
        <v>Apr'21/22</v>
      </c>
      <c r="H164" s="11" t="str">
        <f t="shared" si="23"/>
        <v>Apr'21/22</v>
      </c>
      <c r="I164" s="11">
        <f t="shared" si="24"/>
        <v>64.270722666666671</v>
      </c>
    </row>
    <row r="165" spans="2:9" x14ac:dyDescent="0.55000000000000004">
      <c r="B165" s="11">
        <f t="shared" si="25"/>
        <v>8</v>
      </c>
      <c r="C165" s="11">
        <f t="shared" si="26"/>
        <v>8</v>
      </c>
      <c r="D165" s="12">
        <f t="shared" si="19"/>
        <v>5047196.666666667</v>
      </c>
      <c r="E165" s="11" t="str">
        <f t="shared" si="20"/>
        <v>21/22</v>
      </c>
      <c r="F165" s="11" t="str">
        <f t="shared" si="21"/>
        <v>May</v>
      </c>
      <c r="G165" s="11" t="str">
        <f t="shared" si="22"/>
        <v>May'21/22</v>
      </c>
      <c r="H165" s="11" t="str">
        <f t="shared" si="23"/>
        <v>May'21/22</v>
      </c>
      <c r="I165" s="11">
        <f t="shared" si="24"/>
        <v>64.750186000000014</v>
      </c>
    </row>
    <row r="166" spans="2:9" x14ac:dyDescent="0.55000000000000004">
      <c r="B166" s="11">
        <f t="shared" si="25"/>
        <v>8</v>
      </c>
      <c r="C166" s="11">
        <f t="shared" si="26"/>
        <v>9</v>
      </c>
      <c r="D166" s="12">
        <f t="shared" si="19"/>
        <v>5113039.333333334</v>
      </c>
      <c r="E166" s="11" t="str">
        <f t="shared" si="20"/>
        <v>21/22</v>
      </c>
      <c r="F166" s="11" t="str">
        <f t="shared" si="21"/>
        <v>Jun</v>
      </c>
      <c r="G166" s="11" t="str">
        <f t="shared" si="22"/>
        <v>Jun'21/22</v>
      </c>
      <c r="H166" s="11" t="str">
        <f t="shared" si="23"/>
        <v>Jun'21/22</v>
      </c>
      <c r="I166" s="11">
        <f t="shared" si="24"/>
        <v>65.002893666666665</v>
      </c>
    </row>
    <row r="167" spans="2:9" x14ac:dyDescent="0.55000000000000004">
      <c r="B167" s="11">
        <f t="shared" si="25"/>
        <v>8</v>
      </c>
      <c r="C167" s="11">
        <f t="shared" si="26"/>
        <v>10</v>
      </c>
      <c r="D167" s="12">
        <f t="shared" si="19"/>
        <v>4097523.3333333335</v>
      </c>
      <c r="E167" s="11" t="str">
        <f t="shared" si="20"/>
        <v>21/22</v>
      </c>
      <c r="F167" s="11" t="str">
        <f t="shared" si="21"/>
        <v>Jul</v>
      </c>
      <c r="G167" s="11" t="str">
        <f t="shared" si="22"/>
        <v>Jul'21/22</v>
      </c>
      <c r="H167" s="11" t="str">
        <f t="shared" si="23"/>
        <v>Jul'21/22</v>
      </c>
      <c r="I167" s="11">
        <f t="shared" si="24"/>
        <v>64.564398000000011</v>
      </c>
    </row>
    <row r="168" spans="2:9" x14ac:dyDescent="0.55000000000000004">
      <c r="B168" s="11">
        <f t="shared" si="25"/>
        <v>8</v>
      </c>
      <c r="C168" s="11">
        <f t="shared" si="26"/>
        <v>11</v>
      </c>
      <c r="D168" s="12">
        <f t="shared" si="19"/>
        <v>4391415.666666667</v>
      </c>
      <c r="E168" s="11" t="str">
        <f t="shared" si="20"/>
        <v>21/22</v>
      </c>
      <c r="F168" s="11" t="str">
        <f t="shared" si="21"/>
        <v>Aug</v>
      </c>
      <c r="G168" s="11" t="str">
        <f t="shared" si="22"/>
        <v>Aug'21/22</v>
      </c>
      <c r="H168" s="11" t="str">
        <f t="shared" si="23"/>
        <v>Aug'21/22</v>
      </c>
      <c r="I168" s="11">
        <f t="shared" si="24"/>
        <v>64.66364200000001</v>
      </c>
    </row>
    <row r="169" spans="2:9" x14ac:dyDescent="0.55000000000000004">
      <c r="B169" s="11">
        <f t="shared" si="25"/>
        <v>8</v>
      </c>
      <c r="C169" s="11">
        <f t="shared" si="26"/>
        <v>12</v>
      </c>
      <c r="D169" s="12">
        <f t="shared" si="19"/>
        <v>4687027</v>
      </c>
      <c r="E169" s="11" t="str">
        <f t="shared" si="20"/>
        <v>21/22</v>
      </c>
      <c r="F169" s="11" t="str">
        <f t="shared" si="21"/>
        <v>Sep</v>
      </c>
      <c r="G169" s="11" t="str">
        <f t="shared" si="22"/>
        <v>Sep'21/22</v>
      </c>
      <c r="H169" s="11" t="str">
        <f t="shared" si="23"/>
        <v>Sep'21/22</v>
      </c>
      <c r="I169" s="11">
        <f t="shared" si="24"/>
        <v>64.799356666666668</v>
      </c>
    </row>
    <row r="170" spans="2:9" x14ac:dyDescent="0.55000000000000004">
      <c r="B170" s="11">
        <f t="shared" si="25"/>
        <v>9</v>
      </c>
      <c r="C170" s="11">
        <f t="shared" si="26"/>
        <v>1</v>
      </c>
      <c r="D170" s="12">
        <f t="shared" si="19"/>
        <v>4610952</v>
      </c>
      <c r="E170" s="11" t="str">
        <f t="shared" si="20"/>
        <v>22/23</v>
      </c>
      <c r="F170" s="11" t="str">
        <f t="shared" si="21"/>
        <v>Oct</v>
      </c>
      <c r="G170" s="11" t="str">
        <f t="shared" si="22"/>
        <v>Oct'22/23</v>
      </c>
      <c r="H170" s="11" t="str">
        <f t="shared" si="23"/>
        <v>Oct'22/23</v>
      </c>
      <c r="I170" s="11">
        <f t="shared" si="24"/>
        <v>64.376990666666671</v>
      </c>
    </row>
    <row r="171" spans="2:9" x14ac:dyDescent="0.55000000000000004">
      <c r="B171" s="11">
        <f t="shared" si="25"/>
        <v>9</v>
      </c>
      <c r="C171" s="11">
        <f t="shared" si="26"/>
        <v>2</v>
      </c>
      <c r="D171" s="12">
        <f t="shared" si="19"/>
        <v>5601198</v>
      </c>
      <c r="E171" s="11" t="str">
        <f t="shared" si="20"/>
        <v>22/23</v>
      </c>
      <c r="F171" s="11" t="str">
        <f t="shared" si="21"/>
        <v>Nov</v>
      </c>
      <c r="G171" s="11" t="str">
        <f t="shared" si="22"/>
        <v>Nov'22/23</v>
      </c>
      <c r="H171" s="11" t="str">
        <f t="shared" si="23"/>
        <v>Nov'22/23</v>
      </c>
      <c r="I171" s="11">
        <f t="shared" si="24"/>
        <v>65.213615000000004</v>
      </c>
    </row>
    <row r="172" spans="2:9" x14ac:dyDescent="0.55000000000000004">
      <c r="B172" s="11">
        <f t="shared" si="25"/>
        <v>9</v>
      </c>
      <c r="C172" s="11">
        <f t="shared" si="26"/>
        <v>3</v>
      </c>
      <c r="D172" s="12">
        <f t="shared" si="19"/>
        <v>6181379.7000000002</v>
      </c>
      <c r="E172" s="11" t="str">
        <f t="shared" si="20"/>
        <v>22/23</v>
      </c>
      <c r="F172" s="11" t="str">
        <f t="shared" si="21"/>
        <v>Dec</v>
      </c>
      <c r="G172" s="11" t="str">
        <f t="shared" si="22"/>
        <v>Dec'22/23</v>
      </c>
      <c r="H172" s="11" t="str">
        <f t="shared" si="23"/>
        <v>Dec'22/23</v>
      </c>
      <c r="I172" s="11">
        <f t="shared" si="24"/>
        <v>64.892339366666675</v>
      </c>
    </row>
    <row r="173" spans="2:9" x14ac:dyDescent="0.55000000000000004">
      <c r="B173" s="11">
        <f t="shared" si="25"/>
        <v>9</v>
      </c>
      <c r="C173" s="11">
        <f t="shared" si="26"/>
        <v>4</v>
      </c>
      <c r="D173" s="12">
        <f t="shared" si="19"/>
        <v>5309452.3341989312</v>
      </c>
      <c r="E173" s="11" t="str">
        <f t="shared" si="20"/>
        <v>22/23</v>
      </c>
      <c r="F173" s="11" t="str">
        <f t="shared" si="21"/>
        <v>Jan</v>
      </c>
      <c r="G173" s="11" t="str">
        <f t="shared" si="22"/>
        <v>Jan'22/23</v>
      </c>
      <c r="H173" s="11" t="str">
        <f t="shared" si="23"/>
        <v>Jan'22/23</v>
      </c>
      <c r="I173" s="11">
        <f t="shared" si="24"/>
        <v>63.048738367532266</v>
      </c>
    </row>
    <row r="174" spans="2:9" x14ac:dyDescent="0.55000000000000004">
      <c r="B174" s="11">
        <f t="shared" si="25"/>
        <v>9</v>
      </c>
      <c r="C174" s="11">
        <f t="shared" si="26"/>
        <v>5</v>
      </c>
      <c r="D174" s="12">
        <f t="shared" si="19"/>
        <v>5035338.8064211532</v>
      </c>
      <c r="E174" s="11" t="str">
        <f t="shared" si="20"/>
        <v>22/23</v>
      </c>
      <c r="F174" s="11" t="str">
        <f t="shared" si="21"/>
        <v>Feb</v>
      </c>
      <c r="G174" s="11" t="str">
        <f t="shared" si="22"/>
        <v>Feb'22/23</v>
      </c>
      <c r="H174" s="11" t="str">
        <f t="shared" si="23"/>
        <v>Feb'22/23</v>
      </c>
      <c r="I174" s="11">
        <f t="shared" si="24"/>
        <v>62.386772173953425</v>
      </c>
    </row>
    <row r="175" spans="2:9" x14ac:dyDescent="0.55000000000000004">
      <c r="B175" s="11">
        <f t="shared" si="25"/>
        <v>9</v>
      </c>
      <c r="C175" s="11">
        <f t="shared" si="26"/>
        <v>6</v>
      </c>
      <c r="D175" s="12">
        <f t="shared" si="19"/>
        <v>6361096.694444444</v>
      </c>
      <c r="E175" s="11" t="str">
        <f t="shared" si="20"/>
        <v>22/23</v>
      </c>
      <c r="F175" s="11" t="str">
        <f t="shared" si="21"/>
        <v>Mar</v>
      </c>
      <c r="G175" s="11" t="str">
        <f t="shared" si="22"/>
        <v>Mar'22/23</v>
      </c>
      <c r="H175" s="11" t="str">
        <f t="shared" si="23"/>
        <v>Mar'22/23</v>
      </c>
      <c r="I175" s="11">
        <f t="shared" si="24"/>
        <v>61.791942868397861</v>
      </c>
    </row>
    <row r="176" spans="2:9" x14ac:dyDescent="0.55000000000000004">
      <c r="B176" s="11">
        <f t="shared" si="25"/>
        <v>9</v>
      </c>
      <c r="C176" s="11">
        <f t="shared" si="26"/>
        <v>7</v>
      </c>
      <c r="D176" s="12">
        <f t="shared" si="19"/>
        <v>5215142.027777778</v>
      </c>
      <c r="E176" s="11" t="str">
        <f t="shared" si="20"/>
        <v>22/23</v>
      </c>
      <c r="F176" s="11" t="str">
        <f t="shared" si="21"/>
        <v>Apr</v>
      </c>
      <c r="G176" s="11" t="str">
        <f t="shared" si="22"/>
        <v>Apr'22/23</v>
      </c>
      <c r="H176" s="11" t="str">
        <f t="shared" si="23"/>
        <v>Apr'22/23</v>
      </c>
      <c r="I176" s="11">
        <f t="shared" si="24"/>
        <v>61.650761562842312</v>
      </c>
    </row>
    <row r="177" spans="2:9" x14ac:dyDescent="0.55000000000000004">
      <c r="B177" s="11">
        <f t="shared" si="25"/>
        <v>9</v>
      </c>
      <c r="C177" s="11">
        <f t="shared" si="26"/>
        <v>8</v>
      </c>
      <c r="D177" s="12">
        <f t="shared" si="19"/>
        <v>4650598.3320561945</v>
      </c>
      <c r="E177" s="11" t="str">
        <f t="shared" si="20"/>
        <v>22/23</v>
      </c>
      <c r="F177" s="11" t="str">
        <f t="shared" si="21"/>
        <v>May</v>
      </c>
      <c r="G177" s="11" t="str">
        <f t="shared" si="22"/>
        <v>May'22/23</v>
      </c>
      <c r="H177" s="11" t="str">
        <f t="shared" si="23"/>
        <v>May'22/23</v>
      </c>
      <c r="I177" s="11">
        <f t="shared" si="24"/>
        <v>61.254163228231832</v>
      </c>
    </row>
    <row r="178" spans="2:9" x14ac:dyDescent="0.55000000000000004">
      <c r="B178" s="11">
        <f t="shared" si="25"/>
        <v>9</v>
      </c>
      <c r="C178" s="11">
        <f t="shared" si="26"/>
        <v>9</v>
      </c>
      <c r="D178" s="12">
        <f t="shared" si="19"/>
        <v>4702988.694444444</v>
      </c>
      <c r="E178" s="11" t="str">
        <f t="shared" si="20"/>
        <v>22/23</v>
      </c>
      <c r="F178" s="11" t="str">
        <f t="shared" si="21"/>
        <v>Jun</v>
      </c>
      <c r="G178" s="11" t="str">
        <f t="shared" si="22"/>
        <v>Jun'22/23</v>
      </c>
      <c r="H178" s="11" t="str">
        <f t="shared" si="23"/>
        <v>Jun'22/23</v>
      </c>
      <c r="I178" s="11">
        <f t="shared" si="24"/>
        <v>60.844112589342949</v>
      </c>
    </row>
    <row r="179" spans="2:9" x14ac:dyDescent="0.55000000000000004">
      <c r="B179" s="11">
        <f t="shared" si="25"/>
        <v>9</v>
      </c>
      <c r="C179" s="11">
        <f t="shared" si="26"/>
        <v>10</v>
      </c>
      <c r="D179" s="12">
        <f t="shared" si="19"/>
        <v>4692794.2104717474</v>
      </c>
      <c r="E179" s="11" t="str">
        <f t="shared" si="20"/>
        <v>22/23</v>
      </c>
      <c r="F179" s="11" t="str">
        <f t="shared" si="21"/>
        <v>Jul</v>
      </c>
      <c r="G179" s="11" t="str">
        <f t="shared" si="22"/>
        <v>Jul'22/23</v>
      </c>
      <c r="H179" s="11" t="str">
        <f t="shared" si="23"/>
        <v>Jul'22/23</v>
      </c>
      <c r="I179" s="11">
        <f t="shared" si="24"/>
        <v>61.43938346648136</v>
      </c>
    </row>
    <row r="180" spans="2:9" x14ac:dyDescent="0.55000000000000004">
      <c r="B180" s="11">
        <f t="shared" si="25"/>
        <v>9</v>
      </c>
      <c r="C180" s="11">
        <f t="shared" si="26"/>
        <v>11</v>
      </c>
      <c r="D180" s="12">
        <f t="shared" si="19"/>
        <v>4928216.694444444</v>
      </c>
      <c r="E180" s="11" t="str">
        <f t="shared" si="20"/>
        <v>22/23</v>
      </c>
      <c r="F180" s="11" t="str">
        <f t="shared" si="21"/>
        <v>Aug</v>
      </c>
      <c r="G180" s="11" t="str">
        <f t="shared" si="22"/>
        <v>Aug'22/23</v>
      </c>
      <c r="H180" s="11" t="str">
        <f t="shared" si="23"/>
        <v>Aug'22/23</v>
      </c>
      <c r="I180" s="11">
        <f t="shared" si="24"/>
        <v>61.976184494259151</v>
      </c>
    </row>
    <row r="181" spans="2:9" x14ac:dyDescent="0.55000000000000004">
      <c r="B181" s="11">
        <f t="shared" si="25"/>
        <v>9</v>
      </c>
      <c r="C181" s="11">
        <f t="shared" si="26"/>
        <v>12</v>
      </c>
      <c r="D181" s="12">
        <f t="shared" si="19"/>
        <v>3978815.6944444445</v>
      </c>
      <c r="E181" s="11" t="str">
        <f t="shared" si="20"/>
        <v>22/23</v>
      </c>
      <c r="F181" s="11" t="str">
        <f t="shared" si="21"/>
        <v>Sep</v>
      </c>
      <c r="G181" s="11" t="str">
        <f t="shared" si="22"/>
        <v>Sep'22/23</v>
      </c>
      <c r="H181" s="11" t="str">
        <f t="shared" si="23"/>
        <v>Sep'22/23</v>
      </c>
      <c r="I181" s="11">
        <f t="shared" si="24"/>
        <v>61.2679731887036</v>
      </c>
    </row>
    <row r="182" spans="2:9" x14ac:dyDescent="0.55000000000000004">
      <c r="B182" s="11">
        <f t="shared" si="25"/>
        <v>10</v>
      </c>
      <c r="C182" s="11">
        <f t="shared" si="26"/>
        <v>1</v>
      </c>
      <c r="D182" s="12">
        <f t="shared" si="19"/>
        <v>4855193</v>
      </c>
      <c r="E182" s="11" t="str">
        <f t="shared" si="20"/>
        <v>23/24</v>
      </c>
      <c r="F182" s="11" t="str">
        <f t="shared" si="21"/>
        <v>Oct</v>
      </c>
      <c r="G182" s="11" t="str">
        <f t="shared" si="22"/>
        <v>Oct'23/24</v>
      </c>
      <c r="H182" s="11" t="str">
        <f t="shared" si="23"/>
        <v>Oct'23/24</v>
      </c>
      <c r="I182" s="11">
        <f t="shared" si="24"/>
        <v>61.512214188703595</v>
      </c>
    </row>
    <row r="183" spans="2:9" x14ac:dyDescent="0.55000000000000004">
      <c r="B183" s="11">
        <f t="shared" si="25"/>
        <v>10</v>
      </c>
      <c r="C183" s="11">
        <f t="shared" si="26"/>
        <v>2</v>
      </c>
      <c r="D183" s="12">
        <f t="shared" si="19"/>
        <v>6165363.333333334</v>
      </c>
      <c r="E183" s="11" t="str">
        <f t="shared" si="20"/>
        <v>23/24</v>
      </c>
      <c r="F183" s="11" t="str">
        <f t="shared" si="21"/>
        <v>Nov</v>
      </c>
      <c r="G183" s="11" t="str">
        <f t="shared" si="22"/>
        <v>Nov'23/24</v>
      </c>
      <c r="H183" s="11" t="str">
        <f t="shared" si="23"/>
        <v>Nov'23/24</v>
      </c>
      <c r="I183" s="11">
        <f t="shared" si="24"/>
        <v>62.07637952203693</v>
      </c>
    </row>
    <row r="184" spans="2:9" x14ac:dyDescent="0.55000000000000004">
      <c r="B184" s="11">
        <f t="shared" si="25"/>
        <v>10</v>
      </c>
      <c r="C184" s="11">
        <f t="shared" si="26"/>
        <v>3</v>
      </c>
      <c r="D184" s="12">
        <f t="shared" si="19"/>
        <v>7260371.666666667</v>
      </c>
      <c r="E184" s="11" t="str">
        <f t="shared" si="20"/>
        <v>23/24</v>
      </c>
      <c r="F184" s="11" t="str">
        <f t="shared" si="21"/>
        <v>Dec</v>
      </c>
      <c r="G184" s="11" t="str">
        <f t="shared" si="22"/>
        <v>Dec'23/24</v>
      </c>
      <c r="H184" s="11" t="str">
        <f t="shared" si="23"/>
        <v>Dec'23/24</v>
      </c>
      <c r="I184" s="11">
        <f t="shared" si="24"/>
        <v>63.15537148870358</v>
      </c>
    </row>
    <row r="185" spans="2:9" x14ac:dyDescent="0.55000000000000004">
      <c r="B185" s="11">
        <f t="shared" si="25"/>
        <v>10</v>
      </c>
      <c r="C185" s="11">
        <f t="shared" si="26"/>
        <v>4</v>
      </c>
      <c r="D185" s="12">
        <f t="shared" si="19"/>
        <v>7706679</v>
      </c>
      <c r="E185" s="11" t="str">
        <f t="shared" si="20"/>
        <v>23/24</v>
      </c>
      <c r="F185" s="11" t="str">
        <f t="shared" si="21"/>
        <v>Jan</v>
      </c>
      <c r="G185" s="11" t="str">
        <f t="shared" si="22"/>
        <v>Jan'23/24</v>
      </c>
      <c r="H185" s="11" t="str">
        <f t="shared" si="23"/>
        <v>Jan'23/24</v>
      </c>
      <c r="I185" s="11">
        <f t="shared" si="24"/>
        <v>65.552598154504651</v>
      </c>
    </row>
    <row r="186" spans="2:9" x14ac:dyDescent="0.55000000000000004">
      <c r="B186" s="11">
        <f t="shared" si="25"/>
        <v>10</v>
      </c>
      <c r="C186" s="11">
        <f t="shared" si="26"/>
        <v>5</v>
      </c>
      <c r="D186" s="12">
        <f t="shared" si="19"/>
        <v>6063560</v>
      </c>
      <c r="E186" s="11" t="str">
        <f t="shared" si="20"/>
        <v>23/24</v>
      </c>
      <c r="F186" s="11" t="str">
        <f t="shared" si="21"/>
        <v>Feb</v>
      </c>
      <c r="G186" s="11" t="str">
        <f t="shared" si="22"/>
        <v>Feb'23/24</v>
      </c>
      <c r="H186" s="11" t="str">
        <f t="shared" si="23"/>
        <v>Feb'23/24</v>
      </c>
      <c r="I186" s="11">
        <f t="shared" si="24"/>
        <v>66.580819348083494</v>
      </c>
    </row>
    <row r="187" spans="2:9" x14ac:dyDescent="0.55000000000000004">
      <c r="B187" s="11">
        <f t="shared" si="25"/>
        <v>10</v>
      </c>
      <c r="C187" s="11">
        <f t="shared" si="26"/>
        <v>6</v>
      </c>
      <c r="D187" s="12">
        <f t="shared" si="19"/>
        <v>7160936.333333334</v>
      </c>
      <c r="E187" s="11" t="str">
        <f t="shared" si="20"/>
        <v>23/24</v>
      </c>
      <c r="F187" s="11" t="str">
        <f t="shared" si="21"/>
        <v>Mar</v>
      </c>
      <c r="G187" s="11" t="str">
        <f t="shared" si="22"/>
        <v>Mar'23/24</v>
      </c>
      <c r="H187" s="11" t="str">
        <f t="shared" si="23"/>
        <v>Mar'23/24</v>
      </c>
      <c r="I187" s="11">
        <f t="shared" si="24"/>
        <v>67.380658986972378</v>
      </c>
    </row>
    <row r="188" spans="2:9" x14ac:dyDescent="0.55000000000000004">
      <c r="B188" s="11">
        <f t="shared" si="25"/>
        <v>10</v>
      </c>
      <c r="C188" s="11">
        <f t="shared" si="26"/>
        <v>7</v>
      </c>
      <c r="D188" s="12">
        <f t="shared" si="19"/>
        <v>6464392</v>
      </c>
      <c r="E188" s="11" t="str">
        <f t="shared" si="20"/>
        <v>23/24</v>
      </c>
      <c r="F188" s="11" t="str">
        <f t="shared" si="21"/>
        <v>Apr</v>
      </c>
      <c r="G188" s="11" t="str">
        <f t="shared" si="22"/>
        <v>Apr'23/24</v>
      </c>
      <c r="H188" s="11" t="str">
        <f t="shared" si="23"/>
        <v>Apr'23/24</v>
      </c>
      <c r="I188" s="11">
        <f t="shared" si="24"/>
        <v>68.629908959194594</v>
      </c>
    </row>
    <row r="189" spans="2:9" x14ac:dyDescent="0.55000000000000004">
      <c r="B189" s="11">
        <f t="shared" si="25"/>
        <v>10</v>
      </c>
      <c r="C189" s="11">
        <f t="shared" si="26"/>
        <v>8</v>
      </c>
      <c r="D189" s="12">
        <f t="shared" si="19"/>
        <v>5380650.333333334</v>
      </c>
      <c r="E189" s="11" t="str">
        <f t="shared" si="20"/>
        <v>23/24</v>
      </c>
      <c r="F189" s="11" t="str">
        <f t="shared" si="21"/>
        <v>May</v>
      </c>
      <c r="G189" s="11" t="str">
        <f t="shared" si="22"/>
        <v>May'23/24</v>
      </c>
      <c r="H189" s="11" t="str">
        <f t="shared" si="23"/>
        <v>May'23/24</v>
      </c>
      <c r="I189" s="11">
        <f t="shared" si="24"/>
        <v>69.359960960471753</v>
      </c>
    </row>
    <row r="190" spans="2:9" x14ac:dyDescent="0.55000000000000004">
      <c r="B190" s="11">
        <f t="shared" si="25"/>
        <v>10</v>
      </c>
      <c r="C190" s="11">
        <f t="shared" si="26"/>
        <v>9</v>
      </c>
      <c r="D190" s="12">
        <f t="shared" si="19"/>
        <v>4489908.333333334</v>
      </c>
      <c r="E190" s="11" t="str">
        <f t="shared" si="20"/>
        <v>23/24</v>
      </c>
      <c r="F190" s="11" t="str">
        <f t="shared" si="21"/>
        <v>Jun</v>
      </c>
      <c r="G190" s="11" t="str">
        <f t="shared" si="22"/>
        <v>Jun'23/24</v>
      </c>
      <c r="H190" s="11" t="str">
        <f t="shared" si="23"/>
        <v>Jun'23/24</v>
      </c>
      <c r="I190" s="11">
        <f t="shared" si="24"/>
        <v>69.146880599360642</v>
      </c>
    </row>
    <row r="191" spans="2:9" x14ac:dyDescent="0.55000000000000004">
      <c r="B191" s="11">
        <f t="shared" si="25"/>
        <v>10</v>
      </c>
      <c r="C191" s="11">
        <f t="shared" si="26"/>
        <v>10</v>
      </c>
      <c r="D191" s="12">
        <f t="shared" si="19"/>
        <v>4683420.333333334</v>
      </c>
      <c r="E191" s="11" t="str">
        <f t="shared" si="20"/>
        <v>23/24</v>
      </c>
      <c r="F191" s="11" t="str">
        <f t="shared" si="21"/>
        <v>Jul</v>
      </c>
      <c r="G191" s="11" t="str">
        <f t="shared" si="22"/>
        <v>Jul'23/24</v>
      </c>
      <c r="H191" s="11" t="str">
        <f t="shared" si="23"/>
        <v>Jul'23/24</v>
      </c>
      <c r="I191" s="11">
        <f t="shared" si="24"/>
        <v>69.137506722222241</v>
      </c>
    </row>
    <row r="192" spans="2:9" x14ac:dyDescent="0.55000000000000004">
      <c r="B192" s="11">
        <f t="shared" si="25"/>
        <v>10</v>
      </c>
      <c r="C192" s="11">
        <f t="shared" si="26"/>
        <v>11</v>
      </c>
      <c r="D192" s="12">
        <f t="shared" si="19"/>
        <v>4758272.333333334</v>
      </c>
      <c r="E192" s="11" t="str">
        <f t="shared" si="20"/>
        <v>23/24</v>
      </c>
      <c r="F192" s="11" t="str">
        <f t="shared" si="21"/>
        <v>Aug</v>
      </c>
      <c r="G192" s="11" t="str">
        <f t="shared" si="22"/>
        <v>Aug'23/24</v>
      </c>
      <c r="H192" s="11" t="str">
        <f t="shared" si="23"/>
        <v>Aug'23/24</v>
      </c>
      <c r="I192" s="11">
        <f t="shared" si="24"/>
        <v>68.967562361111121</v>
      </c>
    </row>
    <row r="193" spans="2:9" x14ac:dyDescent="0.55000000000000004">
      <c r="B193" s="11">
        <f t="shared" si="25"/>
        <v>10</v>
      </c>
      <c r="C193" s="11">
        <f t="shared" si="26"/>
        <v>12</v>
      </c>
      <c r="D193" s="12">
        <f t="shared" si="19"/>
        <v>5019928.666666667</v>
      </c>
      <c r="E193" s="11" t="str">
        <f t="shared" si="20"/>
        <v>23/24</v>
      </c>
      <c r="F193" s="11" t="str">
        <f t="shared" si="21"/>
        <v>Sep</v>
      </c>
      <c r="G193" s="11" t="str">
        <f t="shared" si="22"/>
        <v>Sep'23/24</v>
      </c>
      <c r="H193" s="11" t="str">
        <f t="shared" si="23"/>
        <v>Sep'23/24</v>
      </c>
      <c r="I193" s="11">
        <f t="shared" si="24"/>
        <v>70.008675333333343</v>
      </c>
    </row>
    <row r="194" spans="2:9" x14ac:dyDescent="0.55000000000000004">
      <c r="B194" s="11">
        <f t="shared" si="25"/>
        <v>11</v>
      </c>
      <c r="C194" s="11">
        <f t="shared" si="26"/>
        <v>1</v>
      </c>
      <c r="D194" s="12">
        <f t="shared" si="19"/>
        <v>5540993</v>
      </c>
      <c r="E194" s="11" t="str">
        <f t="shared" si="20"/>
        <v>24/25</v>
      </c>
      <c r="F194" s="11" t="str">
        <f t="shared" si="21"/>
        <v>Oct</v>
      </c>
      <c r="G194" s="11" t="str">
        <f t="shared" si="22"/>
        <v>Oct'24/25</v>
      </c>
      <c r="H194" s="11" t="str">
        <f t="shared" si="23"/>
        <v>Oct'24/25</v>
      </c>
      <c r="I194" s="11">
        <f t="shared" si="24"/>
        <v>70.694475333333344</v>
      </c>
    </row>
    <row r="195" spans="2:9" x14ac:dyDescent="0.55000000000000004">
      <c r="B195" s="11">
        <f t="shared" si="25"/>
        <v>11</v>
      </c>
      <c r="C195" s="11">
        <f t="shared" si="26"/>
        <v>2</v>
      </c>
      <c r="D195" s="12">
        <f t="shared" si="19"/>
        <v>5342896.666666667</v>
      </c>
      <c r="E195" s="11" t="str">
        <f t="shared" si="20"/>
        <v>24/25</v>
      </c>
      <c r="F195" s="11" t="str">
        <f t="shared" si="21"/>
        <v>Nov</v>
      </c>
      <c r="G195" s="11" t="str">
        <f t="shared" si="22"/>
        <v>Nov'24/25</v>
      </c>
      <c r="H195" s="11" t="str">
        <f t="shared" si="23"/>
        <v>Nov'24/25</v>
      </c>
      <c r="I195" s="11">
        <f t="shared" si="24"/>
        <v>69.872008666666673</v>
      </c>
    </row>
    <row r="196" spans="2:9" x14ac:dyDescent="0.55000000000000004">
      <c r="B196" s="11">
        <f t="shared" si="25"/>
        <v>11</v>
      </c>
      <c r="C196" s="11">
        <f t="shared" si="26"/>
        <v>3</v>
      </c>
      <c r="D196" s="12">
        <f t="shared" si="19"/>
        <v>6800000</v>
      </c>
      <c r="E196" s="11" t="str">
        <f t="shared" si="20"/>
        <v>24/25</v>
      </c>
      <c r="F196" s="11" t="str">
        <f t="shared" si="21"/>
        <v>Dec</v>
      </c>
      <c r="G196" s="11" t="str">
        <f t="shared" si="22"/>
        <v>Dec'24/25</v>
      </c>
      <c r="H196" s="11" t="str">
        <f t="shared" si="23"/>
        <v>Dec'24/25</v>
      </c>
      <c r="I196" s="11">
        <f t="shared" si="24"/>
        <v>69.411636999999999</v>
      </c>
    </row>
    <row r="197" spans="2:9" x14ac:dyDescent="0.55000000000000004">
      <c r="B197" s="11">
        <f t="shared" si="25"/>
        <v>11</v>
      </c>
      <c r="C197" s="11">
        <f t="shared" si="26"/>
        <v>4</v>
      </c>
      <c r="D197" s="12">
        <f t="shared" si="19"/>
        <v>5868913.666666667</v>
      </c>
      <c r="E197" s="11" t="str">
        <f t="shared" si="20"/>
        <v>24/25</v>
      </c>
      <c r="F197" s="11" t="str">
        <f t="shared" si="21"/>
        <v>Jan</v>
      </c>
      <c r="G197" s="11" t="str">
        <f t="shared" si="22"/>
        <v>Jan'24/25</v>
      </c>
      <c r="H197" s="11" t="str">
        <f t="shared" si="23"/>
        <v>Jan'24/25</v>
      </c>
      <c r="I197" s="11">
        <f t="shared" si="24"/>
        <v>67.573871666666676</v>
      </c>
    </row>
    <row r="198" spans="2:9" x14ac:dyDescent="0.55000000000000004">
      <c r="B198" s="11">
        <f t="shared" si="25"/>
        <v>11</v>
      </c>
      <c r="C198" s="11">
        <f t="shared" si="26"/>
        <v>5</v>
      </c>
      <c r="D198" s="12">
        <f t="shared" si="19"/>
        <v>5969025.333333334</v>
      </c>
      <c r="E198" s="11" t="str">
        <f t="shared" si="20"/>
        <v>24/25</v>
      </c>
      <c r="F198" s="11" t="str">
        <f t="shared" si="21"/>
        <v>Feb</v>
      </c>
      <c r="G198" s="11" t="str">
        <f t="shared" si="22"/>
        <v>Feb'24/25</v>
      </c>
      <c r="H198" s="11" t="str">
        <f t="shared" si="23"/>
        <v>Feb'24/25</v>
      </c>
      <c r="I198" s="11">
        <f t="shared" si="24"/>
        <v>67.479337000000001</v>
      </c>
    </row>
    <row r="199" spans="2:9" x14ac:dyDescent="0.55000000000000004">
      <c r="B199" s="11">
        <f t="shared" si="25"/>
        <v>11</v>
      </c>
      <c r="C199" s="11">
        <f t="shared" si="26"/>
        <v>6</v>
      </c>
      <c r="D199" s="12">
        <f t="shared" si="19"/>
        <v>5981745.333333334</v>
      </c>
      <c r="E199" s="11" t="str">
        <f t="shared" si="20"/>
        <v>24/25</v>
      </c>
      <c r="F199" s="11" t="str">
        <f t="shared" si="21"/>
        <v>Mar</v>
      </c>
      <c r="G199" s="11" t="str">
        <f t="shared" si="22"/>
        <v>Mar'24/25</v>
      </c>
      <c r="H199" s="11" t="str">
        <f t="shared" si="23"/>
        <v>Mar'24/25</v>
      </c>
      <c r="I199" s="11">
        <f t="shared" si="24"/>
        <v>66.300145999999998</v>
      </c>
    </row>
    <row r="200" spans="2:9" x14ac:dyDescent="0.55000000000000004">
      <c r="B200" s="11">
        <f t="shared" si="25"/>
        <v>11</v>
      </c>
      <c r="C200" s="11">
        <f t="shared" si="26"/>
        <v>7</v>
      </c>
      <c r="D200" s="12">
        <f t="shared" si="19"/>
        <v>5569711.666666667</v>
      </c>
      <c r="E200" s="11" t="str">
        <f t="shared" si="20"/>
        <v>24/25</v>
      </c>
      <c r="F200" s="11" t="str">
        <f t="shared" si="21"/>
        <v>Apr</v>
      </c>
      <c r="G200" s="11" t="str">
        <f t="shared" si="22"/>
        <v>Apr'24/25</v>
      </c>
      <c r="H200" s="11" t="str">
        <f t="shared" si="23"/>
        <v>Apr'24/25</v>
      </c>
      <c r="I200" s="11">
        <f t="shared" si="24"/>
        <v>65.405465666666672</v>
      </c>
    </row>
    <row r="201" spans="2:9" x14ac:dyDescent="0.55000000000000004">
      <c r="B201" s="11">
        <f t="shared" si="25"/>
        <v>11</v>
      </c>
      <c r="C201" s="11">
        <f t="shared" si="26"/>
        <v>8</v>
      </c>
      <c r="D201" s="12">
        <f t="shared" si="19"/>
        <v>5096233.666666667</v>
      </c>
      <c r="E201" s="11" t="str">
        <f t="shared" si="20"/>
        <v>24/25</v>
      </c>
      <c r="F201" s="11" t="str">
        <f t="shared" si="21"/>
        <v>May</v>
      </c>
      <c r="G201" s="11" t="str">
        <f t="shared" si="22"/>
        <v>May'24/25</v>
      </c>
      <c r="H201" s="11" t="str">
        <f t="shared" si="23"/>
        <v>May'24/25</v>
      </c>
      <c r="I201" s="11">
        <f t="shared" si="24"/>
        <v>65.121048999999999</v>
      </c>
    </row>
    <row r="202" spans="2:9" x14ac:dyDescent="0.55000000000000004">
      <c r="B202" s="11">
        <f t="shared" si="25"/>
        <v>11</v>
      </c>
      <c r="C202" s="11">
        <f t="shared" si="26"/>
        <v>9</v>
      </c>
      <c r="D202" s="12">
        <f t="shared" si="19"/>
        <v>4272068.333333334</v>
      </c>
      <c r="E202" s="11" t="str">
        <f t="shared" si="20"/>
        <v>24/25</v>
      </c>
      <c r="F202" s="11" t="str">
        <f t="shared" si="21"/>
        <v>Jun</v>
      </c>
      <c r="G202" s="11" t="str">
        <f t="shared" si="22"/>
        <v>Jun'24/25</v>
      </c>
      <c r="H202" s="11" t="str">
        <f t="shared" si="23"/>
        <v>Jun'24/25</v>
      </c>
      <c r="I202" s="11">
        <f t="shared" si="24"/>
        <v>64.903209000000004</v>
      </c>
    </row>
    <row r="203" spans="2:9" x14ac:dyDescent="0.55000000000000004">
      <c r="B203" s="11">
        <f t="shared" si="25"/>
        <v>11</v>
      </c>
      <c r="C203" s="11">
        <f t="shared" si="26"/>
        <v>10</v>
      </c>
      <c r="D203" s="12">
        <f t="shared" ref="D203:D229" si="27">INDEX($C$7:$N$19,MATCH(B203,$A$7:$A$19),MATCH(C203,$C$4:$N$4))</f>
        <v>4153698</v>
      </c>
      <c r="E203" s="11" t="str">
        <f t="shared" ref="E203:E229" si="28">_xlfn.XLOOKUP(B203,$A$7:$A$19,$B$7:$B$19)</f>
        <v>24/25</v>
      </c>
      <c r="F203" s="11" t="str">
        <f t="shared" ref="F203:F229" si="29">_xlfn.XLOOKUP(C203,$C$4:$N$4,$C$6:$N$6)</f>
        <v>Jul</v>
      </c>
      <c r="G203" s="11" t="str">
        <f t="shared" ref="G203:G229" si="30">_xlfn.CONCAT(F203,"'",E203)</f>
        <v>Jul'24/25</v>
      </c>
      <c r="H203" s="11" t="str">
        <f t="shared" si="23"/>
        <v>Jul'24/25</v>
      </c>
      <c r="I203" s="11">
        <f t="shared" si="24"/>
        <v>64.373486666666665</v>
      </c>
    </row>
    <row r="204" spans="2:9" x14ac:dyDescent="0.55000000000000004">
      <c r="B204" s="11">
        <f t="shared" si="25"/>
        <v>11</v>
      </c>
      <c r="C204" s="11">
        <f t="shared" si="26"/>
        <v>11</v>
      </c>
      <c r="D204" s="12">
        <f t="shared" si="27"/>
        <v>4301665</v>
      </c>
      <c r="E204" s="11" t="str">
        <f t="shared" si="28"/>
        <v>24/25</v>
      </c>
      <c r="F204" s="11" t="str">
        <f t="shared" si="29"/>
        <v>Aug</v>
      </c>
      <c r="G204" s="11" t="str">
        <f t="shared" si="30"/>
        <v>Aug'24/25</v>
      </c>
      <c r="H204" s="11" t="str">
        <f t="shared" si="23"/>
        <v>Aug'24/25</v>
      </c>
      <c r="I204" s="11">
        <f t="shared" si="24"/>
        <v>63.916879333333334</v>
      </c>
    </row>
    <row r="205" spans="2:9" x14ac:dyDescent="0.55000000000000004">
      <c r="B205" s="11">
        <f t="shared" si="25"/>
        <v>11</v>
      </c>
      <c r="C205" s="11">
        <f t="shared" si="26"/>
        <v>12</v>
      </c>
      <c r="D205" s="12">
        <f t="shared" si="27"/>
        <v>4822124</v>
      </c>
      <c r="E205" s="11" t="str">
        <f t="shared" si="28"/>
        <v>24/25</v>
      </c>
      <c r="F205" s="11" t="str">
        <f t="shared" si="29"/>
        <v>Sep</v>
      </c>
      <c r="G205" s="11" t="str">
        <f t="shared" si="30"/>
        <v>Sep'24/25</v>
      </c>
      <c r="H205" s="11" t="str">
        <f t="shared" si="23"/>
        <v>Sep'24/25</v>
      </c>
      <c r="I205" s="11">
        <f t="shared" si="24"/>
        <v>63.719074666666671</v>
      </c>
    </row>
    <row r="206" spans="2:9" x14ac:dyDescent="0.55000000000000004">
      <c r="B206" s="11">
        <f t="shared" si="25"/>
        <v>12</v>
      </c>
      <c r="C206" s="11">
        <f t="shared" si="26"/>
        <v>1</v>
      </c>
      <c r="D206" s="12">
        <f t="shared" si="27"/>
        <v>4975158</v>
      </c>
      <c r="E206" s="11" t="str">
        <f t="shared" si="28"/>
        <v>25/26</v>
      </c>
      <c r="F206" s="11" t="str">
        <f t="shared" si="29"/>
        <v>Oct</v>
      </c>
      <c r="G206" s="11" t="str">
        <f t="shared" si="30"/>
        <v>Oct'25/26</v>
      </c>
      <c r="H206" s="11" t="str">
        <f t="shared" si="23"/>
        <v>Oct'25/26</v>
      </c>
      <c r="I206" s="11">
        <f t="shared" si="24"/>
        <v>63.153239666666671</v>
      </c>
    </row>
    <row r="207" spans="2:9" x14ac:dyDescent="0.55000000000000004">
      <c r="B207" s="11">
        <f t="shared" si="25"/>
        <v>12</v>
      </c>
      <c r="C207" s="11">
        <f t="shared" si="26"/>
        <v>2</v>
      </c>
      <c r="D207" s="12">
        <f t="shared" si="27"/>
        <v>4803801</v>
      </c>
      <c r="E207" s="11" t="str">
        <f t="shared" si="28"/>
        <v>25/26</v>
      </c>
      <c r="F207" s="11" t="str">
        <f t="shared" si="29"/>
        <v>Nov</v>
      </c>
      <c r="G207" s="11" t="str">
        <f t="shared" si="30"/>
        <v>Nov'25/26</v>
      </c>
      <c r="H207" s="11" t="str">
        <f t="shared" si="23"/>
        <v>Nov'25/26</v>
      </c>
      <c r="I207" s="11">
        <f t="shared" si="24"/>
        <v>62.61414400000001</v>
      </c>
    </row>
    <row r="208" spans="2:9" x14ac:dyDescent="0.55000000000000004">
      <c r="B208" s="11">
        <f t="shared" si="25"/>
        <v>12</v>
      </c>
      <c r="C208" s="11">
        <f t="shared" si="26"/>
        <v>3</v>
      </c>
      <c r="D208" s="12">
        <f t="shared" si="27"/>
        <v>5917674</v>
      </c>
      <c r="E208" s="11" t="str">
        <f t="shared" si="28"/>
        <v>25/26</v>
      </c>
      <c r="F208" s="11" t="str">
        <f t="shared" si="29"/>
        <v>Dec</v>
      </c>
      <c r="G208" s="11" t="str">
        <f t="shared" si="30"/>
        <v>Dec'25/26</v>
      </c>
      <c r="H208" s="11" t="str">
        <f t="shared" si="23"/>
        <v>Dec'25/26</v>
      </c>
      <c r="I208" s="11">
        <f t="shared" si="24"/>
        <v>61.731818000000004</v>
      </c>
    </row>
    <row r="209" spans="2:9" x14ac:dyDescent="0.55000000000000004">
      <c r="B209" s="11">
        <f t="shared" si="25"/>
        <v>12</v>
      </c>
      <c r="C209" s="11">
        <f t="shared" si="26"/>
        <v>4</v>
      </c>
      <c r="D209" s="12">
        <f t="shared" si="27"/>
        <v>6276243.333333334</v>
      </c>
      <c r="E209" s="11" t="str">
        <f t="shared" si="28"/>
        <v>25/26</v>
      </c>
      <c r="F209" s="11" t="str">
        <f t="shared" si="29"/>
        <v>Jan</v>
      </c>
      <c r="G209" s="11" t="str">
        <f t="shared" si="30"/>
        <v>Jan'25/26</v>
      </c>
      <c r="H209" s="11" t="str">
        <f t="shared" si="23"/>
        <v>Jan'25/26</v>
      </c>
      <c r="I209" s="11">
        <f t="shared" si="24"/>
        <v>62.139147666666673</v>
      </c>
    </row>
    <row r="210" spans="2:9" x14ac:dyDescent="0.55000000000000004">
      <c r="B210" s="11">
        <f t="shared" si="25"/>
        <v>12</v>
      </c>
      <c r="C210" s="11">
        <f t="shared" si="26"/>
        <v>5</v>
      </c>
      <c r="D210" s="12">
        <f t="shared" si="27"/>
        <v>4672559.333333334</v>
      </c>
      <c r="E210" s="11" t="str">
        <f t="shared" si="28"/>
        <v>25/26</v>
      </c>
      <c r="F210" s="11" t="str">
        <f t="shared" si="29"/>
        <v>Feb</v>
      </c>
      <c r="G210" s="11" t="str">
        <f t="shared" si="30"/>
        <v>Feb'25/26</v>
      </c>
      <c r="H210" s="11" t="str">
        <f t="shared" si="23"/>
        <v>Feb'25/26</v>
      </c>
      <c r="I210" s="11">
        <f t="shared" si="24"/>
        <v>60.842681666666671</v>
      </c>
    </row>
    <row r="211" spans="2:9" x14ac:dyDescent="0.55000000000000004">
      <c r="B211" s="11">
        <f t="shared" si="25"/>
        <v>12</v>
      </c>
      <c r="C211" s="11">
        <f t="shared" si="26"/>
        <v>6</v>
      </c>
      <c r="D211" s="12">
        <f t="shared" si="27"/>
        <v>5821316</v>
      </c>
      <c r="E211" s="11" t="str">
        <f t="shared" si="28"/>
        <v>25/26</v>
      </c>
      <c r="F211" s="11" t="str">
        <f t="shared" si="29"/>
        <v>Mar</v>
      </c>
      <c r="G211" s="11" t="str">
        <f t="shared" si="30"/>
        <v>Mar'25/26</v>
      </c>
      <c r="H211" s="11" t="str">
        <f t="shared" si="23"/>
        <v>Mar'25/26</v>
      </c>
      <c r="I211" s="11">
        <f t="shared" si="24"/>
        <v>60.682252333333345</v>
      </c>
    </row>
    <row r="212" spans="2:9" x14ac:dyDescent="0.55000000000000004">
      <c r="B212" s="11">
        <f t="shared" si="25"/>
        <v>12</v>
      </c>
      <c r="C212" s="11">
        <f t="shared" si="26"/>
        <v>7</v>
      </c>
      <c r="D212" s="12">
        <f t="shared" si="27"/>
        <v>5950599</v>
      </c>
      <c r="E212" s="11" t="str">
        <f t="shared" si="28"/>
        <v>25/26</v>
      </c>
      <c r="F212" s="11" t="str">
        <f t="shared" si="29"/>
        <v>Apr</v>
      </c>
      <c r="G212" s="11" t="str">
        <f t="shared" si="30"/>
        <v>Apr'25/26</v>
      </c>
      <c r="H212" s="11" t="str">
        <f t="shared" si="23"/>
        <v>Apr'25/26</v>
      </c>
      <c r="I212" s="11">
        <f t="shared" si="24"/>
        <v>61.063139666666672</v>
      </c>
    </row>
    <row r="213" spans="2:9" x14ac:dyDescent="0.55000000000000004">
      <c r="B213" s="11">
        <f t="shared" si="25"/>
        <v>12</v>
      </c>
      <c r="C213" s="11">
        <f t="shared" si="26"/>
        <v>8</v>
      </c>
      <c r="D213" s="12">
        <f t="shared" si="27"/>
        <v>4969724</v>
      </c>
      <c r="E213" s="11" t="str">
        <f t="shared" si="28"/>
        <v>25/26</v>
      </c>
      <c r="F213" s="11" t="str">
        <f t="shared" si="29"/>
        <v>May</v>
      </c>
      <c r="G213" s="11" t="str">
        <f t="shared" si="30"/>
        <v>May'25/26</v>
      </c>
      <c r="H213" s="11" t="str">
        <f t="shared" si="23"/>
        <v>May'25/26</v>
      </c>
      <c r="I213" s="11">
        <f t="shared" si="24"/>
        <v>60.936630000000008</v>
      </c>
    </row>
    <row r="214" spans="2:9" x14ac:dyDescent="0.55000000000000004">
      <c r="B214" s="11">
        <f t="shared" si="25"/>
        <v>12</v>
      </c>
      <c r="C214" s="11">
        <f t="shared" si="26"/>
        <v>9</v>
      </c>
      <c r="D214" s="12">
        <f t="shared" si="27"/>
        <v>4596167.666666667</v>
      </c>
      <c r="E214" s="11" t="str">
        <f t="shared" si="28"/>
        <v>25/26</v>
      </c>
      <c r="F214" s="11" t="str">
        <f t="shared" si="29"/>
        <v>Jun</v>
      </c>
      <c r="G214" s="11" t="str">
        <f t="shared" si="30"/>
        <v>Jun'25/26</v>
      </c>
      <c r="H214" s="11" t="str">
        <f t="shared" ref="H214:H229" si="31">G214</f>
        <v>Jun'25/26</v>
      </c>
      <c r="I214" s="11">
        <f t="shared" ref="I214:I229" si="32">SUM(D203:D214)/1000000</f>
        <v>61.260729333333337</v>
      </c>
    </row>
    <row r="215" spans="2:9" x14ac:dyDescent="0.55000000000000004">
      <c r="B215" s="11">
        <f t="shared" ref="B215:B229" si="33">B203+1</f>
        <v>12</v>
      </c>
      <c r="C215" s="11">
        <f t="shared" ref="C215:C229" si="34">C203</f>
        <v>10</v>
      </c>
      <c r="D215" s="12">
        <f t="shared" si="27"/>
        <v>4918881.333333334</v>
      </c>
      <c r="E215" s="11" t="str">
        <f t="shared" si="28"/>
        <v>25/26</v>
      </c>
      <c r="F215" s="11" t="str">
        <f t="shared" si="29"/>
        <v>Jul</v>
      </c>
      <c r="G215" s="11" t="str">
        <f t="shared" si="30"/>
        <v>Jul'25/26</v>
      </c>
      <c r="H215" s="11" t="str">
        <f t="shared" si="31"/>
        <v>Jul'25/26</v>
      </c>
      <c r="I215" s="11">
        <f t="shared" si="32"/>
        <v>62.02591266666667</v>
      </c>
    </row>
    <row r="216" spans="2:9" x14ac:dyDescent="0.55000000000000004">
      <c r="B216" s="11">
        <f t="shared" si="33"/>
        <v>12</v>
      </c>
      <c r="C216" s="11">
        <f t="shared" si="34"/>
        <v>11</v>
      </c>
      <c r="D216" s="12">
        <f t="shared" si="27"/>
        <v>6053631.666666667</v>
      </c>
      <c r="E216" s="11" t="str">
        <f t="shared" si="28"/>
        <v>25/26</v>
      </c>
      <c r="F216" s="11" t="str">
        <f t="shared" si="29"/>
        <v>Aug</v>
      </c>
      <c r="G216" s="11" t="str">
        <f t="shared" si="30"/>
        <v>Aug'25/26</v>
      </c>
      <c r="H216" s="11" t="str">
        <f t="shared" si="31"/>
        <v>Aug'25/26</v>
      </c>
      <c r="I216" s="11">
        <f t="shared" si="32"/>
        <v>63.777879333333338</v>
      </c>
    </row>
    <row r="217" spans="2:9" x14ac:dyDescent="0.55000000000000004">
      <c r="B217" s="11">
        <f t="shared" si="33"/>
        <v>12</v>
      </c>
      <c r="C217" s="11">
        <f t="shared" si="34"/>
        <v>12</v>
      </c>
      <c r="D217" s="12">
        <f t="shared" si="27"/>
        <v>5337560.666666667</v>
      </c>
      <c r="E217" s="11" t="str">
        <f t="shared" si="28"/>
        <v>25/26</v>
      </c>
      <c r="F217" s="11" t="str">
        <f t="shared" si="29"/>
        <v>Sep</v>
      </c>
      <c r="G217" s="11" t="str">
        <f t="shared" si="30"/>
        <v>Sep'25/26</v>
      </c>
      <c r="H217" s="11" t="str">
        <f t="shared" si="31"/>
        <v>Sep'25/26</v>
      </c>
      <c r="I217" s="11">
        <f t="shared" si="32"/>
        <v>64.293316000000004</v>
      </c>
    </row>
    <row r="218" spans="2:9" x14ac:dyDescent="0.55000000000000004">
      <c r="B218" s="11">
        <f t="shared" si="33"/>
        <v>13</v>
      </c>
      <c r="C218" s="11">
        <f t="shared" si="34"/>
        <v>1</v>
      </c>
      <c r="D218" s="12" t="e">
        <f t="shared" si="27"/>
        <v>#N/A</v>
      </c>
      <c r="E218" s="11" t="str">
        <f t="shared" si="28"/>
        <v>26/27</v>
      </c>
      <c r="F218" s="11" t="str">
        <f t="shared" si="29"/>
        <v>Oct</v>
      </c>
      <c r="G218" s="11" t="str">
        <f t="shared" si="30"/>
        <v>Oct'26/27</v>
      </c>
      <c r="H218" s="11" t="str">
        <f t="shared" si="31"/>
        <v>Oct'26/27</v>
      </c>
      <c r="I218" s="11" t="e">
        <f t="shared" si="32"/>
        <v>#N/A</v>
      </c>
    </row>
    <row r="219" spans="2:9" x14ac:dyDescent="0.55000000000000004">
      <c r="B219" s="11">
        <f t="shared" si="33"/>
        <v>13</v>
      </c>
      <c r="C219" s="11">
        <f t="shared" si="34"/>
        <v>2</v>
      </c>
      <c r="D219" s="12" t="e">
        <f t="shared" si="27"/>
        <v>#N/A</v>
      </c>
      <c r="E219" s="11" t="str">
        <f t="shared" si="28"/>
        <v>26/27</v>
      </c>
      <c r="F219" s="11" t="str">
        <f t="shared" si="29"/>
        <v>Nov</v>
      </c>
      <c r="G219" s="11" t="str">
        <f t="shared" si="30"/>
        <v>Nov'26/27</v>
      </c>
      <c r="H219" s="11" t="str">
        <f t="shared" si="31"/>
        <v>Nov'26/27</v>
      </c>
      <c r="I219" s="11" t="e">
        <f t="shared" si="32"/>
        <v>#N/A</v>
      </c>
    </row>
    <row r="220" spans="2:9" x14ac:dyDescent="0.55000000000000004">
      <c r="B220" s="11">
        <f t="shared" si="33"/>
        <v>13</v>
      </c>
      <c r="C220" s="11">
        <f t="shared" si="34"/>
        <v>3</v>
      </c>
      <c r="D220" s="12" t="e">
        <f t="shared" si="27"/>
        <v>#N/A</v>
      </c>
      <c r="E220" s="11" t="str">
        <f t="shared" si="28"/>
        <v>26/27</v>
      </c>
      <c r="F220" s="11" t="str">
        <f t="shared" si="29"/>
        <v>Dec</v>
      </c>
      <c r="G220" s="11" t="str">
        <f t="shared" si="30"/>
        <v>Dec'26/27</v>
      </c>
      <c r="H220" s="11" t="str">
        <f t="shared" si="31"/>
        <v>Dec'26/27</v>
      </c>
      <c r="I220" s="11" t="e">
        <f t="shared" si="32"/>
        <v>#N/A</v>
      </c>
    </row>
    <row r="221" spans="2:9" x14ac:dyDescent="0.55000000000000004">
      <c r="B221" s="11">
        <f t="shared" si="33"/>
        <v>13</v>
      </c>
      <c r="C221" s="11">
        <f t="shared" si="34"/>
        <v>4</v>
      </c>
      <c r="D221" s="12" t="e">
        <f t="shared" si="27"/>
        <v>#N/A</v>
      </c>
      <c r="E221" s="11" t="str">
        <f t="shared" si="28"/>
        <v>26/27</v>
      </c>
      <c r="F221" s="11" t="str">
        <f t="shared" si="29"/>
        <v>Jan</v>
      </c>
      <c r="G221" s="11" t="str">
        <f t="shared" si="30"/>
        <v>Jan'26/27</v>
      </c>
      <c r="H221" s="11" t="str">
        <f t="shared" si="31"/>
        <v>Jan'26/27</v>
      </c>
      <c r="I221" s="11" t="e">
        <f t="shared" si="32"/>
        <v>#N/A</v>
      </c>
    </row>
    <row r="222" spans="2:9" x14ac:dyDescent="0.55000000000000004">
      <c r="B222" s="11">
        <f t="shared" si="33"/>
        <v>13</v>
      </c>
      <c r="C222" s="11">
        <f t="shared" si="34"/>
        <v>5</v>
      </c>
      <c r="D222" s="12" t="e">
        <f t="shared" si="27"/>
        <v>#N/A</v>
      </c>
      <c r="E222" s="11" t="str">
        <f t="shared" si="28"/>
        <v>26/27</v>
      </c>
      <c r="F222" s="11" t="str">
        <f t="shared" si="29"/>
        <v>Feb</v>
      </c>
      <c r="G222" s="11" t="str">
        <f t="shared" si="30"/>
        <v>Feb'26/27</v>
      </c>
      <c r="H222" s="11" t="str">
        <f t="shared" si="31"/>
        <v>Feb'26/27</v>
      </c>
      <c r="I222" s="11" t="e">
        <f t="shared" si="32"/>
        <v>#N/A</v>
      </c>
    </row>
    <row r="223" spans="2:9" x14ac:dyDescent="0.55000000000000004">
      <c r="B223" s="11">
        <f t="shared" si="33"/>
        <v>13</v>
      </c>
      <c r="C223" s="11">
        <f t="shared" si="34"/>
        <v>6</v>
      </c>
      <c r="D223" s="12" t="e">
        <f t="shared" si="27"/>
        <v>#N/A</v>
      </c>
      <c r="E223" s="11" t="str">
        <f t="shared" si="28"/>
        <v>26/27</v>
      </c>
      <c r="F223" s="11" t="str">
        <f t="shared" si="29"/>
        <v>Mar</v>
      </c>
      <c r="G223" s="11" t="str">
        <f t="shared" si="30"/>
        <v>Mar'26/27</v>
      </c>
      <c r="H223" s="11" t="str">
        <f t="shared" si="31"/>
        <v>Mar'26/27</v>
      </c>
      <c r="I223" s="11" t="e">
        <f t="shared" si="32"/>
        <v>#N/A</v>
      </c>
    </row>
    <row r="224" spans="2:9" x14ac:dyDescent="0.55000000000000004">
      <c r="B224" s="11">
        <f t="shared" si="33"/>
        <v>13</v>
      </c>
      <c r="C224" s="11">
        <f t="shared" si="34"/>
        <v>7</v>
      </c>
      <c r="D224" s="12" t="e">
        <f t="shared" si="27"/>
        <v>#N/A</v>
      </c>
      <c r="E224" s="11" t="str">
        <f t="shared" si="28"/>
        <v>26/27</v>
      </c>
      <c r="F224" s="11" t="str">
        <f t="shared" si="29"/>
        <v>Apr</v>
      </c>
      <c r="G224" s="11" t="str">
        <f t="shared" si="30"/>
        <v>Apr'26/27</v>
      </c>
      <c r="H224" s="11" t="str">
        <f t="shared" si="31"/>
        <v>Apr'26/27</v>
      </c>
      <c r="I224" s="11" t="e">
        <f t="shared" si="32"/>
        <v>#N/A</v>
      </c>
    </row>
    <row r="225" spans="2:9" x14ac:dyDescent="0.55000000000000004">
      <c r="B225" s="11">
        <f t="shared" si="33"/>
        <v>13</v>
      </c>
      <c r="C225" s="11">
        <f t="shared" si="34"/>
        <v>8</v>
      </c>
      <c r="D225" s="12" t="e">
        <f t="shared" si="27"/>
        <v>#N/A</v>
      </c>
      <c r="E225" s="11" t="str">
        <f t="shared" si="28"/>
        <v>26/27</v>
      </c>
      <c r="F225" s="11" t="str">
        <f t="shared" si="29"/>
        <v>May</v>
      </c>
      <c r="G225" s="11" t="str">
        <f t="shared" si="30"/>
        <v>May'26/27</v>
      </c>
      <c r="H225" s="11" t="str">
        <f t="shared" si="31"/>
        <v>May'26/27</v>
      </c>
      <c r="I225" s="11" t="e">
        <f t="shared" si="32"/>
        <v>#N/A</v>
      </c>
    </row>
    <row r="226" spans="2:9" x14ac:dyDescent="0.55000000000000004">
      <c r="B226" s="11">
        <f t="shared" si="33"/>
        <v>13</v>
      </c>
      <c r="C226" s="11">
        <f t="shared" si="34"/>
        <v>9</v>
      </c>
      <c r="D226" s="12" t="e">
        <f t="shared" si="27"/>
        <v>#N/A</v>
      </c>
      <c r="E226" s="11" t="str">
        <f t="shared" si="28"/>
        <v>26/27</v>
      </c>
      <c r="F226" s="11" t="str">
        <f t="shared" si="29"/>
        <v>Jun</v>
      </c>
      <c r="G226" s="11" t="str">
        <f t="shared" si="30"/>
        <v>Jun'26/27</v>
      </c>
      <c r="H226" s="11" t="str">
        <f t="shared" si="31"/>
        <v>Jun'26/27</v>
      </c>
      <c r="I226" s="11" t="e">
        <f t="shared" si="32"/>
        <v>#N/A</v>
      </c>
    </row>
    <row r="227" spans="2:9" x14ac:dyDescent="0.55000000000000004">
      <c r="B227" s="11">
        <f t="shared" si="33"/>
        <v>13</v>
      </c>
      <c r="C227" s="11">
        <f t="shared" si="34"/>
        <v>10</v>
      </c>
      <c r="D227" s="12" t="e">
        <f t="shared" si="27"/>
        <v>#N/A</v>
      </c>
      <c r="E227" s="11" t="str">
        <f t="shared" si="28"/>
        <v>26/27</v>
      </c>
      <c r="F227" s="11" t="str">
        <f t="shared" si="29"/>
        <v>Jul</v>
      </c>
      <c r="G227" s="11" t="str">
        <f t="shared" si="30"/>
        <v>Jul'26/27</v>
      </c>
      <c r="H227" s="11" t="str">
        <f t="shared" si="31"/>
        <v>Jul'26/27</v>
      </c>
      <c r="I227" s="11" t="e">
        <f t="shared" si="32"/>
        <v>#N/A</v>
      </c>
    </row>
    <row r="228" spans="2:9" x14ac:dyDescent="0.55000000000000004">
      <c r="B228" s="11">
        <f t="shared" si="33"/>
        <v>13</v>
      </c>
      <c r="C228" s="11">
        <f t="shared" si="34"/>
        <v>11</v>
      </c>
      <c r="D228" s="12" t="e">
        <f t="shared" si="27"/>
        <v>#N/A</v>
      </c>
      <c r="E228" s="11" t="str">
        <f t="shared" si="28"/>
        <v>26/27</v>
      </c>
      <c r="F228" s="11" t="str">
        <f t="shared" si="29"/>
        <v>Aug</v>
      </c>
      <c r="G228" s="11" t="str">
        <f t="shared" si="30"/>
        <v>Aug'26/27</v>
      </c>
      <c r="H228" s="11" t="str">
        <f t="shared" si="31"/>
        <v>Aug'26/27</v>
      </c>
      <c r="I228" s="11" t="e">
        <f t="shared" si="32"/>
        <v>#N/A</v>
      </c>
    </row>
    <row r="229" spans="2:9" x14ac:dyDescent="0.55000000000000004">
      <c r="B229" s="11">
        <f t="shared" si="33"/>
        <v>13</v>
      </c>
      <c r="C229" s="11">
        <f t="shared" si="34"/>
        <v>12</v>
      </c>
      <c r="D229" s="12" t="e">
        <f t="shared" si="27"/>
        <v>#N/A</v>
      </c>
      <c r="E229" s="11" t="str">
        <f t="shared" si="28"/>
        <v>26/27</v>
      </c>
      <c r="F229" s="11" t="str">
        <f t="shared" si="29"/>
        <v>Sep</v>
      </c>
      <c r="G229" s="11" t="str">
        <f t="shared" si="30"/>
        <v>Sep'26/27</v>
      </c>
      <c r="H229" s="11" t="str">
        <f t="shared" si="31"/>
        <v>Sep'26/27</v>
      </c>
      <c r="I229" s="11" t="e">
        <f t="shared" si="32"/>
        <v>#N/A</v>
      </c>
    </row>
  </sheetData>
  <mergeCells count="4">
    <mergeCell ref="A1:Y2"/>
    <mergeCell ref="C5:N5"/>
    <mergeCell ref="S6:U6"/>
    <mergeCell ref="N74:Y74"/>
  </mergeCells>
  <conditionalFormatting sqref="C7:N19">
    <cfRule type="cellIs" dxfId="1" priority="1" operator="greaterThanOrEqual">
      <formula>0</formula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P7:P19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8:Q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{13606E73-24C7-493E-A65A-79D7FAA8CCBE}</x14:id>
        </ext>
      </extLst>
    </cfRule>
  </conditionalFormatting>
  <conditionalFormatting sqref="Q17:Q1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{51C63C7B-BA60-4448-8CDD-B62428DABBC0}</x14:id>
        </ext>
      </extLst>
    </cfRule>
  </conditionalFormatting>
  <conditionalFormatting sqref="T7:T19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0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:U1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{C999E147-30F8-4DD2-8F99-93E3CAF77084}</x14:id>
        </ext>
      </extLst>
    </cfRule>
  </conditionalFormatting>
  <conditionalFormatting sqref="U18:U1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{BE03F43A-C899-4255-87A6-4B296157675D}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606E73-24C7-493E-A65A-79D7FAA8CC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Q8:Q16</xm:sqref>
        </x14:conditionalFormatting>
        <x14:conditionalFormatting xmlns:xm="http://schemas.microsoft.com/office/excel/2006/main">
          <x14:cfRule type="dataBar" id="{51C63C7B-BA60-4448-8CDD-B62428DABB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Q17:Q19</xm:sqref>
        </x14:conditionalFormatting>
        <x14:conditionalFormatting xmlns:xm="http://schemas.microsoft.com/office/excel/2006/main">
          <x14:cfRule type="dataBar" id="{C999E147-30F8-4DD2-8F99-93E3CAF770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U8:U17</xm:sqref>
        </x14:conditionalFormatting>
        <x14:conditionalFormatting xmlns:xm="http://schemas.microsoft.com/office/excel/2006/main">
          <x14:cfRule type="dataBar" id="{BE03F43A-C899-4255-87A6-4B29615767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U18:U19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15a1d7-5b2b-4aec-b3c1-bed157ad3cff">
      <Terms xmlns="http://schemas.microsoft.com/office/infopath/2007/PartnerControls"/>
    </lcf76f155ced4ddcb4097134ff3c332f>
    <TaxCatchAll xmlns="3bb8a688-9fce-46e7-b438-b3767c5bce2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CCD6E02B74F9DAE55BEF75C7D8B" ma:contentTypeVersion="10" ma:contentTypeDescription="Create a new document." ma:contentTypeScope="" ma:versionID="755c61f92718ec80af2f84face8369ae">
  <xsd:schema xmlns:xsd="http://www.w3.org/2001/XMLSchema" xmlns:xs="http://www.w3.org/2001/XMLSchema" xmlns:p="http://schemas.microsoft.com/office/2006/metadata/properties" xmlns:ns2="4315a1d7-5b2b-4aec-b3c1-bed157ad3cff" xmlns:ns3="3bb8a688-9fce-46e7-b438-b3767c5bce2d" targetNamespace="http://schemas.microsoft.com/office/2006/metadata/properties" ma:root="true" ma:fieldsID="6db04e3886905a89fbc2397dfd3aa562" ns2:_="" ns3:_="">
    <xsd:import namespace="4315a1d7-5b2b-4aec-b3c1-bed157ad3cff"/>
    <xsd:import namespace="3bb8a688-9fce-46e7-b438-b3767c5bc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5a1d7-5b2b-4aec-b3c1-bed157ad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a688-9fce-46e7-b438-b3767c5bc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84426-c0b4-475e-90ce-e5c9e64942ee}" ma:internalName="TaxCatchAll" ma:showField="CatchAllData" ma:web="3bb8a688-9fce-46e7-b438-b3767c5bc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892435-EB29-4FD1-B94E-6DEE9677B7AD}">
  <ds:schemaRefs>
    <ds:schemaRef ds:uri="http://schemas.microsoft.com/office/2006/metadata/properties"/>
    <ds:schemaRef ds:uri="http://schemas.microsoft.com/office/infopath/2007/PartnerControls"/>
    <ds:schemaRef ds:uri="47512aee-9d78-4d0f-a8e9-b9fe07c693bf"/>
    <ds:schemaRef ds:uri="c4b1f387-67e6-41bb-9209-e5d19657c4ac"/>
  </ds:schemaRefs>
</ds:datastoreItem>
</file>

<file path=customXml/itemProps2.xml><?xml version="1.0" encoding="utf-8"?>
<ds:datastoreItem xmlns:ds="http://schemas.openxmlformats.org/officeDocument/2006/customXml" ds:itemID="{EEC6FDFF-2EE8-427D-9D2F-DA4508B87DB9}"/>
</file>

<file path=customXml/itemProps3.xml><?xml version="1.0" encoding="utf-8"?>
<ds:datastoreItem xmlns:ds="http://schemas.openxmlformats.org/officeDocument/2006/customXml" ds:itemID="{D1E68662-A4EF-4872-8F17-4E695AD6011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Menu</vt:lpstr>
      <vt:lpstr>Marex total</vt:lpstr>
      <vt:lpstr>Global derived</vt:lpstr>
      <vt:lpstr>Global TDM + Vietnam</vt:lpstr>
      <vt:lpstr>Total TDM</vt:lpstr>
      <vt:lpstr>Aggregated</vt:lpstr>
      <vt:lpstr>Agg (Peru Included)</vt:lpstr>
      <vt:lpstr>S4 Arabica</vt:lpstr>
      <vt:lpstr>S5 Arabica</vt:lpstr>
      <vt:lpstr>Non Brazil Arabica origin</vt:lpstr>
      <vt:lpstr>Brazil Arabica</vt:lpstr>
      <vt:lpstr>Colombia</vt:lpstr>
      <vt:lpstr>Honduras</vt:lpstr>
      <vt:lpstr>Ethiopia</vt:lpstr>
      <vt:lpstr>Peru</vt:lpstr>
      <vt:lpstr>S2 Robusta</vt:lpstr>
      <vt:lpstr>S5 Robusta</vt:lpstr>
      <vt:lpstr>Vietnam</vt:lpstr>
      <vt:lpstr>VTN to Terminals</vt:lpstr>
      <vt:lpstr>Brazil Robusta</vt:lpstr>
      <vt:lpstr>Indonesia</vt:lpstr>
      <vt:lpstr>Uganda</vt:lpstr>
      <vt:lpstr>India</vt:lpstr>
      <vt:lpstr>Brazil + Vietnam Coffee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Virat Arya</dc:creator>
  <cp:lastModifiedBy>Virat Arya</cp:lastModifiedBy>
  <dcterms:created xsi:type="dcterms:W3CDTF">2015-06-05T18:17:20Z</dcterms:created>
  <dcterms:modified xsi:type="dcterms:W3CDTF">2026-10-19T16:24:47Z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0x01010069BD0CCD6E02B74F9DAE55BEF75C7D8B</vt:lpwstr>
  </property>
  <property fmtid="{D5CDD505-2E9C-101B-9397-08002B2CF9AE}" pid="3" name="MediaServiceImageTags">
    <vt:lpwstr/>
  </property>
</Properties>
</file>