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anz/CloudStation/Dev/aquarium_care_by_arduino/docs/"/>
    </mc:Choice>
  </mc:AlternateContent>
  <xr:revisionPtr revIDLastSave="0" documentId="13_ncr:1_{D04D41D9-F746-4F45-88C2-E88FB3EFDA18}" xr6:coauthVersionLast="38" xr6:coauthVersionMax="38" xr10:uidLastSave="{00000000-0000-0000-0000-000000000000}"/>
  <bookViews>
    <workbookView xWindow="0" yWindow="440" windowWidth="14480" windowHeight="15120" tabRatio="500" activeTab="4" xr2:uid="{00000000-000D-0000-FFFF-FFFF00000000}"/>
  </bookViews>
  <sheets>
    <sheet name="Lumens" sheetId="1" r:id="rId1"/>
    <sheet name="Calculus" sheetId="2" r:id="rId2"/>
    <sheet name="Design" sheetId="3" r:id="rId3"/>
    <sheet name="Arduino" sheetId="4" r:id="rId4"/>
    <sheet name="Screens" sheetId="5" r:id="rId5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" i="4" l="1"/>
  <c r="D34" i="4"/>
  <c r="C34" i="4"/>
  <c r="F32" i="4"/>
  <c r="F31" i="4"/>
  <c r="F30" i="4"/>
  <c r="F29" i="4"/>
  <c r="F28" i="4"/>
  <c r="F27" i="4"/>
  <c r="F34" i="4" s="1"/>
  <c r="D10" i="4"/>
  <c r="C10" i="4"/>
  <c r="AG41" i="3"/>
  <c r="AG40" i="3"/>
  <c r="AG39" i="3"/>
  <c r="H39" i="3"/>
  <c r="I39" i="3" s="1"/>
  <c r="AG38" i="3"/>
  <c r="H38" i="3"/>
  <c r="I38" i="3" s="1"/>
  <c r="AG37" i="3"/>
  <c r="H37" i="3"/>
  <c r="I37" i="3" s="1"/>
  <c r="AG36" i="3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D29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D9" i="3"/>
  <c r="Z9" i="3"/>
  <c r="AG8" i="3"/>
  <c r="AN8" i="3" s="1"/>
  <c r="AI7" i="3"/>
  <c r="AG7" i="3"/>
  <c r="AN7" i="3" s="1"/>
  <c r="AC7" i="3"/>
  <c r="AN6" i="3"/>
  <c r="AG6" i="3"/>
  <c r="AC6" i="3"/>
  <c r="AI5" i="3"/>
  <c r="AG5" i="3"/>
  <c r="AN5" i="3" s="1"/>
  <c r="AC5" i="3"/>
  <c r="AG4" i="3"/>
  <c r="AK4" i="3" s="1"/>
  <c r="AC4" i="3"/>
  <c r="AI3" i="3"/>
  <c r="AG3" i="3"/>
  <c r="AG9" i="3" s="1"/>
  <c r="D32" i="3" s="1"/>
  <c r="AC3" i="3"/>
  <c r="AD10" i="3" s="1"/>
  <c r="AD11" i="3" s="1"/>
  <c r="I35" i="2"/>
  <c r="H35" i="2"/>
  <c r="J31" i="2"/>
  <c r="E25" i="2"/>
  <c r="D25" i="2"/>
  <c r="F25" i="2" s="1"/>
  <c r="D24" i="2"/>
  <c r="F24" i="2" s="1"/>
  <c r="D23" i="2"/>
  <c r="F23" i="2" s="1"/>
  <c r="F22" i="2"/>
  <c r="E22" i="2"/>
  <c r="D22" i="2"/>
  <c r="F21" i="2"/>
  <c r="F27" i="2" s="1"/>
  <c r="E21" i="2"/>
  <c r="D21" i="2"/>
  <c r="H16" i="2"/>
  <c r="C16" i="2"/>
  <c r="K14" i="2"/>
  <c r="J14" i="2"/>
  <c r="I14" i="2"/>
  <c r="F14" i="2"/>
  <c r="E14" i="2"/>
  <c r="D14" i="2"/>
  <c r="I13" i="2"/>
  <c r="J13" i="2" s="1"/>
  <c r="D13" i="2"/>
  <c r="F13" i="2" s="1"/>
  <c r="K12" i="2"/>
  <c r="J12" i="2"/>
  <c r="I12" i="2"/>
  <c r="F12" i="2"/>
  <c r="E12" i="2"/>
  <c r="D12" i="2"/>
  <c r="I11" i="2"/>
  <c r="J11" i="2" s="1"/>
  <c r="D11" i="2"/>
  <c r="F11" i="2" s="1"/>
  <c r="K10" i="2"/>
  <c r="J10" i="2"/>
  <c r="I10" i="2"/>
  <c r="F10" i="2"/>
  <c r="E10" i="2"/>
  <c r="D10" i="2"/>
  <c r="I9" i="2"/>
  <c r="J9" i="2" s="1"/>
  <c r="J16" i="2" s="1"/>
  <c r="D9" i="2"/>
  <c r="F9" i="2" s="1"/>
  <c r="F16" i="2" s="1"/>
  <c r="D11" i="1"/>
  <c r="D10" i="1"/>
  <c r="D9" i="1"/>
  <c r="D8" i="1"/>
  <c r="D7" i="1"/>
  <c r="D6" i="1"/>
  <c r="D5" i="1"/>
  <c r="D4" i="1"/>
  <c r="D3" i="1"/>
  <c r="D2" i="1"/>
  <c r="D1" i="1"/>
  <c r="D12" i="1" s="1"/>
  <c r="H30" i="2" l="1"/>
  <c r="H32" i="2" s="1"/>
  <c r="H36" i="2" s="1"/>
  <c r="F17" i="2"/>
  <c r="I4" i="1"/>
  <c r="I13" i="1" s="1"/>
  <c r="I3" i="1"/>
  <c r="I12" i="1" s="1"/>
  <c r="I2" i="1"/>
  <c r="I11" i="1" s="1"/>
  <c r="H4" i="1"/>
  <c r="H13" i="1" s="1"/>
  <c r="H3" i="1"/>
  <c r="H12" i="1" s="1"/>
  <c r="H2" i="1"/>
  <c r="H11" i="1" s="1"/>
  <c r="G4" i="1"/>
  <c r="G13" i="1" s="1"/>
  <c r="G3" i="1"/>
  <c r="G12" i="1" s="1"/>
  <c r="G2" i="1"/>
  <c r="G11" i="1" s="1"/>
  <c r="AK6" i="3"/>
  <c r="E24" i="2"/>
  <c r="Y3" i="3"/>
  <c r="AK3" i="3"/>
  <c r="Y7" i="3"/>
  <c r="AF40" i="3" s="1"/>
  <c r="AK7" i="3"/>
  <c r="AI8" i="3"/>
  <c r="Y5" i="3"/>
  <c r="AF38" i="3" s="1"/>
  <c r="AK5" i="3"/>
  <c r="E9" i="2"/>
  <c r="K9" i="2"/>
  <c r="K16" i="2" s="1"/>
  <c r="E11" i="2"/>
  <c r="K11" i="2"/>
  <c r="E13" i="2"/>
  <c r="K13" i="2"/>
  <c r="D16" i="2"/>
  <c r="I16" i="2"/>
  <c r="E23" i="2"/>
  <c r="E27" i="2" s="1"/>
  <c r="AN3" i="3"/>
  <c r="AI4" i="3"/>
  <c r="AI9" i="3" s="1"/>
  <c r="AI6" i="3"/>
  <c r="AK8" i="3"/>
  <c r="AN4" i="3"/>
  <c r="Y4" i="3"/>
  <c r="AF37" i="3" s="1"/>
  <c r="Y6" i="3"/>
  <c r="AF39" i="3" s="1"/>
  <c r="Y8" i="3"/>
  <c r="AF41" i="3" s="1"/>
  <c r="AI10" i="3" l="1"/>
  <c r="D30" i="3"/>
  <c r="D31" i="3"/>
  <c r="E16" i="2"/>
  <c r="AN9" i="3"/>
  <c r="AN10" i="3" s="1"/>
  <c r="AF36" i="3"/>
  <c r="AF42" i="3" s="1"/>
  <c r="Z10" i="3"/>
  <c r="Z11" i="3" s="1"/>
  <c r="AK9" i="3"/>
  <c r="I30" i="2" l="1"/>
  <c r="I32" i="2" s="1"/>
  <c r="I36" i="2" s="1"/>
  <c r="E17" i="2"/>
  <c r="X30" i="3"/>
  <c r="AA30" i="3" s="1"/>
  <c r="X27" i="3"/>
  <c r="AA27" i="3" s="1"/>
  <c r="X25" i="3"/>
  <c r="AA25" i="3" s="1"/>
  <c r="X23" i="3"/>
  <c r="AA23" i="3" s="1"/>
  <c r="X21" i="3"/>
  <c r="AA21" i="3" s="1"/>
  <c r="X19" i="3"/>
  <c r="AA19" i="3" s="1"/>
  <c r="X17" i="3"/>
  <c r="AA17" i="3" s="1"/>
  <c r="X15" i="3"/>
  <c r="AA15" i="3" s="1"/>
  <c r="X28" i="3"/>
  <c r="AA28" i="3" s="1"/>
  <c r="X26" i="3"/>
  <c r="AA26" i="3" s="1"/>
  <c r="X24" i="3"/>
  <c r="AA24" i="3" s="1"/>
  <c r="X22" i="3"/>
  <c r="AA22" i="3" s="1"/>
  <c r="X20" i="3"/>
  <c r="AA20" i="3" s="1"/>
  <c r="X18" i="3"/>
  <c r="AA18" i="3" s="1"/>
  <c r="X16" i="3"/>
  <c r="AA16" i="3" s="1"/>
  <c r="X31" i="3"/>
  <c r="AA31" i="3" s="1"/>
  <c r="X29" i="3"/>
  <c r="AA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VS</author>
  </authors>
  <commentList>
    <comment ref="C14" authorId="0" shapeId="0" xr:uid="{00000000-0006-0000-03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Agua, exterior y pantalla
</t>
        </r>
      </text>
    </comment>
  </commentList>
</comments>
</file>

<file path=xl/sharedStrings.xml><?xml version="1.0" encoding="utf-8"?>
<sst xmlns="http://schemas.openxmlformats.org/spreadsheetml/2006/main" count="394" uniqueCount="156">
  <si>
    <t xml:space="preserve">Altura Acuario en centimetros </t>
  </si>
  <si>
    <t>Requerimientos Altos lumenes/litro</t>
  </si>
  <si>
    <t>Requerimientos Medios lumenes/litro</t>
  </si>
  <si>
    <t>Requerimientos Bajos lumenes/litro</t>
  </si>
  <si>
    <t xml:space="preserve">Fotoperiplos </t>
  </si>
  <si>
    <t>7h</t>
  </si>
  <si>
    <t>8h</t>
  </si>
  <si>
    <t>10h</t>
  </si>
  <si>
    <t>Litros acuario</t>
  </si>
  <si>
    <t>Requerimientos Altos Total lumenes</t>
  </si>
  <si>
    <t>Requerimientos Medios Total lumenes</t>
  </si>
  <si>
    <t>Requerimientos BajosTotal lumenes</t>
  </si>
  <si>
    <t>https://es.aliexpress.com/item/10-unids-1-W-3-W-alta-potencia-led-espectro-completo-blanco-caliente-blanco-verde-azul/32859370682.html</t>
  </si>
  <si>
    <t>http://acuariofiliamadrid.org/Thread-Análisis-del-espectro-en-la-iluminación-Led</t>
  </si>
  <si>
    <t>https://es.aliexpress.com/store/product/1-3W-4-7W-8-12W-12-18W-18-24W-30-36W-LED-E27-bulb-lamp/211682_32508897997.html</t>
  </si>
  <si>
    <t>https://es.aliexpress.com/item/10pcs-5-8-15-25-30-45-60-90-120-degrees-LED-Lens-With-Black-Holder/32799206975.html</t>
  </si>
  <si>
    <t>Lumenes total</t>
  </si>
  <si>
    <t>1W</t>
  </si>
  <si>
    <t>3W</t>
  </si>
  <si>
    <t>Porcentaje Blanco 6500</t>
  </si>
  <si>
    <t>Opcion 1</t>
  </si>
  <si>
    <t>Lumenes</t>
  </si>
  <si>
    <t># leds 1W</t>
  </si>
  <si>
    <t>#leds 3W</t>
  </si>
  <si>
    <t>Opcion 2</t>
  </si>
  <si>
    <t>lumen / led</t>
  </si>
  <si>
    <t>lumen/led</t>
  </si>
  <si>
    <t>UVA (400-420nm)</t>
  </si>
  <si>
    <t>IR (700nm)</t>
  </si>
  <si>
    <t>led blanco 6500k (30% cvan, 14% azul, 4% rojo)</t>
  </si>
  <si>
    <t>azul (440-460nm)</t>
  </si>
  <si>
    <t>rojo (650-670nm)</t>
  </si>
  <si>
    <t>Verde</t>
  </si>
  <si>
    <t>TOTAL</t>
  </si>
  <si>
    <t>Wats</t>
  </si>
  <si>
    <t>Vatios led</t>
  </si>
  <si>
    <t>PAR (7% rojo, 4% azul, 1% cvan, 2% IR)</t>
  </si>
  <si>
    <t>verde</t>
  </si>
  <si>
    <t># leds</t>
  </si>
  <si>
    <t>Tamaño led</t>
  </si>
  <si>
    <t>espacio por led</t>
  </si>
  <si>
    <t>ancho</t>
  </si>
  <si>
    <t>largo</t>
  </si>
  <si>
    <t>3500 Lúmenes - disipador de 80x16</t>
  </si>
  <si>
    <t>Leds</t>
  </si>
  <si>
    <t>Lentes</t>
  </si>
  <si>
    <t>Wats=Leds</t>
  </si>
  <si>
    <t>Lumens</t>
  </si>
  <si>
    <t>Total</t>
  </si>
  <si>
    <t>% Obj</t>
  </si>
  <si>
    <t>% Real</t>
  </si>
  <si>
    <t>Volts</t>
  </si>
  <si>
    <t>Curent</t>
  </si>
  <si>
    <t>Volts Total</t>
  </si>
  <si>
    <t>UV</t>
  </si>
  <si>
    <t>W</t>
  </si>
  <si>
    <t>R</t>
  </si>
  <si>
    <t>B</t>
  </si>
  <si>
    <t>IR</t>
  </si>
  <si>
    <t>G</t>
  </si>
  <si>
    <t>Usados</t>
  </si>
  <si>
    <t>Media</t>
  </si>
  <si>
    <t>Sobran</t>
  </si>
  <si>
    <t>FotoPeriodo - Fases "Aleatorias"</t>
  </si>
  <si>
    <t>Lums</t>
  </si>
  <si>
    <t>Fase</t>
  </si>
  <si>
    <t>H</t>
  </si>
  <si>
    <t>Lum/litro</t>
  </si>
  <si>
    <t>Fases</t>
  </si>
  <si>
    <t>Leds/fase</t>
  </si>
  <si>
    <t>Radio de la lente</t>
  </si>
  <si>
    <t>Litros</t>
  </si>
  <si>
    <t>Altura Luces</t>
  </si>
  <si>
    <t>Lum/l</t>
  </si>
  <si>
    <t>Angulo</t>
  </si>
  <si>
    <t>tangente</t>
  </si>
  <si>
    <t>diametro</t>
  </si>
  <si>
    <t>Lum/fas</t>
  </si>
  <si>
    <t>W/l</t>
  </si>
  <si>
    <t>Fases por colores</t>
  </si>
  <si>
    <t>leds/fase</t>
  </si>
  <si>
    <t>n fases</t>
  </si>
  <si>
    <t>T Volts</t>
  </si>
  <si>
    <t>Reles</t>
  </si>
  <si>
    <t>Enchufes</t>
  </si>
  <si>
    <t>Filtro</t>
  </si>
  <si>
    <t>Calefactor</t>
  </si>
  <si>
    <t>Bomba cambio agua</t>
  </si>
  <si>
    <t>CO2</t>
  </si>
  <si>
    <t>Enfriador Agua</t>
  </si>
  <si>
    <t>Enfriador Pantalla</t>
  </si>
  <si>
    <t>Sensor</t>
  </si>
  <si>
    <t>Tempertura</t>
  </si>
  <si>
    <t>TDS</t>
  </si>
  <si>
    <t>pH</t>
  </si>
  <si>
    <t>Actuadores</t>
  </si>
  <si>
    <t>Pines</t>
  </si>
  <si>
    <t>Led</t>
  </si>
  <si>
    <t>Encoder Menu</t>
  </si>
  <si>
    <t>Filtro y Termometro y CO2</t>
  </si>
  <si>
    <t>Rojo</t>
  </si>
  <si>
    <t>Luces a Manual</t>
  </si>
  <si>
    <t>Amarillo</t>
  </si>
  <si>
    <t>Relleno</t>
  </si>
  <si>
    <t>Azul</t>
  </si>
  <si>
    <t>Cables (pines)</t>
  </si>
  <si>
    <t>rojo</t>
  </si>
  <si>
    <t>Negro</t>
  </si>
  <si>
    <t>pin</t>
  </si>
  <si>
    <t>12v</t>
  </si>
  <si>
    <t>5v</t>
  </si>
  <si>
    <t>Encoder</t>
  </si>
  <si>
    <t>Boton Filtro</t>
  </si>
  <si>
    <t>Boton llenar</t>
  </si>
  <si>
    <t>Temperatura</t>
  </si>
  <si>
    <t>Home</t>
  </si>
  <si>
    <t>L</t>
  </si>
  <si>
    <t>u</t>
  </si>
  <si>
    <t>n</t>
  </si>
  <si>
    <t>M</t>
  </si>
  <si>
    <t>a</t>
  </si>
  <si>
    <t>r</t>
  </si>
  <si>
    <t>º</t>
  </si>
  <si>
    <t>F</t>
  </si>
  <si>
    <t>T</t>
  </si>
  <si>
    <t>d</t>
  </si>
  <si>
    <t>s</t>
  </si>
  <si>
    <t>Home Edit</t>
  </si>
  <si>
    <t>/</t>
  </si>
  <si>
    <t>E</t>
  </si>
  <si>
    <t>e</t>
  </si>
  <si>
    <t>:</t>
  </si>
  <si>
    <t>Luces</t>
  </si>
  <si>
    <t>A</t>
  </si>
  <si>
    <t>t</t>
  </si>
  <si>
    <t>o</t>
  </si>
  <si>
    <t>O</t>
  </si>
  <si>
    <t xml:space="preserve"> </t>
  </si>
  <si>
    <t>Luces Edit</t>
  </si>
  <si>
    <t>C</t>
  </si>
  <si>
    <t>l</t>
  </si>
  <si>
    <t>f</t>
  </si>
  <si>
    <t>Info</t>
  </si>
  <si>
    <t>m</t>
  </si>
  <si>
    <t>p</t>
  </si>
  <si>
    <t>i</t>
  </si>
  <si>
    <t>S</t>
  </si>
  <si>
    <t>I</t>
  </si>
  <si>
    <t>CO2 Edit</t>
  </si>
  <si>
    <t>D</t>
  </si>
  <si>
    <t>Fotoperiodo</t>
  </si>
  <si>
    <t>b</t>
  </si>
  <si>
    <t>&gt;</t>
  </si>
  <si>
    <t>N</t>
  </si>
  <si>
    <t>&lt;</t>
  </si>
  <si>
    <t>Implented til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</si>
</sst>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\ %"/>
    <numFmt numFmtId="166" formatCode="_-* #,##0.00_-;\-* #,##0.00_-;_-* \-??_-;_-@_-"/>
    <numFmt numFmtId="167" formatCode="_-* #,##0_-;\-* #,##0_-;_-* \-??_-;_-@_-"/>
    <numFmt numFmtId="168" formatCode="_-* #,##0.0_-;\-* #,##0.0_-;_-* \-??_-;_-@_-"/>
    <numFmt numFmtId="169" formatCode="h:mm"/>
    <numFmt numFmtId="170" formatCode="_-* #,##0.0_-;\-* #,##0.0_-;_-* \-?_-;_-@_-"/>
    <numFmt numFmtId="171" formatCode="0.000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BEEF3"/>
        <bgColor rgb="FFDBEEF4"/>
      </patternFill>
    </fill>
    <fill>
      <patternFill patternType="solid">
        <fgColor rgb="FFBFBFBF"/>
        <bgColor rgb="FFCCC1DA"/>
      </patternFill>
    </fill>
    <fill>
      <patternFill patternType="solid">
        <fgColor rgb="FFEC716E"/>
        <bgColor rgb="FFFF6600"/>
      </patternFill>
    </fill>
    <fill>
      <patternFill patternType="solid">
        <fgColor rgb="FF1E1C11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DBEEF4"/>
        <bgColor rgb="FFDBEEF3"/>
      </patternFill>
    </fill>
    <fill>
      <patternFill patternType="solid">
        <fgColor rgb="FFC5B11D"/>
        <bgColor rgb="FFFF9900"/>
      </patternFill>
    </fill>
    <fill>
      <patternFill patternType="solid">
        <fgColor rgb="FF000000"/>
        <bgColor rgb="FF1E1C1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166" fontId="10" fillId="0" borderId="0"/>
    <xf numFmtId="0" fontId="10" fillId="0" borderId="0"/>
    <xf numFmtId="0" fontId="4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Protection="1">
      <protection hidden="1"/>
    </xf>
    <xf numFmtId="0" fontId="0" fillId="0" borderId="0" xfId="0" applyProtection="1"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0" fillId="5" borderId="0" xfId="0" applyFill="1"/>
    <xf numFmtId="0" fontId="0" fillId="6" borderId="0" xfId="0" applyFill="1" applyProtection="1"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164" fontId="2" fillId="7" borderId="1" xfId="0" applyNumberFormat="1" applyFont="1" applyFill="1" applyBorder="1" applyAlignment="1" applyProtection="1">
      <alignment horizontal="center" vertical="center"/>
      <protection hidden="1"/>
    </xf>
    <xf numFmtId="0" fontId="3" fillId="8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  <protection hidden="1"/>
    </xf>
    <xf numFmtId="0" fontId="0" fillId="8" borderId="1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/>
    <xf numFmtId="0" fontId="2" fillId="5" borderId="0" xfId="0" applyFont="1" applyFill="1" applyProtection="1">
      <protection hidden="1"/>
    </xf>
    <xf numFmtId="0" fontId="4" fillId="0" borderId="0" xfId="3" applyFont="1"/>
    <xf numFmtId="1" fontId="0" fillId="0" borderId="0" xfId="0" applyNumberFormat="1" applyProtection="1">
      <protection hidden="1"/>
    </xf>
    <xf numFmtId="165" fontId="0" fillId="0" borderId="0" xfId="2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1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1" fontId="2" fillId="0" borderId="0" xfId="1" applyNumberFormat="1" applyFont="1"/>
    <xf numFmtId="166" fontId="0" fillId="0" borderId="0" xfId="1" applyFont="1"/>
    <xf numFmtId="164" fontId="0" fillId="0" borderId="0" xfId="0" applyNumberFormat="1"/>
    <xf numFmtId="0" fontId="5" fillId="9" borderId="0" xfId="0" applyFont="1" applyFill="1"/>
    <xf numFmtId="0" fontId="6" fillId="9" borderId="0" xfId="0" applyFont="1" applyFill="1"/>
    <xf numFmtId="0" fontId="2" fillId="0" borderId="0" xfId="0" applyFont="1"/>
    <xf numFmtId="167" fontId="0" fillId="0" borderId="0" xfId="0" applyNumberFormat="1"/>
    <xf numFmtId="167" fontId="0" fillId="0" borderId="0" xfId="1" applyNumberFormat="1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167" fontId="2" fillId="0" borderId="2" xfId="1" applyNumberFormat="1" applyFont="1" applyBorder="1"/>
    <xf numFmtId="165" fontId="2" fillId="0" borderId="2" xfId="2" applyNumberFormat="1" applyFont="1" applyBorder="1"/>
    <xf numFmtId="166" fontId="2" fillId="0" borderId="2" xfId="1" applyFont="1" applyBorder="1"/>
    <xf numFmtId="1" fontId="0" fillId="0" borderId="2" xfId="0" applyNumberFormat="1" applyBorder="1"/>
    <xf numFmtId="168" fontId="0" fillId="0" borderId="0" xfId="1" applyNumberFormat="1" applyFont="1"/>
    <xf numFmtId="0" fontId="3" fillId="0" borderId="0" xfId="0" applyFont="1"/>
    <xf numFmtId="169" fontId="0" fillId="0" borderId="0" xfId="0" applyNumberFormat="1"/>
    <xf numFmtId="168" fontId="0" fillId="0" borderId="0" xfId="0" applyNumberFormat="1"/>
    <xf numFmtId="167" fontId="10" fillId="0" borderId="0" xfId="1" applyNumberFormat="1"/>
    <xf numFmtId="0" fontId="7" fillId="0" borderId="0" xfId="0" applyFont="1"/>
    <xf numFmtId="170" fontId="0" fillId="0" borderId="0" xfId="0" applyNumberFormat="1"/>
    <xf numFmtId="0" fontId="3" fillId="0" borderId="0" xfId="0" applyFont="1" applyAlignment="1">
      <alignment vertical="center"/>
    </xf>
    <xf numFmtId="17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0" fillId="0" borderId="3" xfId="0" applyBorder="1"/>
    <xf numFmtId="167" fontId="0" fillId="0" borderId="3" xfId="0" applyNumberFormat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Font="1"/>
    <xf numFmtId="0" fontId="9" fillId="0" borderId="0" xfId="0" applyFont="1"/>
    <xf numFmtId="0" fontId="0" fillId="0" borderId="0" xfId="0" applyFont="1" applyBorder="1" applyAlignment="1">
      <alignment horizontal="center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5" fillId="9" borderId="0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C1DA"/>
      </font>
      <fill>
        <patternFill>
          <bgColor rgb="FF604A7B"/>
        </patternFill>
      </fill>
    </dxf>
    <dxf>
      <font>
        <color rgb="FF1F497D"/>
      </font>
      <fill>
        <patternFill>
          <bgColor rgb="FF558ED5"/>
        </patternFill>
      </fill>
    </dxf>
    <dxf>
      <font>
        <color rgb="FF632523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558ED5"/>
      <rgbColor rgb="FF9999FF"/>
      <rgbColor rgb="FF993366"/>
      <rgbColor rgb="FFFFFFCC"/>
      <rgbColor rgb="FFDBEEF4"/>
      <rgbColor rgb="FF660066"/>
      <rgbColor rgb="FFEC716E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3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C5B11D"/>
      <rgbColor rgb="FFFFCC00"/>
      <rgbColor rgb="FFFF9900"/>
      <rgbColor rgb="FFFF6600"/>
      <rgbColor rgb="FF604A7B"/>
      <rgbColor rgb="FF969696"/>
      <rgbColor rgb="FF003366"/>
      <rgbColor rgb="FF00B050"/>
      <rgbColor rgb="FF003300"/>
      <rgbColor rgb="FF1E1C11"/>
      <rgbColor rgb="FF993300"/>
      <rgbColor rgb="FF993366"/>
      <rgbColor rgb="FF1F497D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177800</xdr:colOff>
      <xdr:row>66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0A2A517-8802-804E-9A43-ADC96467A1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store/product/1-3W-4-7W-8-12W-12-18W-18-24W-30-36W-LED-E27-bulb-lamp/211682_32508897997.html" TargetMode="External"/><Relationship Id="rId2" Type="http://schemas.openxmlformats.org/officeDocument/2006/relationships/hyperlink" Target="http://acuariofiliamadrid.org/Thread-An&#225;lisis-del-espectro-en-la-iluminaci&#243;n-Led" TargetMode="External"/><Relationship Id="rId1" Type="http://schemas.openxmlformats.org/officeDocument/2006/relationships/hyperlink" Target="https://es.aliexpress.com/item/10-unids-1-W-3-W-alta-potencia-led-espectro-completo-blanco-caliente-blanco-verde-azul/32859370682.html" TargetMode="External"/><Relationship Id="rId4" Type="http://schemas.openxmlformats.org/officeDocument/2006/relationships/hyperlink" Target="https://es.aliexpress.com/item/10pcs-5-8-15-25-30-45-60-90-120-degrees-LED-Lens-With-Black-Holder/32799206975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6" customWidth="1"/>
    <col min="2" max="2" width="22.1640625" hidden="1" customWidth="1"/>
    <col min="3" max="3" width="24.6640625" hidden="1" customWidth="1"/>
    <col min="4" max="4" width="20.83203125" hidden="1" customWidth="1"/>
    <col min="5" max="6" width="11.5" hidden="1"/>
    <col min="7" max="7" width="20.1640625" customWidth="1"/>
    <col min="8" max="8" width="23.83203125" customWidth="1"/>
    <col min="9" max="9" width="22.1640625" customWidth="1"/>
    <col min="10" max="10" width="19.83203125" customWidth="1"/>
    <col min="11" max="1025" width="9.1640625" customWidth="1"/>
  </cols>
  <sheetData>
    <row r="1" spans="1:11" ht="54" customHeight="1" x14ac:dyDescent="0.2">
      <c r="A1" s="1" t="s">
        <v>0</v>
      </c>
      <c r="C1" s="2">
        <v>100</v>
      </c>
      <c r="D1" s="2">
        <f>IF(A2=0,C1,0)</f>
        <v>0</v>
      </c>
      <c r="E1" s="3"/>
      <c r="F1" s="3"/>
      <c r="G1" s="4" t="s">
        <v>1</v>
      </c>
      <c r="H1" s="4" t="s">
        <v>2</v>
      </c>
      <c r="I1" s="4" t="s">
        <v>3</v>
      </c>
      <c r="J1" s="5" t="s">
        <v>4</v>
      </c>
      <c r="K1" s="6"/>
    </row>
    <row r="2" spans="1:11" x14ac:dyDescent="0.2">
      <c r="A2" s="7">
        <v>50</v>
      </c>
      <c r="C2" s="2">
        <v>90</v>
      </c>
      <c r="D2" s="2">
        <f>IF(A2=10,C2,0)</f>
        <v>0</v>
      </c>
      <c r="E2" s="3"/>
      <c r="F2" s="3"/>
      <c r="G2" s="8">
        <f>(((50*61)/D12)*50)/A2</f>
        <v>50</v>
      </c>
      <c r="H2" s="9">
        <f>(((50*61)/D12)*33)/A2</f>
        <v>33</v>
      </c>
      <c r="I2" s="9">
        <f>(((50*61)/D12)*17)/A2</f>
        <v>17</v>
      </c>
      <c r="J2" s="10" t="s">
        <v>5</v>
      </c>
      <c r="K2" s="6"/>
    </row>
    <row r="3" spans="1:11" x14ac:dyDescent="0.2">
      <c r="A3" s="6"/>
      <c r="C3" s="2">
        <v>82</v>
      </c>
      <c r="D3" s="2">
        <f>IF(A2=20,C3,0)</f>
        <v>0</v>
      </c>
      <c r="E3" s="3"/>
      <c r="F3" s="3"/>
      <c r="G3" s="9">
        <f>(((50*61)/D12)*43)/A2</f>
        <v>43</v>
      </c>
      <c r="H3" s="9">
        <f>(((50*61)/D12)*28)/A2</f>
        <v>28</v>
      </c>
      <c r="I3" s="9">
        <f>(((50*61)/D12)*14)/A2</f>
        <v>14</v>
      </c>
      <c r="J3" s="10" t="s">
        <v>6</v>
      </c>
      <c r="K3" s="6"/>
    </row>
    <row r="4" spans="1:11" x14ac:dyDescent="0.2">
      <c r="A4" s="6"/>
      <c r="C4" s="2">
        <v>74</v>
      </c>
      <c r="D4" s="2">
        <f>IF(A2=30,C4,0)</f>
        <v>0</v>
      </c>
      <c r="E4" s="3"/>
      <c r="F4" s="3"/>
      <c r="G4" s="9">
        <f>(((50*61)/D12)*35)/A2</f>
        <v>35</v>
      </c>
      <c r="H4" s="9">
        <f>(((50*61)/D12)*24)/A2</f>
        <v>24</v>
      </c>
      <c r="I4" s="9">
        <f>(((50*61)/D12)*12)/A2</f>
        <v>12</v>
      </c>
      <c r="J4" s="10" t="s">
        <v>7</v>
      </c>
      <c r="K4" s="6"/>
    </row>
    <row r="5" spans="1:11" hidden="1" x14ac:dyDescent="0.2">
      <c r="C5" s="2">
        <v>67</v>
      </c>
      <c r="D5" s="2">
        <f>IF(A2=40,C5,0)</f>
        <v>0</v>
      </c>
      <c r="E5" s="3"/>
      <c r="F5" s="3"/>
      <c r="G5" s="3"/>
      <c r="H5" s="3"/>
      <c r="I5" s="3"/>
      <c r="J5" s="3"/>
      <c r="K5" s="6"/>
    </row>
    <row r="6" spans="1:11" hidden="1" x14ac:dyDescent="0.2">
      <c r="C6" s="2">
        <v>61</v>
      </c>
      <c r="D6" s="2">
        <f>IF(A2=50,C6,0)</f>
        <v>61</v>
      </c>
      <c r="E6" s="3"/>
      <c r="F6" s="3"/>
      <c r="G6" s="3"/>
      <c r="H6" s="3"/>
      <c r="I6" s="3"/>
      <c r="J6" s="3"/>
      <c r="K6" s="6"/>
    </row>
    <row r="7" spans="1:11" hidden="1" x14ac:dyDescent="0.2">
      <c r="C7" s="2">
        <v>55</v>
      </c>
      <c r="D7" s="2">
        <f>IF(A2=60,C7,0)</f>
        <v>0</v>
      </c>
      <c r="E7" s="3"/>
      <c r="F7" s="3"/>
      <c r="G7" s="3"/>
      <c r="H7" s="3"/>
      <c r="I7" s="3"/>
      <c r="J7" s="3"/>
      <c r="K7" s="6"/>
    </row>
    <row r="8" spans="1:11" hidden="1" x14ac:dyDescent="0.2">
      <c r="C8" s="2">
        <v>50</v>
      </c>
      <c r="D8" s="2">
        <f>IF(A2=70,C8,0)</f>
        <v>0</v>
      </c>
      <c r="E8" s="3"/>
      <c r="F8" s="3"/>
      <c r="G8" s="3"/>
      <c r="H8" s="3"/>
      <c r="I8" s="3"/>
      <c r="J8" s="3"/>
      <c r="K8" s="6"/>
    </row>
    <row r="9" spans="1:11" hidden="1" x14ac:dyDescent="0.2">
      <c r="C9" s="2">
        <v>45</v>
      </c>
      <c r="D9" s="2">
        <f>IF(A2=80,C9,0)</f>
        <v>0</v>
      </c>
      <c r="E9" s="3"/>
      <c r="F9" s="3"/>
      <c r="G9" s="3"/>
      <c r="H9" s="3"/>
      <c r="I9" s="3"/>
      <c r="J9" s="3"/>
      <c r="K9" s="6"/>
    </row>
    <row r="10" spans="1:11" ht="63.75" customHeight="1" x14ac:dyDescent="0.2">
      <c r="A10" s="11" t="s">
        <v>8</v>
      </c>
      <c r="C10" s="2">
        <v>41</v>
      </c>
      <c r="D10" s="2">
        <f>IF(A2=90,C10,0)</f>
        <v>0</v>
      </c>
      <c r="E10" s="3"/>
      <c r="F10" s="3"/>
      <c r="G10" s="4" t="s">
        <v>9</v>
      </c>
      <c r="H10" s="4" t="s">
        <v>10</v>
      </c>
      <c r="I10" s="4" t="s">
        <v>11</v>
      </c>
      <c r="J10" s="5" t="s">
        <v>4</v>
      </c>
      <c r="K10" s="6"/>
    </row>
    <row r="11" spans="1:11" x14ac:dyDescent="0.2">
      <c r="A11" s="7">
        <v>144</v>
      </c>
      <c r="C11" s="2">
        <v>37</v>
      </c>
      <c r="D11" s="2">
        <f>IF(A2=100,C11,0)</f>
        <v>0</v>
      </c>
      <c r="E11" s="3"/>
      <c r="F11" s="3"/>
      <c r="G11" s="12">
        <f>(G2)*A11</f>
        <v>7200</v>
      </c>
      <c r="H11" s="12">
        <f>H2*A11</f>
        <v>4752</v>
      </c>
      <c r="I11" s="12">
        <f>I2*A11</f>
        <v>2448</v>
      </c>
      <c r="J11" s="13" t="s">
        <v>5</v>
      </c>
      <c r="K11" s="6"/>
    </row>
    <row r="12" spans="1:11" x14ac:dyDescent="0.2">
      <c r="A12" s="6"/>
      <c r="C12" s="2"/>
      <c r="D12" s="2">
        <f>SUM(D1:D11)</f>
        <v>61</v>
      </c>
      <c r="E12" s="3"/>
      <c r="F12" s="3"/>
      <c r="G12" s="12">
        <f>G3*A11</f>
        <v>6192</v>
      </c>
      <c r="H12" s="12">
        <f>H3*A11</f>
        <v>4032</v>
      </c>
      <c r="I12" s="12">
        <f>I3*A11</f>
        <v>2016</v>
      </c>
      <c r="J12" s="13" t="s">
        <v>6</v>
      </c>
      <c r="K12" s="6"/>
    </row>
    <row r="13" spans="1:11" x14ac:dyDescent="0.2">
      <c r="A13" s="6"/>
      <c r="C13" s="2"/>
      <c r="D13" s="2"/>
      <c r="E13" s="3"/>
      <c r="F13" s="3"/>
      <c r="G13" s="12">
        <f>G4*A11</f>
        <v>5040</v>
      </c>
      <c r="H13" s="12">
        <f>H4*A11</f>
        <v>3456</v>
      </c>
      <c r="I13" s="12">
        <f>I4*A11</f>
        <v>1728</v>
      </c>
      <c r="J13" s="13" t="s">
        <v>7</v>
      </c>
      <c r="K13" s="6"/>
    </row>
    <row r="14" spans="1:11" x14ac:dyDescent="0.2">
      <c r="A14" s="14"/>
      <c r="B14" s="14"/>
      <c r="C14" s="15"/>
      <c r="D14" s="15"/>
      <c r="E14" s="15"/>
      <c r="F14" s="15"/>
      <c r="G14" s="15"/>
      <c r="H14" s="15"/>
      <c r="I14" s="15"/>
      <c r="J14" s="15"/>
      <c r="K14" s="6"/>
    </row>
    <row r="15" spans="1:11" x14ac:dyDescent="0.2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6"/>
    </row>
    <row r="16" spans="1:11" x14ac:dyDescent="0.2">
      <c r="C16" s="2">
        <v>0</v>
      </c>
      <c r="D16" s="2"/>
      <c r="E16" s="3"/>
      <c r="F16" s="3"/>
      <c r="G16" s="3"/>
      <c r="H16" s="3"/>
      <c r="I16" s="3"/>
      <c r="J16" s="3"/>
    </row>
  </sheetData>
  <dataValidations count="1">
    <dataValidation type="list" showInputMessage="1" showErrorMessage="1" sqref="A2" xr:uid="{00000000-0002-0000-0000-000000000000}">
      <formula1>$C$16:$C$16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6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1" max="1" width="9.1640625" customWidth="1"/>
    <col min="2" max="2" width="37.6640625" customWidth="1"/>
    <col min="3" max="3" width="8" customWidth="1"/>
    <col min="4" max="4" width="7.83203125" customWidth="1"/>
    <col min="5" max="5" width="8.33203125" customWidth="1"/>
    <col min="6" max="8" width="8" customWidth="1"/>
    <col min="9" max="9" width="7.83203125" customWidth="1"/>
    <col min="10" max="10" width="8.33203125" customWidth="1"/>
    <col min="11" max="11" width="8" customWidth="1"/>
    <col min="12" max="12" width="9.1640625" customWidth="1"/>
    <col min="13" max="13" width="9.6640625" customWidth="1"/>
    <col min="14" max="14" width="4.1640625" customWidth="1"/>
    <col min="15" max="1025" width="9.1640625" customWidth="1"/>
  </cols>
  <sheetData>
    <row r="1" spans="2:14" x14ac:dyDescent="0.2">
      <c r="B1" s="16" t="s">
        <v>12</v>
      </c>
    </row>
    <row r="2" spans="2:14" x14ac:dyDescent="0.2">
      <c r="B2" s="16" t="s">
        <v>13</v>
      </c>
    </row>
    <row r="3" spans="2:14" x14ac:dyDescent="0.2">
      <c r="B3" s="16" t="s">
        <v>14</v>
      </c>
      <c r="C3" s="3"/>
      <c r="D3" s="3"/>
      <c r="E3" s="3"/>
      <c r="F3" s="3"/>
      <c r="G3" s="3"/>
      <c r="H3" s="3"/>
      <c r="I3" s="3"/>
    </row>
    <row r="4" spans="2:14" x14ac:dyDescent="0.2">
      <c r="B4" s="16" t="s">
        <v>15</v>
      </c>
      <c r="C4" s="3"/>
      <c r="D4" s="3"/>
      <c r="E4" s="3"/>
      <c r="F4" s="3"/>
      <c r="G4" s="3"/>
      <c r="H4" s="3"/>
      <c r="I4" s="3"/>
    </row>
    <row r="5" spans="2:14" x14ac:dyDescent="0.2">
      <c r="B5" s="16"/>
      <c r="C5" s="3"/>
      <c r="D5" s="3"/>
      <c r="E5" s="3"/>
      <c r="F5" s="3"/>
      <c r="G5" s="3"/>
      <c r="H5" s="3"/>
      <c r="I5" s="3"/>
    </row>
    <row r="6" spans="2:14" x14ac:dyDescent="0.2">
      <c r="B6" t="s">
        <v>16</v>
      </c>
      <c r="C6" s="17">
        <v>3500</v>
      </c>
      <c r="D6" s="3"/>
      <c r="E6" s="3"/>
      <c r="F6" s="3"/>
      <c r="G6" s="3"/>
      <c r="H6" s="3"/>
      <c r="I6" s="3"/>
      <c r="M6" t="s">
        <v>17</v>
      </c>
      <c r="N6" t="s">
        <v>18</v>
      </c>
    </row>
    <row r="7" spans="2:14" x14ac:dyDescent="0.2">
      <c r="B7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/>
      <c r="H7" s="3" t="s">
        <v>24</v>
      </c>
      <c r="I7" s="3" t="s">
        <v>21</v>
      </c>
      <c r="J7" s="3" t="s">
        <v>22</v>
      </c>
      <c r="K7" s="3" t="s">
        <v>23</v>
      </c>
      <c r="M7" s="3" t="s">
        <v>25</v>
      </c>
      <c r="N7" s="3" t="s">
        <v>26</v>
      </c>
    </row>
    <row r="8" spans="2:14" x14ac:dyDescent="0.2">
      <c r="D8" s="3"/>
      <c r="E8" s="3"/>
      <c r="F8" s="3"/>
      <c r="G8" s="3"/>
      <c r="H8" s="3"/>
      <c r="I8" s="3"/>
    </row>
    <row r="9" spans="2:14" x14ac:dyDescent="0.2">
      <c r="B9" t="s">
        <v>27</v>
      </c>
      <c r="C9" s="18">
        <v>0.09</v>
      </c>
      <c r="D9" s="17">
        <f t="shared" ref="D9:D14" si="0">$C$6*C9</f>
        <v>315</v>
      </c>
      <c r="E9" s="17">
        <f t="shared" ref="E9:E14" si="1">D9/M9</f>
        <v>26.25</v>
      </c>
      <c r="F9" s="19">
        <f t="shared" ref="F9:F14" si="2">D9/N9</f>
        <v>15.75</v>
      </c>
      <c r="G9" s="17"/>
      <c r="H9" s="18">
        <v>0.09</v>
      </c>
      <c r="I9" s="17">
        <f t="shared" ref="I9:I14" si="3">$C$6*H9</f>
        <v>315</v>
      </c>
      <c r="J9" s="20">
        <f t="shared" ref="J9:J14" si="4">I9/M9</f>
        <v>26.25</v>
      </c>
      <c r="K9" s="20">
        <f t="shared" ref="K9:K14" si="5">I9/N9</f>
        <v>15.75</v>
      </c>
      <c r="M9">
        <v>12</v>
      </c>
      <c r="N9">
        <v>20</v>
      </c>
    </row>
    <row r="10" spans="2:14" x14ac:dyDescent="0.2">
      <c r="B10" t="s">
        <v>28</v>
      </c>
      <c r="C10" s="18">
        <v>0.02</v>
      </c>
      <c r="D10" s="17">
        <f t="shared" si="0"/>
        <v>70</v>
      </c>
      <c r="E10" s="17">
        <f t="shared" si="1"/>
        <v>2.3333333333333335</v>
      </c>
      <c r="F10" s="19">
        <f t="shared" si="2"/>
        <v>1.4</v>
      </c>
      <c r="G10" s="17"/>
      <c r="H10" s="18">
        <v>0.02</v>
      </c>
      <c r="I10" s="17">
        <f t="shared" si="3"/>
        <v>70</v>
      </c>
      <c r="J10" s="20">
        <f t="shared" si="4"/>
        <v>2.3333333333333335</v>
      </c>
      <c r="K10" s="20">
        <f t="shared" si="5"/>
        <v>1.4</v>
      </c>
      <c r="M10">
        <v>30</v>
      </c>
      <c r="N10">
        <v>50</v>
      </c>
    </row>
    <row r="11" spans="2:14" x14ac:dyDescent="0.2">
      <c r="B11" t="s">
        <v>29</v>
      </c>
      <c r="C11" s="18">
        <v>0.46</v>
      </c>
      <c r="D11" s="17">
        <f t="shared" si="0"/>
        <v>1610</v>
      </c>
      <c r="E11" s="17">
        <f t="shared" si="1"/>
        <v>15.333333333333334</v>
      </c>
      <c r="F11" s="19">
        <f t="shared" si="2"/>
        <v>6.1923076923076925</v>
      </c>
      <c r="G11" s="17"/>
      <c r="H11" s="18">
        <v>0.46</v>
      </c>
      <c r="I11" s="17">
        <f t="shared" si="3"/>
        <v>1610</v>
      </c>
      <c r="J11" s="20">
        <f t="shared" si="4"/>
        <v>15.333333333333334</v>
      </c>
      <c r="K11" s="20">
        <f t="shared" si="5"/>
        <v>6.1923076923076925</v>
      </c>
      <c r="M11">
        <v>105</v>
      </c>
      <c r="N11">
        <v>260</v>
      </c>
    </row>
    <row r="12" spans="2:14" x14ac:dyDescent="0.2">
      <c r="B12" t="s">
        <v>30</v>
      </c>
      <c r="C12" s="18">
        <v>0.21</v>
      </c>
      <c r="D12" s="17">
        <f t="shared" si="0"/>
        <v>735</v>
      </c>
      <c r="E12" s="17">
        <f t="shared" si="1"/>
        <v>21</v>
      </c>
      <c r="F12" s="19">
        <f t="shared" si="2"/>
        <v>14.7</v>
      </c>
      <c r="G12" s="17"/>
      <c r="H12" s="18">
        <v>0.155</v>
      </c>
      <c r="I12" s="17">
        <f t="shared" si="3"/>
        <v>542.5</v>
      </c>
      <c r="J12" s="20">
        <f t="shared" si="4"/>
        <v>15.5</v>
      </c>
      <c r="K12" s="20">
        <f t="shared" si="5"/>
        <v>10.85</v>
      </c>
      <c r="M12">
        <v>35</v>
      </c>
      <c r="N12">
        <v>50</v>
      </c>
    </row>
    <row r="13" spans="2:14" x14ac:dyDescent="0.2">
      <c r="B13" t="s">
        <v>31</v>
      </c>
      <c r="C13" s="18">
        <v>0.2</v>
      </c>
      <c r="D13" s="17">
        <f t="shared" si="0"/>
        <v>700</v>
      </c>
      <c r="E13" s="17">
        <f t="shared" si="1"/>
        <v>12.727272727272727</v>
      </c>
      <c r="F13" s="19">
        <f t="shared" si="2"/>
        <v>11.666666666666666</v>
      </c>
      <c r="G13" s="17"/>
      <c r="H13" s="18">
        <v>0.255</v>
      </c>
      <c r="I13" s="17">
        <f t="shared" si="3"/>
        <v>892.5</v>
      </c>
      <c r="J13" s="20">
        <f t="shared" si="4"/>
        <v>16.227272727272727</v>
      </c>
      <c r="K13" s="20">
        <f t="shared" si="5"/>
        <v>14.875</v>
      </c>
      <c r="M13">
        <v>55</v>
      </c>
      <c r="N13">
        <v>60</v>
      </c>
    </row>
    <row r="14" spans="2:14" x14ac:dyDescent="0.2">
      <c r="B14" t="s">
        <v>32</v>
      </c>
      <c r="C14" s="18">
        <v>0.02</v>
      </c>
      <c r="D14" s="17">
        <f t="shared" si="0"/>
        <v>70</v>
      </c>
      <c r="E14" s="17">
        <f t="shared" si="1"/>
        <v>0.93333333333333335</v>
      </c>
      <c r="F14" s="19">
        <f t="shared" si="2"/>
        <v>0.5</v>
      </c>
      <c r="G14" s="17"/>
      <c r="H14" s="18">
        <v>0.02</v>
      </c>
      <c r="I14" s="17">
        <f t="shared" si="3"/>
        <v>70</v>
      </c>
      <c r="J14" s="20">
        <f t="shared" si="4"/>
        <v>0.93333333333333335</v>
      </c>
      <c r="K14" s="20">
        <f t="shared" si="5"/>
        <v>0.5</v>
      </c>
      <c r="M14">
        <v>75</v>
      </c>
      <c r="N14">
        <v>140</v>
      </c>
    </row>
    <row r="15" spans="2:14" x14ac:dyDescent="0.2">
      <c r="C15" s="3"/>
      <c r="D15" s="17"/>
      <c r="E15" s="17"/>
      <c r="F15" s="19"/>
      <c r="G15" s="17"/>
      <c r="H15" s="3"/>
      <c r="I15" s="17"/>
    </row>
    <row r="16" spans="2:14" x14ac:dyDescent="0.2">
      <c r="B16" t="s">
        <v>33</v>
      </c>
      <c r="C16" s="21">
        <f>SUM(C9:C15)</f>
        <v>1</v>
      </c>
      <c r="D16" s="22">
        <f>SUM(D9:D15)</f>
        <v>3500</v>
      </c>
      <c r="E16" s="22">
        <f>SUM(E9:E15)</f>
        <v>78.577272727272714</v>
      </c>
      <c r="F16" s="23">
        <f>SUM(F9:F15)</f>
        <v>50.208974358974352</v>
      </c>
      <c r="G16" s="22"/>
      <c r="H16" s="21">
        <f>SUM(H9:H15)</f>
        <v>1</v>
      </c>
      <c r="I16" s="22">
        <f>SUM(I9:I15)</f>
        <v>3500</v>
      </c>
      <c r="J16" s="22">
        <f>SUM(J9:J15)</f>
        <v>76.577272727272728</v>
      </c>
      <c r="K16" s="22">
        <f>SUM(K9:K15)</f>
        <v>49.567307692307693</v>
      </c>
      <c r="M16" s="22"/>
    </row>
    <row r="17" spans="2:14" x14ac:dyDescent="0.2">
      <c r="B17" t="s">
        <v>34</v>
      </c>
      <c r="E17" s="20">
        <f>E16*1</f>
        <v>78.577272727272714</v>
      </c>
      <c r="F17" s="20">
        <f>F16*3</f>
        <v>150.62692307692305</v>
      </c>
    </row>
    <row r="18" spans="2:14" x14ac:dyDescent="0.2">
      <c r="B18" t="s">
        <v>35</v>
      </c>
      <c r="E18" s="20"/>
      <c r="F18" s="20"/>
    </row>
    <row r="19" spans="2:14" x14ac:dyDescent="0.2">
      <c r="E19" s="20"/>
      <c r="F19" s="24"/>
    </row>
    <row r="21" spans="2:14" x14ac:dyDescent="0.2">
      <c r="B21" t="s">
        <v>27</v>
      </c>
      <c r="C21" s="21">
        <v>0.09</v>
      </c>
      <c r="D21" s="17">
        <f>$C$6*C21</f>
        <v>315</v>
      </c>
      <c r="E21" s="20">
        <f>D21/M21</f>
        <v>26.25</v>
      </c>
      <c r="F21" s="20">
        <f>D21/N21</f>
        <v>12.6</v>
      </c>
      <c r="M21">
        <v>12</v>
      </c>
      <c r="N21">
        <v>25</v>
      </c>
    </row>
    <row r="22" spans="2:14" x14ac:dyDescent="0.2">
      <c r="B22" t="s">
        <v>36</v>
      </c>
      <c r="C22" s="21">
        <v>0.14000000000000001</v>
      </c>
      <c r="D22" s="17">
        <f>$C$6*C22</f>
        <v>490.00000000000006</v>
      </c>
      <c r="E22" s="20">
        <f>D22/M22</f>
        <v>7.5384615384615392</v>
      </c>
      <c r="F22" s="20">
        <f>D22/N22</f>
        <v>5.1578947368421062</v>
      </c>
      <c r="M22">
        <v>65</v>
      </c>
      <c r="N22">
        <v>95</v>
      </c>
    </row>
    <row r="23" spans="2:14" x14ac:dyDescent="0.2">
      <c r="B23" t="s">
        <v>30</v>
      </c>
      <c r="C23" s="21">
        <v>0.31</v>
      </c>
      <c r="D23" s="17">
        <f>$C$6*C23</f>
        <v>1085</v>
      </c>
      <c r="E23" s="20">
        <f>D23/M23</f>
        <v>31</v>
      </c>
      <c r="F23" s="20">
        <f>D23/N23</f>
        <v>19.727272727272727</v>
      </c>
      <c r="M23">
        <v>35</v>
      </c>
      <c r="N23">
        <v>55</v>
      </c>
    </row>
    <row r="24" spans="2:14" x14ac:dyDescent="0.2">
      <c r="B24" t="s">
        <v>31</v>
      </c>
      <c r="C24" s="21">
        <v>0.17</v>
      </c>
      <c r="D24" s="17">
        <f>$C$6*C24</f>
        <v>595</v>
      </c>
      <c r="E24" s="20">
        <f>D24/M24</f>
        <v>10.818181818181818</v>
      </c>
      <c r="F24" s="20">
        <f>D24/N24</f>
        <v>9.1538461538461533</v>
      </c>
      <c r="M24">
        <v>55</v>
      </c>
      <c r="N24">
        <v>65</v>
      </c>
    </row>
    <row r="25" spans="2:14" x14ac:dyDescent="0.2">
      <c r="B25" t="s">
        <v>37</v>
      </c>
      <c r="C25" s="21">
        <v>0.28999999999999998</v>
      </c>
      <c r="D25" s="17">
        <f>$C$6*C25</f>
        <v>1014.9999999999999</v>
      </c>
      <c r="E25" s="20">
        <f>D25/M25</f>
        <v>13.533333333333331</v>
      </c>
      <c r="F25" s="20">
        <f>D25/N25</f>
        <v>6.7666666666666657</v>
      </c>
      <c r="M25">
        <v>75</v>
      </c>
      <c r="N25">
        <v>150</v>
      </c>
    </row>
    <row r="27" spans="2:14" x14ac:dyDescent="0.2">
      <c r="E27" s="20">
        <f>SUM(E21:E26)</f>
        <v>89.139976689976692</v>
      </c>
      <c r="F27" s="20">
        <f>SUM(F21:F26)</f>
        <v>53.40568028462765</v>
      </c>
    </row>
    <row r="29" spans="2:14" x14ac:dyDescent="0.2">
      <c r="H29" s="60" t="s">
        <v>38</v>
      </c>
      <c r="I29" s="60"/>
    </row>
    <row r="30" spans="2:14" x14ac:dyDescent="0.2">
      <c r="B30" t="s">
        <v>39</v>
      </c>
      <c r="C30">
        <v>2.1</v>
      </c>
      <c r="H30" s="20">
        <f>F16</f>
        <v>50.208974358974352</v>
      </c>
      <c r="I30" s="20">
        <f>E16</f>
        <v>78.577272727272714</v>
      </c>
    </row>
    <row r="31" spans="2:14" x14ac:dyDescent="0.2">
      <c r="H31">
        <v>5</v>
      </c>
      <c r="I31" s="20">
        <v>5</v>
      </c>
      <c r="J31">
        <f>I31*C30</f>
        <v>10.5</v>
      </c>
    </row>
    <row r="32" spans="2:14" x14ac:dyDescent="0.2">
      <c r="H32" s="20">
        <f>H30/H31</f>
        <v>10.04179487179487</v>
      </c>
      <c r="I32" s="20">
        <f>I30/I31</f>
        <v>15.715454545454543</v>
      </c>
    </row>
    <row r="34" spans="6:9" x14ac:dyDescent="0.2">
      <c r="H34" s="60" t="s">
        <v>40</v>
      </c>
      <c r="I34" s="60"/>
    </row>
    <row r="35" spans="6:9" x14ac:dyDescent="0.2">
      <c r="F35" t="s">
        <v>41</v>
      </c>
      <c r="G35">
        <v>20</v>
      </c>
      <c r="H35" s="25">
        <f>G35/H31</f>
        <v>4</v>
      </c>
      <c r="I35" s="25">
        <f>G35/I31</f>
        <v>4</v>
      </c>
    </row>
    <row r="36" spans="6:9" x14ac:dyDescent="0.2">
      <c r="F36" t="s">
        <v>42</v>
      </c>
      <c r="G36">
        <v>80</v>
      </c>
      <c r="H36" s="25">
        <f>G36/H32</f>
        <v>7.966703265837654</v>
      </c>
      <c r="I36" s="25">
        <f>G36/I32</f>
        <v>5.0905304564123339</v>
      </c>
    </row>
  </sheetData>
  <mergeCells count="2">
    <mergeCell ref="H29:I29"/>
    <mergeCell ref="H34:I34"/>
  </mergeCells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2"/>
  <sheetViews>
    <sheetView topLeftCell="A2" zoomScaleNormal="100" workbookViewId="0">
      <selection activeCell="L32" sqref="L32"/>
    </sheetView>
  </sheetViews>
  <sheetFormatPr baseColWidth="10" defaultColWidth="8.83203125" defaultRowHeight="15" x14ac:dyDescent="0.2"/>
  <cols>
    <col min="1" max="1" width="2" customWidth="1"/>
    <col min="2" max="2" width="3.33203125" customWidth="1"/>
    <col min="3" max="3" width="4.1640625" customWidth="1"/>
    <col min="4" max="4" width="5.33203125" customWidth="1"/>
    <col min="5" max="22" width="4.1640625" customWidth="1"/>
    <col min="23" max="23" width="1.83203125" customWidth="1"/>
    <col min="24" max="24" width="6.5" customWidth="1"/>
    <col min="25" max="25" width="4.5" customWidth="1"/>
    <col min="26" max="26" width="6.6640625" customWidth="1"/>
    <col min="27" max="27" width="4.6640625" customWidth="1"/>
    <col min="28" max="28" width="5.1640625" customWidth="1"/>
    <col min="29" max="29" width="8" customWidth="1"/>
    <col min="30" max="30" width="5.33203125" customWidth="1"/>
    <col min="31" max="31" width="5.1640625" customWidth="1"/>
    <col min="32" max="32" width="6.1640625" customWidth="1"/>
    <col min="33" max="33" width="4.1640625" customWidth="1"/>
    <col min="34" max="34" width="5.6640625" customWidth="1"/>
    <col min="35" max="35" width="6.83203125" customWidth="1"/>
    <col min="36" max="37" width="5.6640625" customWidth="1"/>
    <col min="38" max="38" width="5" customWidth="1"/>
    <col min="39" max="39" width="6.33203125" customWidth="1"/>
    <col min="40" max="40" width="9.1640625" customWidth="1"/>
    <col min="41" max="41" width="5.1640625" customWidth="1"/>
    <col min="42" max="42" width="7" customWidth="1"/>
    <col min="43" max="43" width="6.5" customWidth="1"/>
    <col min="44" max="44" width="10.1640625" customWidth="1"/>
    <col min="45" max="1025" width="9.1640625" customWidth="1"/>
  </cols>
  <sheetData>
    <row r="1" spans="1:4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</row>
    <row r="2" spans="1:44" x14ac:dyDescent="0.2">
      <c r="C2" s="63" t="s">
        <v>43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X2" s="63" t="s">
        <v>44</v>
      </c>
      <c r="Y2" s="63"/>
      <c r="Z2" s="63"/>
      <c r="AA2" s="26"/>
      <c r="AB2" s="63" t="s">
        <v>45</v>
      </c>
      <c r="AC2" s="63"/>
      <c r="AD2" s="63"/>
      <c r="AF2" s="27"/>
      <c r="AG2" s="27" t="s">
        <v>46</v>
      </c>
      <c r="AH2" s="27" t="s">
        <v>47</v>
      </c>
      <c r="AI2" s="27" t="s">
        <v>48</v>
      </c>
      <c r="AJ2" s="27" t="s">
        <v>49</v>
      </c>
      <c r="AK2" s="27" t="s">
        <v>50</v>
      </c>
      <c r="AL2" s="27" t="s">
        <v>51</v>
      </c>
      <c r="AM2" s="27" t="s">
        <v>52</v>
      </c>
      <c r="AN2" s="27" t="s">
        <v>53</v>
      </c>
    </row>
    <row r="3" spans="1:44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X3" s="28" t="s">
        <v>54</v>
      </c>
      <c r="Y3" s="29">
        <f t="shared" ref="Y3:Y8" si="0">AG3</f>
        <v>6</v>
      </c>
      <c r="Z3">
        <v>10</v>
      </c>
      <c r="AB3" s="28">
        <v>30</v>
      </c>
      <c r="AC3">
        <f>COUNTIF($C$11:$V$14,AB3)</f>
        <v>0</v>
      </c>
      <c r="AD3">
        <v>0</v>
      </c>
      <c r="AF3" s="28" t="s">
        <v>54</v>
      </c>
      <c r="AG3" s="30">
        <f t="shared" ref="AG3:AG8" si="1">COUNTIF($C$4:$V$7,AF3)</f>
        <v>6</v>
      </c>
      <c r="AH3" s="30">
        <v>12.5</v>
      </c>
      <c r="AI3" s="30">
        <f t="shared" ref="AI3:AI8" si="2">AH3*AG3</f>
        <v>75</v>
      </c>
      <c r="AJ3" s="18">
        <v>0.09</v>
      </c>
      <c r="AK3" s="18">
        <f t="shared" ref="AK3:AK8" si="3">AG3/$AG$9</f>
        <v>7.4999999999999997E-2</v>
      </c>
      <c r="AL3">
        <v>3.3</v>
      </c>
      <c r="AM3">
        <v>0.32500000000000001</v>
      </c>
      <c r="AN3" s="20">
        <f t="shared" ref="AN3:AN8" si="4">AL3*AG3</f>
        <v>19.799999999999997</v>
      </c>
    </row>
    <row r="4" spans="1:44" x14ac:dyDescent="0.2">
      <c r="B4">
        <v>1</v>
      </c>
      <c r="C4" s="31" t="s">
        <v>55</v>
      </c>
      <c r="D4" s="31" t="s">
        <v>56</v>
      </c>
      <c r="E4" s="31" t="s">
        <v>55</v>
      </c>
      <c r="F4" s="31" t="s">
        <v>57</v>
      </c>
      <c r="G4" s="32" t="s">
        <v>55</v>
      </c>
      <c r="H4" s="31" t="s">
        <v>56</v>
      </c>
      <c r="I4" s="31" t="s">
        <v>55</v>
      </c>
      <c r="J4" s="31" t="s">
        <v>57</v>
      </c>
      <c r="K4" s="31" t="s">
        <v>55</v>
      </c>
      <c r="L4" s="31" t="s">
        <v>54</v>
      </c>
      <c r="M4" s="31" t="s">
        <v>55</v>
      </c>
      <c r="N4" s="31" t="s">
        <v>57</v>
      </c>
      <c r="O4" s="31" t="s">
        <v>55</v>
      </c>
      <c r="P4" s="31" t="s">
        <v>56</v>
      </c>
      <c r="Q4" s="31" t="s">
        <v>55</v>
      </c>
      <c r="R4" s="31" t="s">
        <v>57</v>
      </c>
      <c r="S4" s="31" t="s">
        <v>55</v>
      </c>
      <c r="T4" s="31" t="s">
        <v>56</v>
      </c>
      <c r="U4" s="31" t="s">
        <v>55</v>
      </c>
      <c r="V4" s="31" t="s">
        <v>57</v>
      </c>
      <c r="X4" s="28" t="s">
        <v>58</v>
      </c>
      <c r="Y4" s="29">
        <f t="shared" si="0"/>
        <v>2</v>
      </c>
      <c r="Z4">
        <v>10</v>
      </c>
      <c r="AB4" s="28">
        <v>45</v>
      </c>
      <c r="AC4">
        <f>COUNTIF($C$11:$V$14,AB4)</f>
        <v>31</v>
      </c>
      <c r="AD4">
        <v>30</v>
      </c>
      <c r="AF4" s="28" t="s">
        <v>58</v>
      </c>
      <c r="AG4" s="30">
        <f t="shared" si="1"/>
        <v>2</v>
      </c>
      <c r="AH4" s="30">
        <v>35</v>
      </c>
      <c r="AI4" s="30">
        <f t="shared" si="2"/>
        <v>70</v>
      </c>
      <c r="AJ4" s="18">
        <v>0.02</v>
      </c>
      <c r="AK4" s="18">
        <f t="shared" si="3"/>
        <v>2.5000000000000001E-2</v>
      </c>
      <c r="AL4">
        <v>3.3</v>
      </c>
      <c r="AM4">
        <v>0.32500000000000001</v>
      </c>
      <c r="AN4" s="20">
        <f t="shared" si="4"/>
        <v>6.6</v>
      </c>
    </row>
    <row r="5" spans="1:44" x14ac:dyDescent="0.2">
      <c r="B5">
        <v>2</v>
      </c>
      <c r="C5" s="31" t="s">
        <v>57</v>
      </c>
      <c r="D5" s="31" t="s">
        <v>55</v>
      </c>
      <c r="E5" s="31" t="s">
        <v>56</v>
      </c>
      <c r="F5" s="32" t="s">
        <v>55</v>
      </c>
      <c r="G5" s="31" t="s">
        <v>54</v>
      </c>
      <c r="H5" s="31" t="s">
        <v>55</v>
      </c>
      <c r="I5" s="31" t="s">
        <v>56</v>
      </c>
      <c r="J5" s="31" t="s">
        <v>55</v>
      </c>
      <c r="K5" s="31" t="s">
        <v>58</v>
      </c>
      <c r="L5" s="31" t="s">
        <v>59</v>
      </c>
      <c r="M5" s="31" t="s">
        <v>55</v>
      </c>
      <c r="N5" s="31" t="s">
        <v>58</v>
      </c>
      <c r="O5" s="31" t="s">
        <v>59</v>
      </c>
      <c r="P5" s="31" t="s">
        <v>55</v>
      </c>
      <c r="Q5" s="31" t="s">
        <v>56</v>
      </c>
      <c r="R5" s="31" t="s">
        <v>55</v>
      </c>
      <c r="S5" s="31" t="s">
        <v>54</v>
      </c>
      <c r="T5" s="31" t="s">
        <v>55</v>
      </c>
      <c r="U5" s="31" t="s">
        <v>56</v>
      </c>
      <c r="V5" s="31" t="s">
        <v>55</v>
      </c>
      <c r="X5" s="28" t="s">
        <v>55</v>
      </c>
      <c r="Y5" s="29">
        <f t="shared" si="0"/>
        <v>39</v>
      </c>
      <c r="Z5">
        <v>40</v>
      </c>
      <c r="AB5" s="28">
        <v>60</v>
      </c>
      <c r="AC5">
        <f>COUNTIF($C$11:$V$14,AB5)</f>
        <v>15</v>
      </c>
      <c r="AD5">
        <v>20</v>
      </c>
      <c r="AF5" s="28" t="s">
        <v>55</v>
      </c>
      <c r="AG5" s="30">
        <f t="shared" si="1"/>
        <v>39</v>
      </c>
      <c r="AH5" s="30">
        <v>105</v>
      </c>
      <c r="AI5" s="30">
        <f t="shared" si="2"/>
        <v>4095</v>
      </c>
      <c r="AJ5" s="18">
        <v>0.46</v>
      </c>
      <c r="AK5" s="18">
        <f t="shared" si="3"/>
        <v>0.48749999999999999</v>
      </c>
      <c r="AL5">
        <v>3.3</v>
      </c>
      <c r="AM5">
        <v>0.32500000000000001</v>
      </c>
      <c r="AN5" s="20">
        <f t="shared" si="4"/>
        <v>128.69999999999999</v>
      </c>
    </row>
    <row r="6" spans="1:44" x14ac:dyDescent="0.2">
      <c r="B6">
        <v>3</v>
      </c>
      <c r="C6" s="31" t="s">
        <v>55</v>
      </c>
      <c r="D6" s="31" t="s">
        <v>54</v>
      </c>
      <c r="E6" s="31" t="s">
        <v>55</v>
      </c>
      <c r="F6" s="31" t="s">
        <v>56</v>
      </c>
      <c r="G6" s="31" t="s">
        <v>55</v>
      </c>
      <c r="H6" s="31" t="s">
        <v>56</v>
      </c>
      <c r="I6" s="31" t="s">
        <v>55</v>
      </c>
      <c r="J6" s="31" t="s">
        <v>57</v>
      </c>
      <c r="K6" s="31" t="s">
        <v>55</v>
      </c>
      <c r="L6" s="31" t="s">
        <v>57</v>
      </c>
      <c r="M6" s="31" t="s">
        <v>55</v>
      </c>
      <c r="N6" s="31" t="s">
        <v>56</v>
      </c>
      <c r="O6" s="31" t="s">
        <v>55</v>
      </c>
      <c r="P6" s="31" t="s">
        <v>54</v>
      </c>
      <c r="Q6" s="31" t="s">
        <v>55</v>
      </c>
      <c r="R6" s="31" t="s">
        <v>57</v>
      </c>
      <c r="S6" s="31" t="s">
        <v>55</v>
      </c>
      <c r="T6" s="31" t="s">
        <v>57</v>
      </c>
      <c r="U6" s="31" t="s">
        <v>55</v>
      </c>
      <c r="V6" s="31" t="s">
        <v>54</v>
      </c>
      <c r="X6" s="28" t="s">
        <v>57</v>
      </c>
      <c r="Y6" s="29">
        <f t="shared" si="0"/>
        <v>16</v>
      </c>
      <c r="Z6">
        <v>20</v>
      </c>
      <c r="AB6" s="28">
        <v>90</v>
      </c>
      <c r="AC6">
        <f>COUNTIF($C$11:$V$14,AB6)</f>
        <v>2</v>
      </c>
      <c r="AD6">
        <v>20</v>
      </c>
      <c r="AF6" s="28" t="s">
        <v>57</v>
      </c>
      <c r="AG6" s="30">
        <f t="shared" si="1"/>
        <v>16</v>
      </c>
      <c r="AH6" s="30">
        <v>35</v>
      </c>
      <c r="AI6" s="30">
        <f t="shared" si="2"/>
        <v>560</v>
      </c>
      <c r="AJ6" s="18">
        <v>0.21</v>
      </c>
      <c r="AK6" s="18">
        <f t="shared" si="3"/>
        <v>0.2</v>
      </c>
      <c r="AL6">
        <v>3.3</v>
      </c>
      <c r="AM6">
        <v>0.32500000000000001</v>
      </c>
      <c r="AN6" s="20">
        <f t="shared" si="4"/>
        <v>52.8</v>
      </c>
    </row>
    <row r="7" spans="1:44" x14ac:dyDescent="0.2">
      <c r="B7">
        <v>4</v>
      </c>
      <c r="C7" s="31" t="s">
        <v>56</v>
      </c>
      <c r="D7" s="32" t="s">
        <v>55</v>
      </c>
      <c r="E7" s="31" t="s">
        <v>57</v>
      </c>
      <c r="F7" s="31" t="s">
        <v>55</v>
      </c>
      <c r="G7" s="31" t="s">
        <v>57</v>
      </c>
      <c r="H7" s="31" t="s">
        <v>55</v>
      </c>
      <c r="I7" s="31" t="s">
        <v>57</v>
      </c>
      <c r="J7" s="32" t="s">
        <v>55</v>
      </c>
      <c r="K7" s="31" t="s">
        <v>56</v>
      </c>
      <c r="L7" s="31" t="s">
        <v>55</v>
      </c>
      <c r="M7" s="31" t="s">
        <v>57</v>
      </c>
      <c r="N7" s="31" t="s">
        <v>55</v>
      </c>
      <c r="O7" s="31" t="s">
        <v>56</v>
      </c>
      <c r="P7" s="31" t="s">
        <v>55</v>
      </c>
      <c r="Q7" s="31" t="s">
        <v>57</v>
      </c>
      <c r="R7" s="31" t="s">
        <v>55</v>
      </c>
      <c r="S7" s="31" t="s">
        <v>56</v>
      </c>
      <c r="T7" s="32" t="s">
        <v>55</v>
      </c>
      <c r="U7" s="31" t="s">
        <v>57</v>
      </c>
      <c r="V7" s="31" t="s">
        <v>55</v>
      </c>
      <c r="X7" s="28" t="s">
        <v>56</v>
      </c>
      <c r="Y7" s="29">
        <f t="shared" si="0"/>
        <v>15</v>
      </c>
      <c r="Z7">
        <v>20</v>
      </c>
      <c r="AB7" s="28">
        <v>120</v>
      </c>
      <c r="AC7">
        <f>COUNTIF($C$11:$V$14,AB7)</f>
        <v>32</v>
      </c>
      <c r="AD7">
        <v>40</v>
      </c>
      <c r="AF7" s="28" t="s">
        <v>56</v>
      </c>
      <c r="AG7" s="30">
        <f t="shared" si="1"/>
        <v>15</v>
      </c>
      <c r="AH7" s="30">
        <v>55</v>
      </c>
      <c r="AI7" s="30">
        <f t="shared" si="2"/>
        <v>825</v>
      </c>
      <c r="AJ7" s="18">
        <v>0.2</v>
      </c>
      <c r="AK7" s="18">
        <f t="shared" si="3"/>
        <v>0.1875</v>
      </c>
      <c r="AL7">
        <v>2.2999999999999998</v>
      </c>
      <c r="AM7">
        <v>0.32500000000000001</v>
      </c>
      <c r="AN7" s="20">
        <f t="shared" si="4"/>
        <v>34.5</v>
      </c>
    </row>
    <row r="8" spans="1:44" x14ac:dyDescent="0.2">
      <c r="X8" s="28" t="s">
        <v>59</v>
      </c>
      <c r="Y8" s="29">
        <f t="shared" si="0"/>
        <v>2</v>
      </c>
      <c r="Z8">
        <v>10</v>
      </c>
      <c r="AB8" s="28"/>
      <c r="AF8" s="28" t="s">
        <v>59</v>
      </c>
      <c r="AG8" s="30">
        <f t="shared" si="1"/>
        <v>2</v>
      </c>
      <c r="AH8" s="30">
        <v>75</v>
      </c>
      <c r="AI8" s="30">
        <f t="shared" si="2"/>
        <v>150</v>
      </c>
      <c r="AJ8" s="18">
        <v>0.02</v>
      </c>
      <c r="AK8" s="18">
        <f t="shared" si="3"/>
        <v>2.5000000000000001E-2</v>
      </c>
      <c r="AL8">
        <v>3.3</v>
      </c>
      <c r="AM8">
        <v>0.32500000000000001</v>
      </c>
      <c r="AN8" s="20">
        <f t="shared" si="4"/>
        <v>6.6</v>
      </c>
    </row>
    <row r="9" spans="1:44" x14ac:dyDescent="0.2">
      <c r="X9" s="33" t="s">
        <v>33</v>
      </c>
      <c r="Y9" s="34"/>
      <c r="Z9" s="33">
        <f>SUM(Z3:Z8)</f>
        <v>110</v>
      </c>
      <c r="AA9" s="34"/>
      <c r="AB9" s="34"/>
      <c r="AC9" s="34"/>
      <c r="AD9" s="33">
        <f>SUM(AD3:AD8)</f>
        <v>110</v>
      </c>
      <c r="AF9" s="33" t="s">
        <v>48</v>
      </c>
      <c r="AG9" s="35">
        <f>SUM(AG3:AG8)</f>
        <v>80</v>
      </c>
      <c r="AH9" s="35"/>
      <c r="AI9" s="35">
        <f>SUM(AI3:AI8)</f>
        <v>5775</v>
      </c>
      <c r="AJ9" s="36"/>
      <c r="AK9" s="37">
        <f>SUM(AK3:AK8)-SUM(AJ3:AJ8)</f>
        <v>0</v>
      </c>
      <c r="AL9" s="34"/>
      <c r="AM9" s="34"/>
      <c r="AN9" s="38">
        <f>SUM(AN3:AN8)</f>
        <v>248.99999999999997</v>
      </c>
    </row>
    <row r="10" spans="1:44" x14ac:dyDescent="0.2">
      <c r="C10" s="61" t="s">
        <v>45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X10" s="28" t="s">
        <v>60</v>
      </c>
      <c r="Z10">
        <f>SUM(Y3:Y8)</f>
        <v>80</v>
      </c>
      <c r="AD10">
        <f>SUM(AC3:AC8)</f>
        <v>80</v>
      </c>
      <c r="AF10" s="28" t="s">
        <v>61</v>
      </c>
      <c r="AI10" s="30">
        <f>AI9/8</f>
        <v>721.875</v>
      </c>
      <c r="AN10" s="39">
        <f>AN9/AG9</f>
        <v>3.1124999999999998</v>
      </c>
    </row>
    <row r="11" spans="1:44" x14ac:dyDescent="0.2">
      <c r="C11">
        <v>45</v>
      </c>
      <c r="D11">
        <v>120</v>
      </c>
      <c r="E11">
        <v>45</v>
      </c>
      <c r="F11">
        <v>120</v>
      </c>
      <c r="G11">
        <v>45</v>
      </c>
      <c r="H11">
        <v>120</v>
      </c>
      <c r="I11">
        <v>45</v>
      </c>
      <c r="J11">
        <v>120</v>
      </c>
      <c r="K11">
        <v>45</v>
      </c>
      <c r="L11">
        <v>45</v>
      </c>
      <c r="M11">
        <v>45</v>
      </c>
      <c r="N11">
        <v>120</v>
      </c>
      <c r="O11">
        <v>45</v>
      </c>
      <c r="P11">
        <v>120</v>
      </c>
      <c r="Q11">
        <v>45</v>
      </c>
      <c r="R11">
        <v>120</v>
      </c>
      <c r="S11">
        <v>45</v>
      </c>
      <c r="T11">
        <v>120</v>
      </c>
      <c r="U11">
        <v>45</v>
      </c>
      <c r="V11">
        <v>120</v>
      </c>
      <c r="X11" s="28" t="s">
        <v>62</v>
      </c>
      <c r="Z11">
        <f>Z9-Z10</f>
        <v>30</v>
      </c>
      <c r="AD11">
        <f>AD9-AD10</f>
        <v>30</v>
      </c>
      <c r="AF11" s="28"/>
      <c r="AI11" s="29"/>
    </row>
    <row r="12" spans="1:44" x14ac:dyDescent="0.2">
      <c r="C12">
        <v>45</v>
      </c>
      <c r="D12">
        <v>45</v>
      </c>
      <c r="E12">
        <v>120</v>
      </c>
      <c r="F12">
        <v>60</v>
      </c>
      <c r="G12">
        <v>60</v>
      </c>
      <c r="H12">
        <v>60</v>
      </c>
      <c r="I12">
        <v>120</v>
      </c>
      <c r="J12">
        <v>60</v>
      </c>
      <c r="K12">
        <v>90</v>
      </c>
      <c r="L12">
        <v>120</v>
      </c>
      <c r="M12">
        <v>45</v>
      </c>
      <c r="N12">
        <v>90</v>
      </c>
      <c r="O12">
        <v>120</v>
      </c>
      <c r="P12">
        <v>60</v>
      </c>
      <c r="Q12">
        <v>120</v>
      </c>
      <c r="R12">
        <v>60</v>
      </c>
      <c r="S12">
        <v>60</v>
      </c>
      <c r="T12">
        <v>60</v>
      </c>
      <c r="U12">
        <v>120</v>
      </c>
      <c r="V12">
        <v>45</v>
      </c>
    </row>
    <row r="13" spans="1:44" x14ac:dyDescent="0.2">
      <c r="C13">
        <v>45</v>
      </c>
      <c r="D13">
        <v>60</v>
      </c>
      <c r="E13">
        <v>60</v>
      </c>
      <c r="F13">
        <v>120</v>
      </c>
      <c r="G13">
        <v>60</v>
      </c>
      <c r="H13">
        <v>120</v>
      </c>
      <c r="I13">
        <v>60</v>
      </c>
      <c r="J13">
        <v>120</v>
      </c>
      <c r="K13">
        <v>45</v>
      </c>
      <c r="L13">
        <v>120</v>
      </c>
      <c r="M13">
        <v>45</v>
      </c>
      <c r="N13">
        <v>120</v>
      </c>
      <c r="O13">
        <v>45</v>
      </c>
      <c r="P13">
        <v>60</v>
      </c>
      <c r="Q13">
        <v>60</v>
      </c>
      <c r="R13">
        <v>120</v>
      </c>
      <c r="S13">
        <v>60</v>
      </c>
      <c r="T13">
        <v>120</v>
      </c>
      <c r="U13">
        <v>45</v>
      </c>
      <c r="V13">
        <v>45</v>
      </c>
      <c r="X13" s="63" t="s">
        <v>63</v>
      </c>
      <c r="Y13" s="63"/>
      <c r="Z13" s="63"/>
      <c r="AA13" s="63"/>
      <c r="AB13" s="63"/>
      <c r="AC13" s="63"/>
      <c r="AD13" s="63"/>
      <c r="AE13" s="63"/>
      <c r="AF13" s="63"/>
      <c r="AG13" s="63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x14ac:dyDescent="0.2">
      <c r="C14">
        <v>120</v>
      </c>
      <c r="D14">
        <v>45</v>
      </c>
      <c r="E14">
        <v>120</v>
      </c>
      <c r="F14">
        <v>45</v>
      </c>
      <c r="G14">
        <v>120</v>
      </c>
      <c r="H14">
        <v>45</v>
      </c>
      <c r="I14">
        <v>120</v>
      </c>
      <c r="J14">
        <v>45</v>
      </c>
      <c r="K14">
        <v>120</v>
      </c>
      <c r="L14">
        <v>45</v>
      </c>
      <c r="M14">
        <v>120</v>
      </c>
      <c r="N14">
        <v>45</v>
      </c>
      <c r="O14">
        <v>120</v>
      </c>
      <c r="P14">
        <v>45</v>
      </c>
      <c r="Q14">
        <v>120</v>
      </c>
      <c r="R14">
        <v>45</v>
      </c>
      <c r="S14">
        <v>120</v>
      </c>
      <c r="T14">
        <v>45</v>
      </c>
      <c r="U14">
        <v>120</v>
      </c>
      <c r="V14">
        <v>45</v>
      </c>
      <c r="X14" s="26" t="s">
        <v>64</v>
      </c>
      <c r="Y14" s="26" t="s">
        <v>65</v>
      </c>
      <c r="Z14" s="26" t="s">
        <v>66</v>
      </c>
      <c r="AA14" s="26" t="s">
        <v>67</v>
      </c>
      <c r="AB14" s="26" t="s">
        <v>68</v>
      </c>
      <c r="AC14" s="26" t="s">
        <v>69</v>
      </c>
      <c r="AD14" s="26" t="s">
        <v>51</v>
      </c>
      <c r="AE14" s="26" t="s">
        <v>64</v>
      </c>
      <c r="AF14" s="26" t="s">
        <v>54</v>
      </c>
      <c r="AG14" s="26" t="s">
        <v>58</v>
      </c>
      <c r="AH14" s="26" t="s">
        <v>55</v>
      </c>
      <c r="AI14" s="26" t="s">
        <v>57</v>
      </c>
      <c r="AJ14" s="26" t="s">
        <v>56</v>
      </c>
      <c r="AK14" s="26" t="s">
        <v>59</v>
      </c>
      <c r="AL14" s="40"/>
      <c r="AM14" s="40"/>
      <c r="AN14" s="40"/>
      <c r="AO14" s="40"/>
      <c r="AP14" s="40"/>
      <c r="AQ14" s="40"/>
      <c r="AR14" s="40"/>
    </row>
    <row r="15" spans="1:44" x14ac:dyDescent="0.2">
      <c r="X15" s="29">
        <f t="shared" ref="X15:X31" si="5">Y15*$AI$10</f>
        <v>721.875</v>
      </c>
      <c r="Y15">
        <v>1</v>
      </c>
      <c r="Z15" s="41">
        <v>0.3125</v>
      </c>
      <c r="AA15" s="29">
        <f t="shared" ref="AA15:AA31" si="6">X15/$D$29</f>
        <v>5.013020833333333</v>
      </c>
      <c r="AB15">
        <v>1</v>
      </c>
      <c r="AC15">
        <v>10</v>
      </c>
      <c r="AD15" s="42">
        <v>31</v>
      </c>
      <c r="AE15" s="29">
        <v>757.5</v>
      </c>
      <c r="AF15">
        <v>1</v>
      </c>
      <c r="AG15">
        <v>0</v>
      </c>
      <c r="AH15">
        <v>5</v>
      </c>
      <c r="AI15" s="29">
        <v>1</v>
      </c>
      <c r="AJ15">
        <v>2</v>
      </c>
      <c r="AK15" s="43">
        <v>1</v>
      </c>
      <c r="AL15" s="29"/>
      <c r="AO15" s="42"/>
      <c r="AP15" s="29"/>
    </row>
    <row r="16" spans="1:44" x14ac:dyDescent="0.2">
      <c r="C16" s="61" t="s">
        <v>68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X16" s="29">
        <f t="shared" si="5"/>
        <v>721.875</v>
      </c>
      <c r="Y16">
        <v>1</v>
      </c>
      <c r="Z16" s="41">
        <v>0.33333333333333298</v>
      </c>
      <c r="AA16" s="29">
        <f t="shared" si="6"/>
        <v>5.013020833333333</v>
      </c>
      <c r="AB16">
        <v>2</v>
      </c>
      <c r="AC16">
        <v>10</v>
      </c>
      <c r="AD16" s="42">
        <v>31</v>
      </c>
      <c r="AE16" s="29">
        <v>717.5</v>
      </c>
      <c r="AF16">
        <v>1</v>
      </c>
      <c r="AG16">
        <v>1</v>
      </c>
      <c r="AH16">
        <v>5</v>
      </c>
      <c r="AI16" s="29">
        <v>1</v>
      </c>
      <c r="AJ16">
        <v>2</v>
      </c>
      <c r="AK16" s="43">
        <v>0</v>
      </c>
      <c r="AL16" s="29"/>
      <c r="AO16" s="42"/>
      <c r="AP16" s="29"/>
    </row>
    <row r="17" spans="2:43" x14ac:dyDescent="0.2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1</v>
      </c>
      <c r="L17">
        <v>8</v>
      </c>
      <c r="M17">
        <v>4</v>
      </c>
      <c r="N17">
        <v>6</v>
      </c>
      <c r="O17">
        <v>8</v>
      </c>
      <c r="P17">
        <v>7</v>
      </c>
      <c r="Q17">
        <v>6</v>
      </c>
      <c r="R17">
        <v>5</v>
      </c>
      <c r="S17">
        <v>4</v>
      </c>
      <c r="T17">
        <v>3</v>
      </c>
      <c r="U17">
        <v>2</v>
      </c>
      <c r="V17">
        <v>1</v>
      </c>
      <c r="X17" s="29">
        <f t="shared" si="5"/>
        <v>721.875</v>
      </c>
      <c r="Y17">
        <v>1</v>
      </c>
      <c r="Z17" s="41">
        <v>0.375</v>
      </c>
      <c r="AA17" s="29">
        <f t="shared" si="6"/>
        <v>5.013020833333333</v>
      </c>
      <c r="AB17">
        <v>3</v>
      </c>
      <c r="AC17">
        <v>10</v>
      </c>
      <c r="AD17" s="42">
        <v>31</v>
      </c>
      <c r="AE17" s="29">
        <v>780</v>
      </c>
      <c r="AF17">
        <v>0</v>
      </c>
      <c r="AG17">
        <v>0</v>
      </c>
      <c r="AH17">
        <v>5</v>
      </c>
      <c r="AI17" s="29">
        <v>2</v>
      </c>
      <c r="AJ17">
        <v>2</v>
      </c>
      <c r="AK17" s="43">
        <v>1</v>
      </c>
      <c r="AL17" s="29"/>
      <c r="AO17" s="42"/>
      <c r="AP17" s="29"/>
    </row>
    <row r="18" spans="2:43" x14ac:dyDescent="0.2">
      <c r="C18">
        <v>8</v>
      </c>
      <c r="D18">
        <v>7</v>
      </c>
      <c r="E18">
        <v>6</v>
      </c>
      <c r="F18">
        <v>5</v>
      </c>
      <c r="G18">
        <v>4</v>
      </c>
      <c r="H18">
        <v>3</v>
      </c>
      <c r="I18">
        <v>2</v>
      </c>
      <c r="J18">
        <v>1</v>
      </c>
      <c r="K18">
        <v>2</v>
      </c>
      <c r="L18">
        <v>3</v>
      </c>
      <c r="M18">
        <v>2</v>
      </c>
      <c r="N18">
        <v>7</v>
      </c>
      <c r="O18">
        <v>1</v>
      </c>
      <c r="P18">
        <v>2</v>
      </c>
      <c r="Q18">
        <v>3</v>
      </c>
      <c r="R18">
        <v>4</v>
      </c>
      <c r="S18">
        <v>5</v>
      </c>
      <c r="T18">
        <v>6</v>
      </c>
      <c r="U18">
        <v>7</v>
      </c>
      <c r="V18">
        <v>8</v>
      </c>
      <c r="X18" s="29">
        <f t="shared" si="5"/>
        <v>1443.75</v>
      </c>
      <c r="Y18">
        <v>2</v>
      </c>
      <c r="Z18" s="41">
        <v>0.41666666666666702</v>
      </c>
      <c r="AA18" s="29">
        <f t="shared" si="6"/>
        <v>10.026041666666666</v>
      </c>
      <c r="AB18">
        <v>4</v>
      </c>
      <c r="AC18">
        <v>10</v>
      </c>
      <c r="AD18" s="42">
        <v>31</v>
      </c>
      <c r="AE18" s="29">
        <v>717.5</v>
      </c>
      <c r="AF18">
        <v>1</v>
      </c>
      <c r="AG18">
        <v>0</v>
      </c>
      <c r="AH18">
        <v>5</v>
      </c>
      <c r="AI18" s="29">
        <v>2</v>
      </c>
      <c r="AJ18">
        <v>2</v>
      </c>
      <c r="AK18" s="43">
        <v>0</v>
      </c>
      <c r="AL18" s="29"/>
      <c r="AO18" s="42"/>
      <c r="AP18" s="29"/>
    </row>
    <row r="19" spans="2:43" x14ac:dyDescent="0.2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7</v>
      </c>
      <c r="L19">
        <v>5</v>
      </c>
      <c r="M19">
        <v>5</v>
      </c>
      <c r="N19">
        <v>1</v>
      </c>
      <c r="O19">
        <v>8</v>
      </c>
      <c r="P19">
        <v>7</v>
      </c>
      <c r="Q19">
        <v>6</v>
      </c>
      <c r="R19">
        <v>5</v>
      </c>
      <c r="S19">
        <v>4</v>
      </c>
      <c r="T19">
        <v>3</v>
      </c>
      <c r="U19">
        <v>2</v>
      </c>
      <c r="V19">
        <v>1</v>
      </c>
      <c r="X19" s="29">
        <f t="shared" si="5"/>
        <v>1443.75</v>
      </c>
      <c r="Y19">
        <v>2</v>
      </c>
      <c r="Z19" s="41">
        <v>0.45833333333333298</v>
      </c>
      <c r="AA19" s="29">
        <f t="shared" si="6"/>
        <v>10.026041666666666</v>
      </c>
      <c r="AB19">
        <v>5</v>
      </c>
      <c r="AC19">
        <v>10</v>
      </c>
      <c r="AD19" s="42">
        <v>32</v>
      </c>
      <c r="AE19" s="29">
        <v>697.5</v>
      </c>
      <c r="AF19">
        <v>1</v>
      </c>
      <c r="AG19">
        <v>0</v>
      </c>
      <c r="AH19">
        <v>5</v>
      </c>
      <c r="AI19" s="29">
        <v>3</v>
      </c>
      <c r="AJ19">
        <v>1</v>
      </c>
      <c r="AK19" s="43">
        <v>0</v>
      </c>
      <c r="AL19" s="29"/>
      <c r="AO19" s="42"/>
      <c r="AP19" s="29"/>
    </row>
    <row r="20" spans="2:43" x14ac:dyDescent="0.2">
      <c r="C20">
        <v>8</v>
      </c>
      <c r="D20">
        <v>7</v>
      </c>
      <c r="E20">
        <v>6</v>
      </c>
      <c r="F20">
        <v>5</v>
      </c>
      <c r="G20">
        <v>4</v>
      </c>
      <c r="H20">
        <v>3</v>
      </c>
      <c r="I20">
        <v>2</v>
      </c>
      <c r="J20">
        <v>1</v>
      </c>
      <c r="K20">
        <v>4</v>
      </c>
      <c r="L20">
        <v>3</v>
      </c>
      <c r="M20">
        <v>8</v>
      </c>
      <c r="N20">
        <v>6</v>
      </c>
      <c r="O20">
        <v>1</v>
      </c>
      <c r="P20">
        <v>2</v>
      </c>
      <c r="Q20">
        <v>3</v>
      </c>
      <c r="R20">
        <v>4</v>
      </c>
      <c r="S20">
        <v>5</v>
      </c>
      <c r="T20">
        <v>6</v>
      </c>
      <c r="U20">
        <v>7</v>
      </c>
      <c r="V20">
        <v>8</v>
      </c>
      <c r="X20" s="29">
        <f t="shared" si="5"/>
        <v>2887.5</v>
      </c>
      <c r="Y20">
        <v>4</v>
      </c>
      <c r="Z20" s="41">
        <v>0.5</v>
      </c>
      <c r="AA20" s="29">
        <f t="shared" si="6"/>
        <v>20.052083333333332</v>
      </c>
      <c r="AB20">
        <v>6</v>
      </c>
      <c r="AC20">
        <v>10</v>
      </c>
      <c r="AD20" s="42">
        <v>30</v>
      </c>
      <c r="AE20" s="29">
        <v>760</v>
      </c>
      <c r="AF20">
        <v>0</v>
      </c>
      <c r="AG20">
        <v>0</v>
      </c>
      <c r="AH20">
        <v>5</v>
      </c>
      <c r="AI20" s="29">
        <v>2</v>
      </c>
      <c r="AJ20">
        <v>3</v>
      </c>
      <c r="AK20" s="43">
        <v>0</v>
      </c>
      <c r="AL20" s="29"/>
      <c r="AO20" s="42"/>
      <c r="AP20" s="29"/>
    </row>
    <row r="21" spans="2:43" x14ac:dyDescent="0.2">
      <c r="X21" s="29">
        <f t="shared" si="5"/>
        <v>3609.375</v>
      </c>
      <c r="Y21">
        <v>5</v>
      </c>
      <c r="Z21" s="41">
        <v>0.54166666666666696</v>
      </c>
      <c r="AA21" s="29">
        <f t="shared" si="6"/>
        <v>25.065104166666668</v>
      </c>
      <c r="AB21">
        <v>7</v>
      </c>
      <c r="AC21">
        <v>10</v>
      </c>
      <c r="AD21" s="42">
        <v>31</v>
      </c>
      <c r="AE21" s="29">
        <v>717.5</v>
      </c>
      <c r="AF21">
        <v>1</v>
      </c>
      <c r="AG21">
        <v>1</v>
      </c>
      <c r="AH21">
        <v>5</v>
      </c>
      <c r="AI21" s="29">
        <v>1</v>
      </c>
      <c r="AJ21">
        <v>2</v>
      </c>
      <c r="AK21" s="43">
        <v>0</v>
      </c>
      <c r="AL21" s="29"/>
      <c r="AO21" s="42"/>
      <c r="AP21" s="29"/>
    </row>
    <row r="22" spans="2:43" x14ac:dyDescent="0.2">
      <c r="B22" s="44"/>
      <c r="C22" s="61" t="s">
        <v>70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X22" s="29">
        <f t="shared" si="5"/>
        <v>5053.125</v>
      </c>
      <c r="Y22">
        <v>7</v>
      </c>
      <c r="Z22" s="41">
        <v>0.58333333333333304</v>
      </c>
      <c r="AA22" s="29">
        <f t="shared" si="6"/>
        <v>35.091145833333336</v>
      </c>
      <c r="AB22">
        <v>8</v>
      </c>
      <c r="AC22">
        <v>10</v>
      </c>
      <c r="AD22" s="42">
        <v>32</v>
      </c>
      <c r="AE22" s="29">
        <v>627.5</v>
      </c>
      <c r="AF22">
        <v>1</v>
      </c>
      <c r="AG22">
        <v>0</v>
      </c>
      <c r="AH22">
        <v>4</v>
      </c>
      <c r="AI22" s="29">
        <v>4</v>
      </c>
      <c r="AJ22">
        <v>1</v>
      </c>
      <c r="AK22" s="43">
        <v>0</v>
      </c>
      <c r="AL22" s="29"/>
      <c r="AO22" s="42"/>
      <c r="AP22" s="29"/>
    </row>
    <row r="23" spans="2:43" x14ac:dyDescent="0.2">
      <c r="C23" s="20">
        <f t="shared" ref="C23:V23" si="7">TAN(RADIANS(C11/2))*$I$29</f>
        <v>22.781745930520227</v>
      </c>
      <c r="D23" s="20">
        <f t="shared" si="7"/>
        <v>95.262794416288216</v>
      </c>
      <c r="E23" s="20">
        <f t="shared" si="7"/>
        <v>22.781745930520227</v>
      </c>
      <c r="F23" s="20">
        <f t="shared" si="7"/>
        <v>95.262794416288216</v>
      </c>
      <c r="G23" s="20">
        <f t="shared" si="7"/>
        <v>22.781745930520227</v>
      </c>
      <c r="H23" s="20">
        <f t="shared" si="7"/>
        <v>95.262794416288216</v>
      </c>
      <c r="I23" s="20">
        <f t="shared" si="7"/>
        <v>22.781745930520227</v>
      </c>
      <c r="J23" s="20">
        <f t="shared" si="7"/>
        <v>95.262794416288216</v>
      </c>
      <c r="K23" s="20">
        <f t="shared" si="7"/>
        <v>22.781745930520227</v>
      </c>
      <c r="L23" s="20">
        <f t="shared" si="7"/>
        <v>22.781745930520227</v>
      </c>
      <c r="M23" s="20">
        <f t="shared" si="7"/>
        <v>22.781745930520227</v>
      </c>
      <c r="N23" s="20">
        <f t="shared" si="7"/>
        <v>95.262794416288216</v>
      </c>
      <c r="O23" s="20">
        <f t="shared" si="7"/>
        <v>22.781745930520227</v>
      </c>
      <c r="P23" s="20">
        <f t="shared" si="7"/>
        <v>95.262794416288216</v>
      </c>
      <c r="Q23" s="20">
        <f t="shared" si="7"/>
        <v>22.781745930520227</v>
      </c>
      <c r="R23" s="20">
        <f t="shared" si="7"/>
        <v>95.262794416288216</v>
      </c>
      <c r="S23" s="20">
        <f t="shared" si="7"/>
        <v>22.781745930520227</v>
      </c>
      <c r="T23" s="20">
        <f t="shared" si="7"/>
        <v>95.262794416288216</v>
      </c>
      <c r="U23" s="20">
        <f t="shared" si="7"/>
        <v>22.781745930520227</v>
      </c>
      <c r="V23" s="20">
        <f t="shared" si="7"/>
        <v>95.262794416288216</v>
      </c>
      <c r="X23" s="29">
        <f t="shared" si="5"/>
        <v>5775</v>
      </c>
      <c r="Y23">
        <v>8</v>
      </c>
      <c r="Z23" s="41">
        <v>0.625</v>
      </c>
      <c r="AA23" s="29">
        <f t="shared" si="6"/>
        <v>40.104166666666664</v>
      </c>
      <c r="AD23" s="42"/>
      <c r="AE23" s="29"/>
      <c r="AI23" s="29"/>
      <c r="AK23" s="43"/>
      <c r="AL23" s="29"/>
      <c r="AO23" s="42"/>
      <c r="AP23" s="29"/>
    </row>
    <row r="24" spans="2:43" x14ac:dyDescent="0.2">
      <c r="C24" s="20">
        <f t="shared" ref="C24:V24" si="8">TAN(RADIANS(C12/2))*$I$29</f>
        <v>22.781745930520227</v>
      </c>
      <c r="D24" s="20">
        <f t="shared" si="8"/>
        <v>22.781745930520227</v>
      </c>
      <c r="E24" s="20">
        <f t="shared" si="8"/>
        <v>95.262794416288216</v>
      </c>
      <c r="F24" s="20">
        <f t="shared" si="8"/>
        <v>31.754264805429415</v>
      </c>
      <c r="G24" s="20">
        <f t="shared" si="8"/>
        <v>31.754264805429415</v>
      </c>
      <c r="H24" s="20">
        <f t="shared" si="8"/>
        <v>31.754264805429415</v>
      </c>
      <c r="I24" s="20">
        <f t="shared" si="8"/>
        <v>95.262794416288216</v>
      </c>
      <c r="J24" s="20">
        <f t="shared" si="8"/>
        <v>31.754264805429415</v>
      </c>
      <c r="K24" s="20">
        <f t="shared" si="8"/>
        <v>54.999999999999993</v>
      </c>
      <c r="L24" s="20">
        <f t="shared" si="8"/>
        <v>95.262794416288216</v>
      </c>
      <c r="M24" s="20">
        <f t="shared" si="8"/>
        <v>22.781745930520227</v>
      </c>
      <c r="N24" s="20">
        <f t="shared" si="8"/>
        <v>54.999999999999993</v>
      </c>
      <c r="O24" s="20">
        <f t="shared" si="8"/>
        <v>95.262794416288216</v>
      </c>
      <c r="P24" s="20">
        <f t="shared" si="8"/>
        <v>31.754264805429415</v>
      </c>
      <c r="Q24" s="20">
        <f t="shared" si="8"/>
        <v>95.262794416288216</v>
      </c>
      <c r="R24" s="20">
        <f t="shared" si="8"/>
        <v>31.754264805429415</v>
      </c>
      <c r="S24" s="20">
        <f t="shared" si="8"/>
        <v>31.754264805429415</v>
      </c>
      <c r="T24" s="20">
        <f t="shared" si="8"/>
        <v>31.754264805429415</v>
      </c>
      <c r="U24" s="20">
        <f t="shared" si="8"/>
        <v>95.262794416288216</v>
      </c>
      <c r="V24" s="20">
        <f t="shared" si="8"/>
        <v>22.781745930520227</v>
      </c>
      <c r="X24" s="29">
        <f t="shared" si="5"/>
        <v>5053.125</v>
      </c>
      <c r="Y24">
        <v>7</v>
      </c>
      <c r="Z24" s="41">
        <v>0.66666666666666696</v>
      </c>
      <c r="AA24" s="29">
        <f t="shared" si="6"/>
        <v>35.091145833333336</v>
      </c>
      <c r="AI24" s="29"/>
      <c r="AK24" s="43"/>
      <c r="AL24" s="29"/>
      <c r="AO24" s="42"/>
      <c r="AP24" s="29"/>
    </row>
    <row r="25" spans="2:43" x14ac:dyDescent="0.2">
      <c r="C25" s="20">
        <f t="shared" ref="C25:V25" si="9">TAN(RADIANS(C13/2))*$I$29</f>
        <v>22.781745930520227</v>
      </c>
      <c r="D25" s="20">
        <f t="shared" si="9"/>
        <v>31.754264805429415</v>
      </c>
      <c r="E25" s="20">
        <f t="shared" si="9"/>
        <v>31.754264805429415</v>
      </c>
      <c r="F25" s="20">
        <f t="shared" si="9"/>
        <v>95.262794416288216</v>
      </c>
      <c r="G25" s="20">
        <f t="shared" si="9"/>
        <v>31.754264805429415</v>
      </c>
      <c r="H25" s="20">
        <f t="shared" si="9"/>
        <v>95.262794416288216</v>
      </c>
      <c r="I25" s="20">
        <f t="shared" si="9"/>
        <v>31.754264805429415</v>
      </c>
      <c r="J25" s="20">
        <f t="shared" si="9"/>
        <v>95.262794416288216</v>
      </c>
      <c r="K25" s="20">
        <f t="shared" si="9"/>
        <v>22.781745930520227</v>
      </c>
      <c r="L25" s="20">
        <f t="shared" si="9"/>
        <v>95.262794416288216</v>
      </c>
      <c r="M25" s="20">
        <f t="shared" si="9"/>
        <v>22.781745930520227</v>
      </c>
      <c r="N25" s="20">
        <f t="shared" si="9"/>
        <v>95.262794416288216</v>
      </c>
      <c r="O25" s="20">
        <f t="shared" si="9"/>
        <v>22.781745930520227</v>
      </c>
      <c r="P25" s="20">
        <f t="shared" si="9"/>
        <v>31.754264805429415</v>
      </c>
      <c r="Q25" s="20">
        <f t="shared" si="9"/>
        <v>31.754264805429415</v>
      </c>
      <c r="R25" s="20">
        <f t="shared" si="9"/>
        <v>95.262794416288216</v>
      </c>
      <c r="S25" s="20">
        <f t="shared" si="9"/>
        <v>31.754264805429415</v>
      </c>
      <c r="T25" s="20">
        <f t="shared" si="9"/>
        <v>95.262794416288216</v>
      </c>
      <c r="U25" s="20">
        <f t="shared" si="9"/>
        <v>22.781745930520227</v>
      </c>
      <c r="V25" s="20">
        <f t="shared" si="9"/>
        <v>22.781745930520227</v>
      </c>
      <c r="X25" s="29">
        <f t="shared" si="5"/>
        <v>3609.375</v>
      </c>
      <c r="Y25">
        <v>5</v>
      </c>
      <c r="Z25" s="41">
        <v>0.70833333333333304</v>
      </c>
      <c r="AA25" s="29">
        <f t="shared" si="6"/>
        <v>25.065104166666668</v>
      </c>
      <c r="AI25" s="29"/>
      <c r="AK25" s="41"/>
      <c r="AL25" s="29"/>
      <c r="AP25" s="29"/>
      <c r="AQ25" s="29"/>
    </row>
    <row r="26" spans="2:43" x14ac:dyDescent="0.2">
      <c r="C26" s="20">
        <f t="shared" ref="C26:V26" si="10">TAN(RADIANS(C14/2))*$I$29</f>
        <v>95.262794416288216</v>
      </c>
      <c r="D26" s="20">
        <f t="shared" si="10"/>
        <v>22.781745930520227</v>
      </c>
      <c r="E26" s="20">
        <f t="shared" si="10"/>
        <v>95.262794416288216</v>
      </c>
      <c r="F26" s="20">
        <f t="shared" si="10"/>
        <v>22.781745930520227</v>
      </c>
      <c r="G26" s="20">
        <f t="shared" si="10"/>
        <v>95.262794416288216</v>
      </c>
      <c r="H26" s="20">
        <f t="shared" si="10"/>
        <v>22.781745930520227</v>
      </c>
      <c r="I26" s="20">
        <f t="shared" si="10"/>
        <v>95.262794416288216</v>
      </c>
      <c r="J26" s="20">
        <f t="shared" si="10"/>
        <v>22.781745930520227</v>
      </c>
      <c r="K26" s="20">
        <f t="shared" si="10"/>
        <v>95.262794416288216</v>
      </c>
      <c r="L26" s="20">
        <f t="shared" si="10"/>
        <v>22.781745930520227</v>
      </c>
      <c r="M26" s="20">
        <f t="shared" si="10"/>
        <v>95.262794416288216</v>
      </c>
      <c r="N26" s="20">
        <f t="shared" si="10"/>
        <v>22.781745930520227</v>
      </c>
      <c r="O26" s="20">
        <f t="shared" si="10"/>
        <v>95.262794416288216</v>
      </c>
      <c r="P26" s="20">
        <f t="shared" si="10"/>
        <v>22.781745930520227</v>
      </c>
      <c r="Q26" s="20">
        <f t="shared" si="10"/>
        <v>95.262794416288216</v>
      </c>
      <c r="R26" s="20">
        <f t="shared" si="10"/>
        <v>22.781745930520227</v>
      </c>
      <c r="S26" s="20">
        <f t="shared" si="10"/>
        <v>95.262794416288216</v>
      </c>
      <c r="T26" s="20">
        <f t="shared" si="10"/>
        <v>22.781745930520227</v>
      </c>
      <c r="U26" s="20">
        <f t="shared" si="10"/>
        <v>95.262794416288216</v>
      </c>
      <c r="V26" s="20">
        <f t="shared" si="10"/>
        <v>22.781745930520227</v>
      </c>
      <c r="X26" s="29">
        <f t="shared" si="5"/>
        <v>2887.5</v>
      </c>
      <c r="Y26">
        <v>4</v>
      </c>
      <c r="Z26" s="41">
        <v>0.75</v>
      </c>
      <c r="AA26" s="29">
        <f t="shared" si="6"/>
        <v>20.052083333333332</v>
      </c>
      <c r="AI26" s="29"/>
    </row>
    <row r="27" spans="2:43" x14ac:dyDescent="0.2">
      <c r="X27" s="29">
        <f t="shared" si="5"/>
        <v>1443.75</v>
      </c>
      <c r="Y27">
        <v>2</v>
      </c>
      <c r="Z27" s="41">
        <v>0.79166666666666696</v>
      </c>
      <c r="AA27" s="29">
        <f t="shared" si="6"/>
        <v>10.026041666666666</v>
      </c>
      <c r="AI27" s="29"/>
    </row>
    <row r="28" spans="2:43" x14ac:dyDescent="0.2">
      <c r="X28" s="29">
        <f t="shared" si="5"/>
        <v>1443.75</v>
      </c>
      <c r="Y28">
        <v>2</v>
      </c>
      <c r="Z28" s="41">
        <v>0.83333333333333304</v>
      </c>
      <c r="AA28" s="29">
        <f t="shared" si="6"/>
        <v>10.026041666666666</v>
      </c>
      <c r="AI28" s="29"/>
    </row>
    <row r="29" spans="2:43" x14ac:dyDescent="0.2">
      <c r="C29" t="s">
        <v>71</v>
      </c>
      <c r="D29" s="30">
        <f>(80*40*45)/1000</f>
        <v>144</v>
      </c>
      <c r="E29" s="20"/>
      <c r="F29" s="20"/>
      <c r="G29" s="62" t="s">
        <v>72</v>
      </c>
      <c r="H29" s="62"/>
      <c r="I29">
        <v>55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X29" s="29">
        <f t="shared" si="5"/>
        <v>721.875</v>
      </c>
      <c r="Y29">
        <v>1</v>
      </c>
      <c r="Z29" s="41">
        <v>0.875</v>
      </c>
      <c r="AA29" s="29">
        <f t="shared" si="6"/>
        <v>5.013020833333333</v>
      </c>
      <c r="AI29" s="29"/>
    </row>
    <row r="30" spans="2:43" x14ac:dyDescent="0.2">
      <c r="C30" t="s">
        <v>73</v>
      </c>
      <c r="D30" s="30">
        <f>AI9/D29</f>
        <v>40.104166666666664</v>
      </c>
      <c r="G30" t="s">
        <v>74</v>
      </c>
      <c r="H30" t="s">
        <v>75</v>
      </c>
      <c r="I30" t="s">
        <v>76</v>
      </c>
      <c r="X30" s="29">
        <f t="shared" si="5"/>
        <v>721.875</v>
      </c>
      <c r="Y30">
        <v>1</v>
      </c>
      <c r="Z30" s="41">
        <v>0.91666666666666696</v>
      </c>
      <c r="AA30" s="29">
        <f t="shared" si="6"/>
        <v>5.013020833333333</v>
      </c>
      <c r="AI30" s="29"/>
    </row>
    <row r="31" spans="2:43" x14ac:dyDescent="0.2">
      <c r="C31" t="s">
        <v>77</v>
      </c>
      <c r="D31" s="30">
        <f>AI9/10</f>
        <v>577.5</v>
      </c>
      <c r="G31">
        <v>5</v>
      </c>
      <c r="H31" s="25">
        <f t="shared" ref="H31:H39" si="11">TAN(RADIANS(G31/2))</f>
        <v>4.3660942908512058E-2</v>
      </c>
      <c r="I31" s="20">
        <f t="shared" ref="I31:I39" si="12">H31*$I$29*2</f>
        <v>4.8027037199363267</v>
      </c>
      <c r="X31" s="29">
        <f t="shared" si="5"/>
        <v>721.875</v>
      </c>
      <c r="Y31">
        <v>1</v>
      </c>
      <c r="Z31" s="41">
        <v>0.9375</v>
      </c>
      <c r="AA31" s="29">
        <f t="shared" si="6"/>
        <v>5.013020833333333</v>
      </c>
      <c r="AI31" s="29"/>
      <c r="AK31" s="41"/>
      <c r="AL31" s="29"/>
      <c r="AO31" s="45"/>
    </row>
    <row r="32" spans="2:43" x14ac:dyDescent="0.2">
      <c r="C32" t="s">
        <v>78</v>
      </c>
      <c r="D32" s="24">
        <f>AG9/D29</f>
        <v>0.55555555555555558</v>
      </c>
      <c r="G32">
        <v>8</v>
      </c>
      <c r="H32" s="25">
        <f t="shared" si="11"/>
        <v>6.9926811943510414E-2</v>
      </c>
      <c r="I32" s="20">
        <f t="shared" si="12"/>
        <v>7.6919493137861457</v>
      </c>
    </row>
    <row r="33" spans="2:44" x14ac:dyDescent="0.2">
      <c r="B33" s="46"/>
      <c r="C33" s="46"/>
      <c r="D33" s="46"/>
      <c r="E33" s="46"/>
      <c r="F33" s="46"/>
      <c r="G33">
        <v>15</v>
      </c>
      <c r="H33" s="25">
        <f t="shared" si="11"/>
        <v>0.13165249758739583</v>
      </c>
      <c r="I33" s="20">
        <f t="shared" si="12"/>
        <v>14.481774734613541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AR33" s="47"/>
    </row>
    <row r="34" spans="2:44" x14ac:dyDescent="0.2">
      <c r="B34" s="40"/>
      <c r="C34" s="40"/>
      <c r="D34" s="40"/>
      <c r="E34" s="40"/>
      <c r="F34" s="40"/>
      <c r="G34">
        <v>25</v>
      </c>
      <c r="H34" s="25">
        <f t="shared" si="11"/>
        <v>0.22169466264293988</v>
      </c>
      <c r="I34" s="20">
        <f t="shared" si="12"/>
        <v>24.386412890723388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AC34" s="63" t="s">
        <v>79</v>
      </c>
      <c r="AD34" s="63"/>
      <c r="AE34" s="63"/>
      <c r="AF34" s="63"/>
      <c r="AG34" s="63"/>
      <c r="AH34" s="63"/>
    </row>
    <row r="35" spans="2:44" x14ac:dyDescent="0.2">
      <c r="B35" s="40"/>
      <c r="C35" s="40"/>
      <c r="D35" s="40"/>
      <c r="E35" s="40"/>
      <c r="F35" s="40"/>
      <c r="G35" s="28">
        <v>30</v>
      </c>
      <c r="H35" s="48">
        <f t="shared" si="11"/>
        <v>0.2679491924311227</v>
      </c>
      <c r="I35" s="49">
        <f t="shared" si="12"/>
        <v>29.474411167423497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AC35" s="26"/>
      <c r="AD35" s="26" t="s">
        <v>51</v>
      </c>
      <c r="AE35" s="26" t="s">
        <v>80</v>
      </c>
      <c r="AF35" s="26" t="s">
        <v>81</v>
      </c>
      <c r="AG35" s="26" t="s">
        <v>82</v>
      </c>
      <c r="AH35" s="26"/>
    </row>
    <row r="36" spans="2:44" x14ac:dyDescent="0.2">
      <c r="B36" s="40"/>
      <c r="C36" s="40"/>
      <c r="D36" s="40"/>
      <c r="E36" s="40"/>
      <c r="F36" s="40"/>
      <c r="G36" s="28">
        <v>45</v>
      </c>
      <c r="H36" s="48">
        <f t="shared" si="11"/>
        <v>0.41421356237309503</v>
      </c>
      <c r="I36" s="49">
        <f t="shared" si="12"/>
        <v>45.563491861040454</v>
      </c>
      <c r="J36" s="40"/>
      <c r="K36" s="40"/>
      <c r="L36" s="40"/>
      <c r="M36" s="40"/>
      <c r="N36" s="40"/>
      <c r="O36" s="40"/>
      <c r="P36" s="40"/>
      <c r="AC36" s="28" t="s">
        <v>54</v>
      </c>
      <c r="AD36">
        <v>3.3</v>
      </c>
      <c r="AE36">
        <v>6</v>
      </c>
      <c r="AF36" s="29">
        <f t="shared" ref="AF36:AF41" si="13">Y3/AE36</f>
        <v>1</v>
      </c>
      <c r="AG36" s="29">
        <f t="shared" ref="AG36:AG41" si="14">AE36*AD36</f>
        <v>19.799999999999997</v>
      </c>
    </row>
    <row r="37" spans="2:44" x14ac:dyDescent="0.2">
      <c r="B37" s="40"/>
      <c r="C37" s="40"/>
      <c r="D37" s="40"/>
      <c r="E37" s="40"/>
      <c r="F37" s="40"/>
      <c r="G37" s="28">
        <v>60</v>
      </c>
      <c r="H37" s="48">
        <f t="shared" si="11"/>
        <v>0.57735026918962573</v>
      </c>
      <c r="I37" s="49">
        <f t="shared" si="12"/>
        <v>63.50852961085883</v>
      </c>
      <c r="J37" s="40"/>
      <c r="K37" s="40"/>
      <c r="L37" s="40"/>
      <c r="M37" s="40"/>
      <c r="N37" s="40"/>
      <c r="O37" s="40"/>
      <c r="P37" s="40"/>
      <c r="AC37" s="28" t="s">
        <v>58</v>
      </c>
      <c r="AD37">
        <v>3.3</v>
      </c>
      <c r="AE37" s="29">
        <v>2</v>
      </c>
      <c r="AF37" s="29">
        <f t="shared" si="13"/>
        <v>1</v>
      </c>
      <c r="AG37" s="29">
        <f t="shared" si="14"/>
        <v>6.6</v>
      </c>
    </row>
    <row r="38" spans="2:44" x14ac:dyDescent="0.2">
      <c r="C38" s="44"/>
      <c r="G38">
        <v>90</v>
      </c>
      <c r="H38" s="25">
        <f t="shared" si="11"/>
        <v>0.99999999999999989</v>
      </c>
      <c r="I38" s="20">
        <f t="shared" si="12"/>
        <v>109.99999999999999</v>
      </c>
      <c r="AC38" s="28" t="s">
        <v>55</v>
      </c>
      <c r="AD38">
        <v>3.3</v>
      </c>
      <c r="AE38" s="29">
        <v>8</v>
      </c>
      <c r="AF38" s="29">
        <f t="shared" si="13"/>
        <v>4.875</v>
      </c>
      <c r="AG38" s="29">
        <f t="shared" si="14"/>
        <v>26.4</v>
      </c>
    </row>
    <row r="39" spans="2:44" x14ac:dyDescent="0.2">
      <c r="G39">
        <v>120</v>
      </c>
      <c r="H39" s="25">
        <f t="shared" si="11"/>
        <v>1.7320508075688767</v>
      </c>
      <c r="I39" s="20">
        <f t="shared" si="12"/>
        <v>190.52558883257643</v>
      </c>
      <c r="AC39" s="28" t="s">
        <v>57</v>
      </c>
      <c r="AD39">
        <v>3.3</v>
      </c>
      <c r="AE39" s="29">
        <v>8</v>
      </c>
      <c r="AF39" s="29">
        <f t="shared" si="13"/>
        <v>2</v>
      </c>
      <c r="AG39" s="29">
        <f t="shared" si="14"/>
        <v>26.4</v>
      </c>
    </row>
    <row r="40" spans="2:44" x14ac:dyDescent="0.2">
      <c r="AC40" s="28" t="s">
        <v>56</v>
      </c>
      <c r="AD40">
        <v>2.2999999999999998</v>
      </c>
      <c r="AE40" s="29">
        <v>8</v>
      </c>
      <c r="AF40" s="29">
        <f t="shared" si="13"/>
        <v>1.875</v>
      </c>
      <c r="AG40" s="29">
        <f t="shared" si="14"/>
        <v>18.399999999999999</v>
      </c>
    </row>
    <row r="41" spans="2:44" x14ac:dyDescent="0.2">
      <c r="X41" s="29"/>
      <c r="Z41" s="41"/>
      <c r="AC41" s="50" t="s">
        <v>59</v>
      </c>
      <c r="AD41" s="51">
        <v>3.3</v>
      </c>
      <c r="AE41" s="52">
        <v>2</v>
      </c>
      <c r="AF41" s="52">
        <f t="shared" si="13"/>
        <v>1</v>
      </c>
      <c r="AG41" s="52">
        <f t="shared" si="14"/>
        <v>6.6</v>
      </c>
    </row>
    <row r="42" spans="2:44" x14ac:dyDescent="0.2">
      <c r="X42" s="29"/>
      <c r="Z42" s="41"/>
      <c r="AD42" s="45"/>
      <c r="AF42" s="29">
        <f>SUM(AF36:AF41)</f>
        <v>11.75</v>
      </c>
    </row>
  </sheetData>
  <mergeCells count="9">
    <mergeCell ref="C16:V16"/>
    <mergeCell ref="C22:V22"/>
    <mergeCell ref="G29:H29"/>
    <mergeCell ref="AC34:AH34"/>
    <mergeCell ref="C2:V2"/>
    <mergeCell ref="X2:Z2"/>
    <mergeCell ref="AB2:AD2"/>
    <mergeCell ref="C10:V10"/>
    <mergeCell ref="X13:AG13"/>
  </mergeCells>
  <conditionalFormatting sqref="C4:V7 C16">
    <cfRule type="containsText" dxfId="14" priority="2" operator="containsText" text="IR"/>
    <cfRule type="containsText" dxfId="13" priority="3" operator="containsText" text="R"/>
    <cfRule type="containsText" dxfId="12" priority="4" operator="containsText" text="B"/>
    <cfRule type="containsText" dxfId="11" priority="5" operator="containsText" text="UV"/>
    <cfRule type="containsText" dxfId="10" priority="6" operator="containsText" text="G"/>
  </conditionalFormatting>
  <conditionalFormatting sqref="C10">
    <cfRule type="containsText" dxfId="9" priority="7" operator="containsText" text="IR"/>
    <cfRule type="containsText" dxfId="8" priority="8" operator="containsText" text="R"/>
    <cfRule type="containsText" dxfId="7" priority="9" operator="containsText" text="B"/>
    <cfRule type="containsText" dxfId="6" priority="10" operator="containsText" text="UV"/>
    <cfRule type="containsText" dxfId="5" priority="11" operator="containsText" text="G"/>
  </conditionalFormatting>
  <conditionalFormatting sqref="C17:V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ntainsText" dxfId="4" priority="13" operator="containsText" text="IR"/>
    <cfRule type="containsText" dxfId="3" priority="14" operator="containsText" text="R"/>
    <cfRule type="containsText" dxfId="2" priority="15" operator="containsText" text="B"/>
    <cfRule type="containsText" dxfId="1" priority="16" operator="containsText" text="UV"/>
    <cfRule type="containsText" dxfId="0" priority="17" operator="containsText" text="G"/>
  </conditionalFormatting>
  <conditionalFormatting sqref="V34:V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V14">
    <cfRule type="colorScale" priority="19">
      <colorScale>
        <cfvo type="min"/>
        <cfvo type="max"/>
        <color rgb="FF63BE7B"/>
        <color rgb="FFFCFCFF"/>
      </colorScale>
    </cfRule>
  </conditionalFormatting>
  <conditionalFormatting sqref="C23:V2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zoomScaleNormal="100" workbookViewId="0">
      <selection activeCell="F29" sqref="F29"/>
    </sheetView>
  </sheetViews>
  <sheetFormatPr baseColWidth="10" defaultColWidth="8.83203125" defaultRowHeight="15" x14ac:dyDescent="0.2"/>
  <cols>
    <col min="1" max="1" width="2.83203125" customWidth="1"/>
    <col min="2" max="2" width="21.1640625" customWidth="1"/>
    <col min="3" max="3" width="6.33203125" customWidth="1"/>
    <col min="4" max="4" width="8" customWidth="1"/>
    <col min="5" max="5" width="3.6640625" customWidth="1"/>
    <col min="6" max="6" width="5" customWidth="1"/>
    <col min="7" max="1025" width="10.6640625" customWidth="1"/>
  </cols>
  <sheetData>
    <row r="2" spans="2:4" x14ac:dyDescent="0.2">
      <c r="B2" s="27"/>
      <c r="C2" s="26" t="s">
        <v>83</v>
      </c>
      <c r="D2" s="26" t="s">
        <v>84</v>
      </c>
    </row>
    <row r="3" spans="2:4" x14ac:dyDescent="0.2">
      <c r="B3" s="53" t="s">
        <v>44</v>
      </c>
      <c r="C3" s="34">
        <v>8</v>
      </c>
      <c r="D3" s="54">
        <v>0</v>
      </c>
    </row>
    <row r="4" spans="2:4" x14ac:dyDescent="0.2">
      <c r="B4" s="55" t="s">
        <v>85</v>
      </c>
      <c r="C4">
        <v>1</v>
      </c>
      <c r="D4" s="56">
        <v>1</v>
      </c>
    </row>
    <row r="5" spans="2:4" x14ac:dyDescent="0.2">
      <c r="B5" s="55" t="s">
        <v>86</v>
      </c>
      <c r="C5">
        <v>1</v>
      </c>
      <c r="D5" s="56">
        <v>1</v>
      </c>
    </row>
    <row r="6" spans="2:4" x14ac:dyDescent="0.2">
      <c r="B6" s="55" t="s">
        <v>87</v>
      </c>
      <c r="C6">
        <v>1</v>
      </c>
      <c r="D6" s="56">
        <v>1</v>
      </c>
    </row>
    <row r="7" spans="2:4" x14ac:dyDescent="0.2">
      <c r="B7" s="55" t="s">
        <v>88</v>
      </c>
      <c r="C7">
        <v>1</v>
      </c>
      <c r="D7" s="56">
        <v>0</v>
      </c>
    </row>
    <row r="8" spans="2:4" x14ac:dyDescent="0.2">
      <c r="B8" s="55" t="s">
        <v>89</v>
      </c>
      <c r="C8">
        <v>1</v>
      </c>
      <c r="D8" s="56">
        <v>0</v>
      </c>
    </row>
    <row r="9" spans="2:4" x14ac:dyDescent="0.2">
      <c r="B9" s="55" t="s">
        <v>90</v>
      </c>
      <c r="C9">
        <v>0</v>
      </c>
      <c r="D9" s="56">
        <v>0</v>
      </c>
    </row>
    <row r="10" spans="2:4" x14ac:dyDescent="0.2">
      <c r="B10" s="54"/>
      <c r="C10" s="33">
        <f>SUM(C3:C9)</f>
        <v>13</v>
      </c>
      <c r="D10" s="53">
        <f>SUM(D3:D9)</f>
        <v>3</v>
      </c>
    </row>
    <row r="13" spans="2:4" x14ac:dyDescent="0.2">
      <c r="B13" s="26"/>
      <c r="C13" s="26" t="s">
        <v>91</v>
      </c>
      <c r="D13" s="26"/>
    </row>
    <row r="14" spans="2:4" x14ac:dyDescent="0.2">
      <c r="B14" s="28" t="s">
        <v>92</v>
      </c>
      <c r="C14">
        <v>3</v>
      </c>
    </row>
    <row r="15" spans="2:4" x14ac:dyDescent="0.2">
      <c r="B15" s="28" t="s">
        <v>93</v>
      </c>
      <c r="C15">
        <v>1</v>
      </c>
    </row>
    <row r="16" spans="2:4" x14ac:dyDescent="0.2">
      <c r="B16" s="28" t="s">
        <v>94</v>
      </c>
      <c r="C16">
        <v>1</v>
      </c>
    </row>
    <row r="19" spans="2:7" x14ac:dyDescent="0.2">
      <c r="B19" s="27" t="s">
        <v>95</v>
      </c>
      <c r="C19" s="27" t="s">
        <v>96</v>
      </c>
      <c r="D19" s="27" t="s">
        <v>97</v>
      </c>
    </row>
    <row r="20" spans="2:7" x14ac:dyDescent="0.2">
      <c r="B20" s="28" t="s">
        <v>98</v>
      </c>
      <c r="C20">
        <v>3</v>
      </c>
    </row>
    <row r="21" spans="2:7" x14ac:dyDescent="0.2">
      <c r="B21" t="s">
        <v>99</v>
      </c>
      <c r="C21">
        <v>1</v>
      </c>
      <c r="D21" t="s">
        <v>100</v>
      </c>
    </row>
    <row r="22" spans="2:7" x14ac:dyDescent="0.2">
      <c r="B22" t="s">
        <v>101</v>
      </c>
      <c r="C22">
        <v>1</v>
      </c>
      <c r="D22" t="s">
        <v>102</v>
      </c>
    </row>
    <row r="23" spans="2:7" x14ac:dyDescent="0.2">
      <c r="B23" t="s">
        <v>103</v>
      </c>
      <c r="C23">
        <v>1</v>
      </c>
      <c r="D23" t="s">
        <v>104</v>
      </c>
    </row>
    <row r="26" spans="2:7" x14ac:dyDescent="0.2">
      <c r="B26" s="26" t="s">
        <v>105</v>
      </c>
      <c r="C26" s="26" t="s">
        <v>106</v>
      </c>
      <c r="D26" s="26" t="s">
        <v>107</v>
      </c>
      <c r="E26" s="26" t="s">
        <v>108</v>
      </c>
      <c r="F26" s="26" t="s">
        <v>48</v>
      </c>
    </row>
    <row r="27" spans="2:7" x14ac:dyDescent="0.2">
      <c r="B27" t="s">
        <v>44</v>
      </c>
      <c r="C27">
        <v>1</v>
      </c>
      <c r="D27">
        <v>8</v>
      </c>
      <c r="E27">
        <v>0</v>
      </c>
      <c r="F27">
        <f t="shared" ref="F27:F32" si="0">E27+D27+C27</f>
        <v>9</v>
      </c>
      <c r="G27" t="s">
        <v>109</v>
      </c>
    </row>
    <row r="28" spans="2:7" x14ac:dyDescent="0.2">
      <c r="B28" t="s">
        <v>93</v>
      </c>
      <c r="E28">
        <v>1</v>
      </c>
      <c r="F28">
        <f t="shared" si="0"/>
        <v>1</v>
      </c>
      <c r="G28" t="s">
        <v>110</v>
      </c>
    </row>
    <row r="29" spans="2:7" x14ac:dyDescent="0.2">
      <c r="B29" t="s">
        <v>111</v>
      </c>
      <c r="C29">
        <v>1</v>
      </c>
      <c r="D29">
        <v>1</v>
      </c>
      <c r="E29">
        <v>1</v>
      </c>
      <c r="F29">
        <f t="shared" si="0"/>
        <v>3</v>
      </c>
      <c r="G29" t="s">
        <v>110</v>
      </c>
    </row>
    <row r="30" spans="2:7" x14ac:dyDescent="0.2">
      <c r="B30" t="s">
        <v>112</v>
      </c>
      <c r="E30">
        <v>1</v>
      </c>
      <c r="F30">
        <f t="shared" si="0"/>
        <v>1</v>
      </c>
      <c r="G30" t="s">
        <v>110</v>
      </c>
    </row>
    <row r="31" spans="2:7" x14ac:dyDescent="0.2">
      <c r="B31" t="s">
        <v>113</v>
      </c>
      <c r="E31">
        <v>1</v>
      </c>
      <c r="F31">
        <f t="shared" si="0"/>
        <v>1</v>
      </c>
      <c r="G31" t="s">
        <v>110</v>
      </c>
    </row>
    <row r="32" spans="2:7" x14ac:dyDescent="0.2">
      <c r="B32" t="s">
        <v>114</v>
      </c>
      <c r="E32">
        <v>2</v>
      </c>
      <c r="F32">
        <f t="shared" si="0"/>
        <v>2</v>
      </c>
      <c r="G32" t="s">
        <v>110</v>
      </c>
    </row>
    <row r="34" spans="2:7" x14ac:dyDescent="0.2">
      <c r="B34" s="33" t="s">
        <v>48</v>
      </c>
      <c r="C34" s="33">
        <f>SUM(C27:C33)</f>
        <v>2</v>
      </c>
      <c r="D34" s="33">
        <f>SUM(D27:D33)</f>
        <v>9</v>
      </c>
      <c r="E34" s="33">
        <f>SUM(E27:E33)</f>
        <v>6</v>
      </c>
      <c r="F34" s="33">
        <f>SUM(F27:F33)</f>
        <v>17</v>
      </c>
      <c r="G34" s="5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40"/>
  <sheetViews>
    <sheetView tabSelected="1" zoomScaleNormal="100" workbookViewId="0">
      <selection activeCell="R13" sqref="R13"/>
    </sheetView>
  </sheetViews>
  <sheetFormatPr baseColWidth="10" defaultColWidth="8.83203125" defaultRowHeight="15" x14ac:dyDescent="0.2"/>
  <cols>
    <col min="1" max="17" width="3" customWidth="1"/>
  </cols>
  <sheetData>
    <row r="2" spans="1:18" x14ac:dyDescent="0.2">
      <c r="A2" s="64" t="s">
        <v>115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8" x14ac:dyDescent="0.2">
      <c r="A3" t="s">
        <v>116</v>
      </c>
      <c r="B3" t="s">
        <v>117</v>
      </c>
      <c r="C3" t="s">
        <v>118</v>
      </c>
      <c r="D3">
        <v>1</v>
      </c>
      <c r="E3">
        <v>5</v>
      </c>
      <c r="F3" t="s">
        <v>119</v>
      </c>
      <c r="G3" t="s">
        <v>120</v>
      </c>
      <c r="H3" t="s">
        <v>121</v>
      </c>
      <c r="J3" t="s">
        <v>137</v>
      </c>
      <c r="K3" t="s">
        <v>137</v>
      </c>
      <c r="L3" t="s">
        <v>137</v>
      </c>
      <c r="M3" s="58">
        <v>1</v>
      </c>
      <c r="N3" s="58">
        <v>1</v>
      </c>
      <c r="O3" t="s">
        <v>131</v>
      </c>
      <c r="P3">
        <v>3</v>
      </c>
      <c r="Q3">
        <v>0</v>
      </c>
    </row>
    <row r="4" spans="1:18" x14ac:dyDescent="0.2">
      <c r="A4" t="s">
        <v>123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L4" t="s">
        <v>137</v>
      </c>
      <c r="M4" t="s">
        <v>137</v>
      </c>
      <c r="N4" t="s">
        <v>137</v>
      </c>
      <c r="O4">
        <v>2</v>
      </c>
      <c r="P4">
        <v>5</v>
      </c>
      <c r="Q4" t="s">
        <v>122</v>
      </c>
    </row>
    <row r="5" spans="1:18" x14ac:dyDescent="0.2">
      <c r="M5" s="58"/>
      <c r="N5" s="58"/>
    </row>
    <row r="6" spans="1:18" x14ac:dyDescent="0.2">
      <c r="A6" s="64" t="s">
        <v>127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18" x14ac:dyDescent="0.2">
      <c r="D7">
        <v>1</v>
      </c>
      <c r="E7">
        <v>2</v>
      </c>
      <c r="F7" t="s">
        <v>128</v>
      </c>
      <c r="G7" t="s">
        <v>129</v>
      </c>
      <c r="H7" t="s">
        <v>118</v>
      </c>
      <c r="I7" t="s">
        <v>130</v>
      </c>
      <c r="J7" t="s">
        <v>128</v>
      </c>
      <c r="K7">
        <v>2</v>
      </c>
      <c r="L7" s="58">
        <v>0</v>
      </c>
      <c r="M7" s="58">
        <v>1</v>
      </c>
      <c r="N7">
        <v>8</v>
      </c>
    </row>
    <row r="8" spans="1:18" x14ac:dyDescent="0.2">
      <c r="G8">
        <v>1</v>
      </c>
      <c r="H8">
        <v>4</v>
      </c>
      <c r="I8" t="s">
        <v>131</v>
      </c>
      <c r="J8">
        <v>3</v>
      </c>
      <c r="K8">
        <v>0</v>
      </c>
      <c r="O8" s="59"/>
    </row>
    <row r="10" spans="1:18" x14ac:dyDescent="0.2">
      <c r="A10" s="64" t="s">
        <v>142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18" x14ac:dyDescent="0.2">
      <c r="A11" t="s">
        <v>116</v>
      </c>
      <c r="B11" t="s">
        <v>120</v>
      </c>
      <c r="C11" t="s">
        <v>143</v>
      </c>
      <c r="D11" t="s">
        <v>144</v>
      </c>
      <c r="E11" t="s">
        <v>131</v>
      </c>
      <c r="F11">
        <v>4</v>
      </c>
      <c r="G11">
        <v>5</v>
      </c>
      <c r="H11" t="s">
        <v>122</v>
      </c>
      <c r="K11" t="s">
        <v>124</v>
      </c>
      <c r="L11" t="s">
        <v>149</v>
      </c>
      <c r="M11" t="s">
        <v>146</v>
      </c>
      <c r="N11" t="s">
        <v>131</v>
      </c>
      <c r="O11">
        <v>1</v>
      </c>
      <c r="P11">
        <v>2</v>
      </c>
      <c r="Q11">
        <v>3</v>
      </c>
    </row>
    <row r="12" spans="1:18" x14ac:dyDescent="0.2">
      <c r="A12" t="s">
        <v>119</v>
      </c>
      <c r="B12" t="s">
        <v>130</v>
      </c>
      <c r="C12" t="s">
        <v>143</v>
      </c>
      <c r="D12" t="s">
        <v>131</v>
      </c>
      <c r="E12">
        <v>1</v>
      </c>
      <c r="F12">
        <v>2</v>
      </c>
      <c r="G12">
        <v>3</v>
      </c>
      <c r="H12">
        <v>4</v>
      </c>
      <c r="I12">
        <v>5</v>
      </c>
    </row>
    <row r="13" spans="1:18" x14ac:dyDescent="0.2">
      <c r="R13" t="s">
        <v>155</v>
      </c>
    </row>
    <row r="14" spans="1:18" x14ac:dyDescent="0.2">
      <c r="A14" s="64" t="s">
        <v>132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18" x14ac:dyDescent="0.2">
      <c r="C15" t="s">
        <v>123</v>
      </c>
      <c r="D15" t="s">
        <v>120</v>
      </c>
      <c r="E15" t="s">
        <v>126</v>
      </c>
      <c r="F15" t="s">
        <v>130</v>
      </c>
      <c r="G15" t="s">
        <v>126</v>
      </c>
      <c r="I15" t="s">
        <v>133</v>
      </c>
      <c r="J15" t="s">
        <v>117</v>
      </c>
      <c r="K15" t="s">
        <v>134</v>
      </c>
      <c r="L15" t="s">
        <v>135</v>
      </c>
    </row>
    <row r="16" spans="1:18" x14ac:dyDescent="0.2">
      <c r="C16" t="s">
        <v>136</v>
      </c>
      <c r="D16" t="s">
        <v>118</v>
      </c>
      <c r="E16" t="s">
        <v>137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</row>
    <row r="18" spans="1:17" x14ac:dyDescent="0.2">
      <c r="A18" s="64" t="s">
        <v>138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17" x14ac:dyDescent="0.2">
      <c r="C19" t="s">
        <v>123</v>
      </c>
      <c r="D19" t="s">
        <v>120</v>
      </c>
      <c r="E19" t="s">
        <v>126</v>
      </c>
      <c r="F19" t="s">
        <v>130</v>
      </c>
      <c r="G19" t="s">
        <v>126</v>
      </c>
      <c r="I19" t="s">
        <v>119</v>
      </c>
      <c r="J19" t="s">
        <v>120</v>
      </c>
      <c r="K19" t="s">
        <v>118</v>
      </c>
      <c r="L19" t="s">
        <v>117</v>
      </c>
      <c r="M19" t="s">
        <v>120</v>
      </c>
      <c r="N19" t="s">
        <v>140</v>
      </c>
    </row>
    <row r="20" spans="1:17" x14ac:dyDescent="0.2">
      <c r="C20" t="s">
        <v>136</v>
      </c>
      <c r="D20" t="s">
        <v>118</v>
      </c>
      <c r="E20" t="s">
        <v>137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</row>
    <row r="22" spans="1:17" x14ac:dyDescent="0.2">
      <c r="A22" s="64" t="s">
        <v>88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1:17" x14ac:dyDescent="0.2">
      <c r="E23" t="s">
        <v>139</v>
      </c>
      <c r="F23" t="s">
        <v>136</v>
      </c>
      <c r="G23">
        <v>2</v>
      </c>
      <c r="I23" t="s">
        <v>133</v>
      </c>
      <c r="J23" t="s">
        <v>117</v>
      </c>
      <c r="K23" t="s">
        <v>134</v>
      </c>
      <c r="L23" t="s">
        <v>135</v>
      </c>
    </row>
    <row r="24" spans="1:17" x14ac:dyDescent="0.2">
      <c r="A24" t="s">
        <v>136</v>
      </c>
      <c r="B24" t="s">
        <v>118</v>
      </c>
      <c r="C24" t="s">
        <v>131</v>
      </c>
      <c r="D24">
        <v>0</v>
      </c>
      <c r="E24">
        <v>7</v>
      </c>
      <c r="F24" t="s">
        <v>131</v>
      </c>
      <c r="G24">
        <v>0</v>
      </c>
      <c r="H24">
        <v>0</v>
      </c>
      <c r="I24" t="s">
        <v>137</v>
      </c>
      <c r="J24" t="s">
        <v>134</v>
      </c>
      <c r="K24" t="s">
        <v>135</v>
      </c>
      <c r="L24" t="s">
        <v>137</v>
      </c>
      <c r="M24">
        <v>1</v>
      </c>
      <c r="N24">
        <v>1</v>
      </c>
      <c r="O24" t="s">
        <v>131</v>
      </c>
      <c r="P24">
        <v>0</v>
      </c>
      <c r="Q24">
        <v>0</v>
      </c>
    </row>
    <row r="25" spans="1:17" x14ac:dyDescent="0.2">
      <c r="J25" s="59"/>
    </row>
    <row r="26" spans="1:17" x14ac:dyDescent="0.2">
      <c r="A26" s="64" t="s">
        <v>148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17" x14ac:dyDescent="0.2">
      <c r="E27" t="s">
        <v>139</v>
      </c>
      <c r="F27" t="s">
        <v>136</v>
      </c>
      <c r="G27">
        <v>2</v>
      </c>
      <c r="I27" t="s">
        <v>119</v>
      </c>
      <c r="J27" t="s">
        <v>120</v>
      </c>
      <c r="K27" t="s">
        <v>118</v>
      </c>
      <c r="L27" t="s">
        <v>117</v>
      </c>
      <c r="M27" t="s">
        <v>120</v>
      </c>
      <c r="N27" t="s">
        <v>140</v>
      </c>
    </row>
    <row r="28" spans="1:17" x14ac:dyDescent="0.2">
      <c r="E28" t="s">
        <v>137</v>
      </c>
      <c r="H28" t="s">
        <v>136</v>
      </c>
      <c r="I28" t="s">
        <v>141</v>
      </c>
      <c r="J28" t="s">
        <v>141</v>
      </c>
    </row>
    <row r="30" spans="1:17" x14ac:dyDescent="0.2">
      <c r="A30" s="64" t="s">
        <v>93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</row>
    <row r="31" spans="1:17" x14ac:dyDescent="0.2">
      <c r="A31" t="s">
        <v>124</v>
      </c>
      <c r="B31" t="s">
        <v>149</v>
      </c>
      <c r="C31" t="s">
        <v>146</v>
      </c>
      <c r="E31" t="s">
        <v>137</v>
      </c>
      <c r="F31" t="s">
        <v>139</v>
      </c>
      <c r="G31" t="s">
        <v>120</v>
      </c>
      <c r="H31" t="s">
        <v>140</v>
      </c>
      <c r="I31" t="s">
        <v>145</v>
      </c>
      <c r="J31" t="s">
        <v>151</v>
      </c>
      <c r="K31" t="s">
        <v>121</v>
      </c>
      <c r="L31" t="s">
        <v>120</v>
      </c>
      <c r="M31" t="s">
        <v>134</v>
      </c>
      <c r="N31" t="s">
        <v>145</v>
      </c>
      <c r="O31" t="s">
        <v>135</v>
      </c>
      <c r="P31" t="s">
        <v>118</v>
      </c>
    </row>
    <row r="32" spans="1:17" x14ac:dyDescent="0.2">
      <c r="A32" t="s">
        <v>152</v>
      </c>
      <c r="B32" t="s">
        <v>153</v>
      </c>
      <c r="C32" t="s">
        <v>135</v>
      </c>
      <c r="D32" t="s">
        <v>118</v>
      </c>
      <c r="F32" t="s">
        <v>147</v>
      </c>
      <c r="G32" t="s">
        <v>143</v>
      </c>
      <c r="H32" t="s">
        <v>144</v>
      </c>
      <c r="I32" t="s">
        <v>140</v>
      </c>
      <c r="J32" t="s">
        <v>130</v>
      </c>
      <c r="K32" t="s">
        <v>143</v>
      </c>
      <c r="L32" t="s">
        <v>130</v>
      </c>
      <c r="M32" t="s">
        <v>118</v>
      </c>
      <c r="N32" t="s">
        <v>134</v>
      </c>
      <c r="O32" t="s">
        <v>130</v>
      </c>
      <c r="P32" t="s">
        <v>125</v>
      </c>
      <c r="Q32" t="s">
        <v>154</v>
      </c>
    </row>
    <row r="33" spans="1:17" x14ac:dyDescent="0.2">
      <c r="J33" s="59"/>
    </row>
    <row r="34" spans="1:17" x14ac:dyDescent="0.2">
      <c r="A34" s="64" t="s">
        <v>148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8" spans="1:17" x14ac:dyDescent="0.2">
      <c r="A38" s="64" t="s">
        <v>150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</row>
    <row r="39" spans="1:17" x14ac:dyDescent="0.2">
      <c r="D39" t="s">
        <v>123</v>
      </c>
      <c r="E39" t="s">
        <v>135</v>
      </c>
      <c r="F39" t="s">
        <v>134</v>
      </c>
      <c r="G39" t="s">
        <v>135</v>
      </c>
      <c r="H39" t="s">
        <v>144</v>
      </c>
      <c r="I39" t="s">
        <v>130</v>
      </c>
      <c r="J39" t="s">
        <v>121</v>
      </c>
      <c r="K39" t="s">
        <v>145</v>
      </c>
      <c r="L39" t="s">
        <v>135</v>
      </c>
      <c r="M39" t="s">
        <v>125</v>
      </c>
      <c r="N39" t="s">
        <v>135</v>
      </c>
    </row>
    <row r="40" spans="1:17" x14ac:dyDescent="0.2">
      <c r="B40" t="s">
        <v>146</v>
      </c>
      <c r="C40" t="s">
        <v>145</v>
      </c>
      <c r="D40" t="s">
        <v>118</v>
      </c>
      <c r="F40" t="s">
        <v>147</v>
      </c>
      <c r="G40" t="s">
        <v>143</v>
      </c>
      <c r="H40" t="s">
        <v>144</v>
      </c>
      <c r="I40" t="s">
        <v>140</v>
      </c>
      <c r="J40" t="s">
        <v>130</v>
      </c>
      <c r="K40" t="s">
        <v>143</v>
      </c>
      <c r="L40" t="s">
        <v>130</v>
      </c>
      <c r="M40" t="s">
        <v>118</v>
      </c>
      <c r="N40" t="s">
        <v>134</v>
      </c>
      <c r="O40" t="s">
        <v>120</v>
      </c>
      <c r="P40" t="s">
        <v>121</v>
      </c>
    </row>
  </sheetData>
  <mergeCells count="10">
    <mergeCell ref="A2:Q2"/>
    <mergeCell ref="A6:Q6"/>
    <mergeCell ref="A14:Q14"/>
    <mergeCell ref="A18:Q18"/>
    <mergeCell ref="A22:Q22"/>
    <mergeCell ref="A26:Q26"/>
    <mergeCell ref="A10:Q10"/>
    <mergeCell ref="A38:Q38"/>
    <mergeCell ref="A30:Q30"/>
    <mergeCell ref="A34:Q3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Lumens</vt:lpstr>
      <vt:lpstr>Calculus</vt:lpstr>
      <vt:lpstr>Design</vt:lpstr>
      <vt:lpstr>Arduino</vt:lpstr>
      <vt:lpstr>Screens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Fernandez</dc:creator>
  <dc:description/>
  <cp:lastModifiedBy>Microsoft Office User</cp:lastModifiedBy>
  <cp:revision>1</cp:revision>
  <dcterms:created xsi:type="dcterms:W3CDTF">2016-11-28T18:35:30Z</dcterms:created>
  <dcterms:modified xsi:type="dcterms:W3CDTF">2018-11-08T20:28:02Z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