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comments2.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1108"/>
  <workbookPr autoCompressPictures="0"/>
  <mc:AlternateContent xmlns:mc="http://schemas.openxmlformats.org/markup-compatibility/2006">
    <mc:Choice Requires="x15">
      <x15ac:absPath xmlns:x15ac="http://schemas.microsoft.com/office/spreadsheetml/2010/11/ac" url="/Users/RidgeSchuyler/Dropbox/Orange Dot Project/Overview/Overview Final/Self-Sufficiency Expenses/2020 Self-Sufficiency Expenses/"/>
    </mc:Choice>
  </mc:AlternateContent>
  <xr:revisionPtr revIDLastSave="0" documentId="13_ncr:1_{E066E277-285C-7741-9D48-02BACAF2B05E}" xr6:coauthVersionLast="45" xr6:coauthVersionMax="45" xr10:uidLastSave="{00000000-0000-0000-0000-000000000000}"/>
  <bookViews>
    <workbookView xWindow="0" yWindow="460" windowWidth="25600" windowHeight="15540" activeTab="2" xr2:uid="{00000000-000D-0000-FFFF-FFFF00000000}"/>
  </bookViews>
  <sheets>
    <sheet name="2020 Summary" sheetId="2" r:id="rId1"/>
    <sheet name="Locality 2020" sheetId="1" r:id="rId2"/>
    <sheet name="Data Form" sheetId="11" r:id="rId3"/>
    <sheet name="Methodology" sheetId="6" r:id="rId4"/>
    <sheet name="Local Income Deficit" sheetId="12" r:id="rId5"/>
  </sheets>
  <calcPr calcId="191029"/>
  <extLst>
    <ext xmlns:x14="http://schemas.microsoft.com/office/spreadsheetml/2009/9/main" uri="{79F54976-1DA5-4618-B147-4CDE4B953A38}">
      <x14:workbookPr defaultImageDpi="32767"/>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 xmlns:mx="http://schemas.microsoft.com/office/mac/excel/2008/main" uri="{7523E5D3-25F3-A5E0-1632-64F254C22452}">
      <mx:ArchID Flags="2"/>
    </ext>
  </extLst>
</workbook>
</file>

<file path=xl/calcChain.xml><?xml version="1.0" encoding="utf-8"?>
<calcChain xmlns="http://schemas.openxmlformats.org/spreadsheetml/2006/main">
  <c r="D47" i="11" l="1"/>
  <c r="AE35" i="1" s="1"/>
  <c r="AF29" i="1"/>
  <c r="AE29" i="1" s="1"/>
  <c r="AE19" i="1" a="1"/>
  <c r="AE19" i="1" s="1"/>
  <c r="AF19" i="1" s="1"/>
  <c r="AE16" i="1"/>
  <c r="X7" i="2" s="1"/>
  <c r="AE14" i="1"/>
  <c r="AF14" i="1" s="1"/>
  <c r="AE7" i="1"/>
  <c r="AF7" i="1" s="1"/>
  <c r="AF11" i="1"/>
  <c r="AF12" i="1"/>
  <c r="AE13" i="1"/>
  <c r="AF13" i="1" s="1"/>
  <c r="AE10" i="1"/>
  <c r="AF10" i="1" s="1"/>
  <c r="AF4" i="1"/>
  <c r="AF5" i="1"/>
  <c r="AE6" i="1"/>
  <c r="AF6" i="1" s="1"/>
  <c r="AE3" i="1"/>
  <c r="AF3" i="1" s="1"/>
  <c r="AA19" i="1" a="1"/>
  <c r="AA19" i="1" s="1"/>
  <c r="AB19" i="1" s="1"/>
  <c r="AA16" i="1"/>
  <c r="AB16" i="1" s="1"/>
  <c r="T7" i="2" s="1"/>
  <c r="AA13" i="1"/>
  <c r="AB13" i="1" s="1"/>
  <c r="AA10" i="1" a="1"/>
  <c r="AA10" i="1" s="1"/>
  <c r="AB10" i="1" s="1"/>
  <c r="AA3" i="1" a="1"/>
  <c r="AA3" i="1" s="1"/>
  <c r="AB3" i="1" s="1"/>
  <c r="W13" i="1"/>
  <c r="X13" i="1" s="1"/>
  <c r="W10" i="1" a="1"/>
  <c r="W10" i="1" s="1"/>
  <c r="S16" i="1"/>
  <c r="I7" i="2" s="1"/>
  <c r="S13" i="1"/>
  <c r="T13" i="1" s="1"/>
  <c r="S12" i="1"/>
  <c r="T12" i="1" s="1"/>
  <c r="S6" i="1"/>
  <c r="T6" i="1" s="1"/>
  <c r="S5" i="1"/>
  <c r="T5" i="1" s="1"/>
  <c r="D37" i="1"/>
  <c r="K19" i="1" a="1"/>
  <c r="K19" i="1" s="1"/>
  <c r="P12" i="1"/>
  <c r="S19" i="1" a="1"/>
  <c r="S19" i="1" s="1"/>
  <c r="T19" i="1" s="1"/>
  <c r="D40" i="11"/>
  <c r="C40" i="11" s="1"/>
  <c r="K16" i="1"/>
  <c r="L16" i="1" s="1"/>
  <c r="H7" i="2" s="1"/>
  <c r="K12" i="1"/>
  <c r="L12" i="1" s="1"/>
  <c r="K10" i="1"/>
  <c r="L10" i="1" s="1"/>
  <c r="K5" i="1"/>
  <c r="L5" i="1" s="1"/>
  <c r="K3" i="1"/>
  <c r="L3" i="1" s="1"/>
  <c r="AB37" i="1"/>
  <c r="T37" i="1"/>
  <c r="AF16" i="1" l="1"/>
  <c r="W7" i="2" s="1"/>
  <c r="S29" i="1"/>
  <c r="T29" i="1" s="1"/>
  <c r="W29" i="1"/>
  <c r="X29" i="1" s="1"/>
  <c r="G29" i="1"/>
  <c r="H29" i="1" s="1"/>
  <c r="AF2" i="1"/>
  <c r="W3" i="2" s="1"/>
  <c r="X3" i="2" s="1"/>
  <c r="AF9" i="1"/>
  <c r="W5" i="2" s="1"/>
  <c r="AF25" i="1"/>
  <c r="AF21" i="1"/>
  <c r="O7" i="2"/>
  <c r="K29" i="1"/>
  <c r="L29" i="1" s="1"/>
  <c r="AA29" i="1"/>
  <c r="AB29" i="1" s="1"/>
  <c r="AF28" i="1"/>
  <c r="AF24" i="1"/>
  <c r="AF20" i="1"/>
  <c r="U7" i="2"/>
  <c r="AF27" i="1"/>
  <c r="AF23" i="1"/>
  <c r="O29" i="1"/>
  <c r="P29" i="1" s="1"/>
  <c r="T16" i="1"/>
  <c r="N7" i="2" s="1"/>
  <c r="C29" i="1"/>
  <c r="T9" i="1"/>
  <c r="N5" i="2" s="1"/>
  <c r="AF26" i="1"/>
  <c r="AF22" i="1"/>
  <c r="AB12" i="1"/>
  <c r="AB25" i="1"/>
  <c r="AB21" i="1"/>
  <c r="AB6" i="1"/>
  <c r="AB11" i="1"/>
  <c r="AB9" i="1" s="1"/>
  <c r="T5" i="2" s="1"/>
  <c r="AB28" i="1"/>
  <c r="AB24" i="1"/>
  <c r="AB20" i="1"/>
  <c r="AB5" i="1"/>
  <c r="AB27" i="1"/>
  <c r="AB23" i="1"/>
  <c r="AB4" i="1"/>
  <c r="AB26" i="1"/>
  <c r="AB22" i="1"/>
  <c r="T2" i="1"/>
  <c r="N3" i="2" s="1"/>
  <c r="T27" i="1"/>
  <c r="T23" i="1"/>
  <c r="T26" i="1"/>
  <c r="T22" i="1"/>
  <c r="T25" i="1"/>
  <c r="T21" i="1"/>
  <c r="T28" i="1"/>
  <c r="T24" i="1"/>
  <c r="T20" i="1"/>
  <c r="L9" i="1"/>
  <c r="H5" i="2" s="1"/>
  <c r="L19" i="1"/>
  <c r="L20" i="1"/>
  <c r="L24" i="1"/>
  <c r="L27" i="1"/>
  <c r="L21" i="1"/>
  <c r="L28" i="1"/>
  <c r="L22" i="1"/>
  <c r="L25" i="1"/>
  <c r="L23" i="1"/>
  <c r="L26" i="1"/>
  <c r="L2" i="1"/>
  <c r="H3" i="2" s="1"/>
  <c r="D12" i="1"/>
  <c r="D9" i="1" s="1"/>
  <c r="C6" i="1"/>
  <c r="D6" i="1" s="1"/>
  <c r="D2" i="1" s="1"/>
  <c r="W6" i="1"/>
  <c r="X6" i="1" s="1"/>
  <c r="W4" i="1"/>
  <c r="X4" i="1" s="1"/>
  <c r="W3" i="1"/>
  <c r="X3" i="1" s="1"/>
  <c r="O5" i="1"/>
  <c r="P5" i="1" s="1"/>
  <c r="O4" i="1"/>
  <c r="P4" i="1" s="1"/>
  <c r="O3" i="1"/>
  <c r="P3" i="1" s="1"/>
  <c r="AB2" i="1" l="1"/>
  <c r="T3" i="2" s="1"/>
  <c r="V3" i="2" s="1"/>
  <c r="Y3" i="2"/>
  <c r="J3" i="2"/>
  <c r="I3" i="2"/>
  <c r="P3" i="2"/>
  <c r="O3" i="2"/>
  <c r="P2" i="1"/>
  <c r="G12" i="1"/>
  <c r="H12" i="1" s="1"/>
  <c r="U3" i="2" l="1"/>
  <c r="O28" i="1"/>
  <c r="G20" i="1"/>
  <c r="H20" i="1" s="1"/>
  <c r="G21" i="1"/>
  <c r="H21" i="1" s="1"/>
  <c r="G22" i="1"/>
  <c r="H22" i="1" s="1"/>
  <c r="G23" i="1"/>
  <c r="H23" i="1" s="1"/>
  <c r="G24" i="1"/>
  <c r="H24" i="1" s="1"/>
  <c r="G25" i="1"/>
  <c r="H25" i="1" s="1"/>
  <c r="G26" i="1"/>
  <c r="H26" i="1" s="1"/>
  <c r="G27" i="1"/>
  <c r="H27" i="1" s="1"/>
  <c r="G28" i="1"/>
  <c r="H28" i="1" s="1"/>
  <c r="G19" i="1"/>
  <c r="H19" i="1" s="1"/>
  <c r="G16" i="1"/>
  <c r="O16" i="1"/>
  <c r="G10" i="1"/>
  <c r="H10" i="1" s="1"/>
  <c r="H9" i="1" s="1"/>
  <c r="E5" i="2" s="1"/>
  <c r="G5" i="1"/>
  <c r="H5" i="1" s="1"/>
  <c r="G3" i="1"/>
  <c r="H3" i="1" s="1"/>
  <c r="P16" i="1" l="1"/>
  <c r="K7" i="2" s="1"/>
  <c r="L7" i="2"/>
  <c r="H16" i="1"/>
  <c r="E7" i="2" s="1"/>
  <c r="F7" i="2"/>
  <c r="H2" i="1"/>
  <c r="E3" i="2" s="1"/>
  <c r="T18" i="1"/>
  <c r="N9" i="2" s="1"/>
  <c r="AF18" i="1"/>
  <c r="W9" i="2" s="1"/>
  <c r="L18" i="1"/>
  <c r="AB18" i="1"/>
  <c r="T9" i="2" s="1"/>
  <c r="H18" i="1"/>
  <c r="E9" i="2" s="1"/>
  <c r="F9" i="2" s="1"/>
  <c r="X9" i="2" l="1"/>
  <c r="O9" i="2"/>
  <c r="U9" i="2"/>
  <c r="F3" i="2"/>
  <c r="G3" i="2"/>
  <c r="L31" i="1"/>
  <c r="H9" i="2"/>
  <c r="H31" i="1"/>
  <c r="AF31" i="1"/>
  <c r="T31" i="1"/>
  <c r="AB31" i="1"/>
  <c r="AF33" i="1" l="1"/>
  <c r="W15" i="2" s="1"/>
  <c r="W11" i="2"/>
  <c r="W13" i="2" s="1"/>
  <c r="H33" i="1"/>
  <c r="E11" i="2"/>
  <c r="E13" i="2" s="1"/>
  <c r="E15" i="2" s="1"/>
  <c r="AB33" i="1"/>
  <c r="T15" i="2" s="1"/>
  <c r="T11" i="2"/>
  <c r="T13" i="2" s="1"/>
  <c r="I9" i="2"/>
  <c r="T33" i="1"/>
  <c r="N15" i="2" s="1"/>
  <c r="N11" i="2"/>
  <c r="N13" i="2" s="1"/>
  <c r="L33" i="1"/>
  <c r="H15" i="2" s="1"/>
  <c r="H11" i="2"/>
  <c r="H13" i="2" s="1"/>
  <c r="G58" i="1" l="1"/>
  <c r="F54" i="1"/>
  <c r="G46" i="1"/>
  <c r="G45" i="1"/>
  <c r="G44" i="1"/>
  <c r="G43" i="1"/>
  <c r="F55" i="1" l="1"/>
  <c r="F53" i="1" s="1"/>
  <c r="D20" i="1"/>
  <c r="D21" i="1"/>
  <c r="D22" i="1"/>
  <c r="D23" i="1"/>
  <c r="D24" i="1"/>
  <c r="D25" i="1"/>
  <c r="D26" i="1"/>
  <c r="D27" i="1"/>
  <c r="D28" i="1"/>
  <c r="D19" i="1"/>
  <c r="C16" i="1"/>
  <c r="D16" i="1" s="1"/>
  <c r="B7" i="2" s="1"/>
  <c r="C7" i="2" s="1"/>
  <c r="C53" i="11" l="1"/>
  <c r="C65" i="11" l="1"/>
  <c r="D61" i="11" l="1"/>
  <c r="D65" i="11"/>
  <c r="D60" i="11"/>
  <c r="D63" i="11"/>
  <c r="D62" i="11"/>
  <c r="C52" i="11"/>
  <c r="L37" i="1" l="1"/>
  <c r="AE37" i="1"/>
  <c r="G37" i="1"/>
  <c r="W37" i="1"/>
  <c r="C50" i="11"/>
  <c r="C49" i="11"/>
  <c r="C48" i="11"/>
  <c r="C88" i="11"/>
  <c r="C89" i="11"/>
  <c r="C90" i="11"/>
  <c r="C91" i="11"/>
  <c r="C92" i="11"/>
  <c r="C93" i="11"/>
  <c r="C87" i="11"/>
  <c r="O10" i="1"/>
  <c r="P10" i="1" s="1"/>
  <c r="O11" i="1"/>
  <c r="P11" i="1" s="1"/>
  <c r="O19" i="1"/>
  <c r="P19" i="1" s="1"/>
  <c r="O20" i="1"/>
  <c r="P20" i="1" s="1"/>
  <c r="O21" i="1"/>
  <c r="P21" i="1" s="1"/>
  <c r="O22" i="1"/>
  <c r="P22" i="1" s="1"/>
  <c r="P23" i="1"/>
  <c r="O24" i="1"/>
  <c r="P24" i="1" s="1"/>
  <c r="O25" i="1"/>
  <c r="P25" i="1" s="1"/>
  <c r="O26" i="1"/>
  <c r="P26" i="1" s="1"/>
  <c r="O27" i="1"/>
  <c r="P27" i="1" s="1"/>
  <c r="P28" i="1"/>
  <c r="O37" i="1"/>
  <c r="O58" i="1"/>
  <c r="N54" i="1"/>
  <c r="O46" i="1"/>
  <c r="O45" i="1"/>
  <c r="O44" i="1"/>
  <c r="O43" i="1"/>
  <c r="W28" i="1"/>
  <c r="X28" i="1" s="1"/>
  <c r="W27" i="1"/>
  <c r="X27" i="1" s="1"/>
  <c r="W26" i="1"/>
  <c r="X26" i="1" s="1"/>
  <c r="W25" i="1"/>
  <c r="X25" i="1" s="1"/>
  <c r="W24" i="1"/>
  <c r="X24" i="1" s="1"/>
  <c r="W23" i="1"/>
  <c r="X23" i="1" s="1"/>
  <c r="W22" i="1"/>
  <c r="X22" i="1" s="1"/>
  <c r="W21" i="1"/>
  <c r="X21" i="1" s="1"/>
  <c r="W20" i="1"/>
  <c r="X20" i="1" s="1"/>
  <c r="W19" i="1"/>
  <c r="X19" i="1" s="1"/>
  <c r="W16" i="1"/>
  <c r="X12" i="1"/>
  <c r="W5" i="1"/>
  <c r="X5" i="1" s="1"/>
  <c r="X2" i="1" s="1"/>
  <c r="Q3" i="2" s="1"/>
  <c r="G13" i="6"/>
  <c r="G33" i="6"/>
  <c r="F33" i="6"/>
  <c r="X16" i="1" l="1"/>
  <c r="Q7" i="2" s="1"/>
  <c r="R7" i="2"/>
  <c r="X37" i="1"/>
  <c r="Q19" i="2" s="1"/>
  <c r="R19" i="2" s="1"/>
  <c r="S19" i="2"/>
  <c r="P37" i="1"/>
  <c r="M19" i="2"/>
  <c r="H37" i="1"/>
  <c r="E19" i="2" s="1"/>
  <c r="F19" i="2" s="1"/>
  <c r="G19" i="2"/>
  <c r="R3" i="2"/>
  <c r="S3" i="2"/>
  <c r="AF37" i="1"/>
  <c r="W19" i="2" s="1"/>
  <c r="X19" i="2" s="1"/>
  <c r="Y19" i="2"/>
  <c r="P9" i="1"/>
  <c r="P18" i="1"/>
  <c r="K9" i="2" s="1"/>
  <c r="L9" i="2" s="1"/>
  <c r="B5" i="2"/>
  <c r="C47" i="11"/>
  <c r="K35" i="1" s="1"/>
  <c r="L35" i="1" s="1"/>
  <c r="H17" i="2" s="1"/>
  <c r="I17" i="2" s="1"/>
  <c r="K19" i="2"/>
  <c r="L19" i="2" s="1"/>
  <c r="X10" i="1"/>
  <c r="N55" i="1"/>
  <c r="D29" i="1"/>
  <c r="D18" i="1" s="1"/>
  <c r="B9" i="2" s="1"/>
  <c r="C9" i="2" s="1"/>
  <c r="X18" i="1"/>
  <c r="Q9" i="2" s="1"/>
  <c r="R9" i="2" s="1"/>
  <c r="K5" i="2"/>
  <c r="X11" i="1"/>
  <c r="L39" i="1" l="1"/>
  <c r="H21" i="2" s="1"/>
  <c r="X9" i="1"/>
  <c r="Q5" i="2" s="1"/>
  <c r="O35" i="1"/>
  <c r="P35" i="1" s="1"/>
  <c r="K17" i="2" s="1"/>
  <c r="L17" i="2" s="1"/>
  <c r="S35" i="1"/>
  <c r="T35" i="1" s="1"/>
  <c r="AF35" i="1"/>
  <c r="G35" i="1"/>
  <c r="H35" i="1" s="1"/>
  <c r="AA35" i="1"/>
  <c r="AB35" i="1" s="1"/>
  <c r="C35" i="1"/>
  <c r="D35" i="1" s="1"/>
  <c r="B17" i="2" s="1"/>
  <c r="C17" i="2" s="1"/>
  <c r="W35" i="1"/>
  <c r="X35" i="1" s="1"/>
  <c r="Q17" i="2" s="1"/>
  <c r="X31" i="1"/>
  <c r="P31" i="1"/>
  <c r="P33" i="1" s="1"/>
  <c r="P39" i="1" s="1"/>
  <c r="D31" i="1"/>
  <c r="B11" i="2" s="1"/>
  <c r="B3" i="2"/>
  <c r="K3" i="2"/>
  <c r="L3" i="2" s="1"/>
  <c r="N53" i="1"/>
  <c r="B3" i="12" s="1"/>
  <c r="B2" i="12"/>
  <c r="R17" i="2" l="1"/>
  <c r="T39" i="1"/>
  <c r="N21" i="2" s="1"/>
  <c r="N17" i="2"/>
  <c r="O17" i="2" s="1"/>
  <c r="AB39" i="1"/>
  <c r="T21" i="2" s="1"/>
  <c r="T17" i="2"/>
  <c r="U17" i="2" s="1"/>
  <c r="X33" i="1"/>
  <c r="Q15" i="2" s="1"/>
  <c r="Q11" i="2"/>
  <c r="Q13" i="2" s="1"/>
  <c r="H39" i="1"/>
  <c r="E21" i="2" s="1"/>
  <c r="E17" i="2"/>
  <c r="F17" i="2" s="1"/>
  <c r="AF39" i="1"/>
  <c r="W21" i="2" s="1"/>
  <c r="W17" i="2"/>
  <c r="X17" i="2" s="1"/>
  <c r="D33" i="1"/>
  <c r="B13" i="2"/>
  <c r="B15" i="2" s="1"/>
  <c r="D3" i="2"/>
  <c r="C3" i="2"/>
  <c r="M3" i="2"/>
  <c r="K11" i="2"/>
  <c r="K13" i="2" s="1"/>
  <c r="X39" i="1" l="1"/>
  <c r="Q21" i="2" s="1"/>
  <c r="F51" i="1"/>
  <c r="G60" i="1" s="1"/>
  <c r="F50" i="1"/>
  <c r="G59" i="1" s="1"/>
  <c r="D39" i="1"/>
  <c r="B21" i="2" s="1"/>
  <c r="K15" i="2"/>
  <c r="B72" i="11" s="1"/>
  <c r="N50" i="1" l="1"/>
  <c r="B7" i="12" s="1"/>
  <c r="P43" i="1"/>
  <c r="P45" i="1"/>
  <c r="P46" i="1"/>
  <c r="P44" i="1"/>
  <c r="N51" i="1"/>
  <c r="C7" i="12" s="1"/>
  <c r="K21" i="2"/>
  <c r="B73" i="11" s="1"/>
  <c r="O59" i="1" l="1"/>
  <c r="B9" i="12" s="1"/>
  <c r="O60" i="1"/>
  <c r="C9" i="12"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Charles Schuyler</author>
    <author>Ridge Schuyler</author>
  </authors>
  <commentList>
    <comment ref="G5" authorId="0" shapeId="0" xr:uid="{BCE3EF54-341F-CA40-9CC9-62765E9E5591}">
      <text>
        <r>
          <rPr>
            <b/>
            <sz val="10"/>
            <color rgb="FF000000"/>
            <rFont val="Tahoma"/>
            <family val="2"/>
          </rPr>
          <t>Charles Schuyler:</t>
        </r>
        <r>
          <rPr>
            <sz val="10"/>
            <color rgb="FF000000"/>
            <rFont val="Tahoma"/>
            <family val="2"/>
          </rPr>
          <t xml:space="preserve">
</t>
        </r>
        <r>
          <rPr>
            <sz val="10"/>
            <color rgb="FF000000"/>
            <rFont val="Tahoma"/>
            <family val="2"/>
          </rPr>
          <t>USDA notes that the cost of the thrifty meal plan is based on a 4-person household. For a three-person household, add 5%.</t>
        </r>
      </text>
    </comment>
    <comment ref="K5" authorId="0" shapeId="0" xr:uid="{8BD4083F-2BD1-E145-8914-42621CFFC516}">
      <text>
        <r>
          <rPr>
            <b/>
            <sz val="10"/>
            <color rgb="FF000000"/>
            <rFont val="Tahoma"/>
            <family val="2"/>
          </rPr>
          <t>Charles Schuyler:</t>
        </r>
        <r>
          <rPr>
            <sz val="10"/>
            <color rgb="FF000000"/>
            <rFont val="Tahoma"/>
            <family val="2"/>
          </rPr>
          <t xml:space="preserve">
</t>
        </r>
        <r>
          <rPr>
            <sz val="10"/>
            <color rgb="FF000000"/>
            <rFont val="Tahoma"/>
            <family val="2"/>
          </rPr>
          <t>USDA notes that the cost of the thrifty meal plan is based on a 4-person household. For a two-person household, add 10%.</t>
        </r>
      </text>
    </comment>
    <comment ref="O5" authorId="0" shapeId="0" xr:uid="{90F3B0F2-E59C-EC45-A585-FD21904688CA}">
      <text>
        <r>
          <rPr>
            <b/>
            <sz val="10"/>
            <color rgb="FF000000"/>
            <rFont val="Tahoma"/>
            <family val="2"/>
          </rPr>
          <t>Charles Schuyler:</t>
        </r>
        <r>
          <rPr>
            <sz val="10"/>
            <color rgb="FF000000"/>
            <rFont val="Tahoma"/>
            <family val="2"/>
          </rPr>
          <t xml:space="preserve">
</t>
        </r>
        <r>
          <rPr>
            <sz val="10"/>
            <color rgb="FF000000"/>
            <rFont val="Tahoma"/>
            <family val="2"/>
          </rPr>
          <t>USDA notes that the cost of the thrifty meal plan is based on a 4-person household. For a three-person household, add 5%.</t>
        </r>
      </text>
    </comment>
    <comment ref="D6" authorId="0" shapeId="0" xr:uid="{43F64D39-13BA-F143-8E1E-D69191CB5F6A}">
      <text>
        <r>
          <rPr>
            <b/>
            <sz val="10"/>
            <color rgb="FF000000"/>
            <rFont val="Tahoma"/>
            <family val="2"/>
          </rPr>
          <t>Charles Schuyler:</t>
        </r>
        <r>
          <rPr>
            <sz val="10"/>
            <color rgb="FF000000"/>
            <rFont val="Tahoma"/>
            <family val="2"/>
          </rPr>
          <t xml:space="preserve">
</t>
        </r>
        <r>
          <rPr>
            <sz val="10"/>
            <color rgb="FF000000"/>
            <rFont val="Calibri"/>
            <family val="2"/>
          </rPr>
          <t xml:space="preserve">USDA notes that the cost of the thrifty meal plan is based on a 4-person household. For a  one-person household, add 20%.
</t>
        </r>
      </text>
    </comment>
    <comment ref="C19" authorId="1" shapeId="0" xr:uid="{D7D1355A-7EBF-BC4A-A10C-09EF45DB6EC0}">
      <text>
        <r>
          <rPr>
            <b/>
            <sz val="9"/>
            <color rgb="FF000000"/>
            <rFont val="Tahoma"/>
            <family val="2"/>
          </rPr>
          <t>Ridge Schuyler:</t>
        </r>
        <r>
          <rPr>
            <sz val="9"/>
            <color rgb="FF000000"/>
            <rFont val="Tahoma"/>
            <family val="2"/>
          </rPr>
          <t xml:space="preserve">
</t>
        </r>
        <r>
          <rPr>
            <sz val="9"/>
            <color rgb="FF000000"/>
            <rFont val="Tahoma"/>
            <family val="2"/>
          </rPr>
          <t>From the Virginia Housing Development Authority "Utility Allowance Schedule," input the amount for each expense from the appropropriate region for a Unit Type with 2 Exposed Walls (www.vhda.com, click on "Business Partners," click on "Housing Choice Voucher Program Agents," click on "Utility Allowance Schedules," click on the appropriate region (Charlottesville is Region 3)</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Ridge Schuyler</author>
    <author>Charles Schuyler</author>
  </authors>
  <commentList>
    <comment ref="C8" authorId="0" shapeId="0" xr:uid="{00000000-0006-0000-0200-000001000000}">
      <text>
        <r>
          <rPr>
            <b/>
            <sz val="9"/>
            <color rgb="FF000000"/>
            <rFont val="Tahoma"/>
            <family val="2"/>
          </rPr>
          <t>Ridge Schuyler:</t>
        </r>
        <r>
          <rPr>
            <sz val="9"/>
            <color rgb="FF000000"/>
            <rFont val="Tahoma"/>
            <family val="2"/>
          </rPr>
          <t xml:space="preserve">
</t>
        </r>
        <r>
          <rPr>
            <sz val="9"/>
            <color rgb="FF000000"/>
            <rFont val="Tahoma"/>
            <family val="2"/>
          </rPr>
          <t>From the USDA Center for Nutrition Policy and Promotion report "Official USDA Food Plans: Cost of Food at Home at Four Levels," input from the current year's June (average annual) data of the Weekly Cost of the Low-Cost Plan for an Individual Child aged 2-3 years (www.cnpp.usda.gov)</t>
        </r>
      </text>
    </comment>
    <comment ref="C9" authorId="0" shapeId="0" xr:uid="{00000000-0006-0000-0200-000002000000}">
      <text>
        <r>
          <rPr>
            <b/>
            <sz val="9"/>
            <color rgb="FF000000"/>
            <rFont val="Tahoma"/>
            <family val="2"/>
          </rPr>
          <t>Ridge Schuyler:</t>
        </r>
        <r>
          <rPr>
            <sz val="9"/>
            <color rgb="FF000000"/>
            <rFont val="Tahoma"/>
            <family val="2"/>
          </rPr>
          <t xml:space="preserve">
</t>
        </r>
        <r>
          <rPr>
            <sz val="9"/>
            <color rgb="FF000000"/>
            <rFont val="Tahoma"/>
            <family val="2"/>
          </rPr>
          <t>From the USDA Center for Nutrition Policy and Promotion report "Official USDA Food Plans: Cost of Food at Home at Four Levels," input from the current year's June (annual average) data of the Weekly Cost of the Low-Cost Plan for an Individual Child aged 4-5 years (www.cnpp.usda.gov)</t>
        </r>
      </text>
    </comment>
    <comment ref="C10" authorId="0" shapeId="0" xr:uid="{00000000-0006-0000-0200-000004000000}">
      <text>
        <r>
          <rPr>
            <b/>
            <sz val="9"/>
            <color rgb="FF000000"/>
            <rFont val="Tahoma"/>
            <family val="2"/>
          </rPr>
          <t>Ridge Schuyler:</t>
        </r>
        <r>
          <rPr>
            <sz val="9"/>
            <color rgb="FF000000"/>
            <rFont val="Tahoma"/>
            <family val="2"/>
          </rPr>
          <t xml:space="preserve">
</t>
        </r>
        <r>
          <rPr>
            <sz val="9"/>
            <color rgb="FF000000"/>
            <rFont val="Tahoma"/>
            <family val="2"/>
          </rPr>
          <t>From the USDA Center for Nutrition Policy and Promotion report "Official USDA Food Plans: Cost of Food at Home at Four Levels," input from the current year's June (annual average) data of the Weekly Cost of the Low-Cost Plan for an Individual Child aged 6-8 years (www.cnpp.usda.gov)</t>
        </r>
      </text>
    </comment>
    <comment ref="C11" authorId="0" shapeId="0" xr:uid="{00000000-0006-0000-0200-000003000000}">
      <text>
        <r>
          <rPr>
            <b/>
            <sz val="9"/>
            <color rgb="FF000000"/>
            <rFont val="Tahoma"/>
            <family val="2"/>
          </rPr>
          <t>Ridge Schuyler:</t>
        </r>
        <r>
          <rPr>
            <sz val="9"/>
            <color rgb="FF000000"/>
            <rFont val="Tahoma"/>
            <family val="2"/>
          </rPr>
          <t xml:space="preserve">
</t>
        </r>
        <r>
          <rPr>
            <sz val="9"/>
            <color rgb="FF000000"/>
            <rFont val="Tahoma"/>
            <family val="2"/>
          </rPr>
          <t>From the USDA Center for Nutrition Policy and Promotion report "Official USDA Food Plans: Cost of Food at Home at Four Levels," input from the current year's June (annual average) data of the Weekly Cost of the Low-Cost Plan for an individual Female aged 19-50 years (www.cnpp.usda.gov)</t>
        </r>
      </text>
    </comment>
    <comment ref="C16" authorId="0" shapeId="0" xr:uid="{00000000-0006-0000-0200-000005000000}">
      <text>
        <r>
          <rPr>
            <b/>
            <sz val="9"/>
            <color rgb="FF000000"/>
            <rFont val="Tahoma"/>
            <family val="2"/>
          </rPr>
          <t>Ridge Schuyler:</t>
        </r>
        <r>
          <rPr>
            <sz val="9"/>
            <color rgb="FF000000"/>
            <rFont val="Tahoma"/>
            <family val="2"/>
          </rPr>
          <t xml:space="preserve">
</t>
        </r>
        <r>
          <rPr>
            <sz val="9"/>
            <color rgb="FF000000"/>
            <rFont val="Tahoma"/>
            <family val="2"/>
          </rPr>
          <t>From the USDA Center for Nutrition Policy and Promotion's annual report "Expenditures on Children by Families," input the most current data from the table "Estimated annual expenditures on a child by single-parent families, overall United States" for clothing by families making the lowest tiered income on children aged 0-2 (www.cnpp.usda.gov)</t>
        </r>
      </text>
    </comment>
    <comment ref="C17" authorId="0" shapeId="0" xr:uid="{00000000-0006-0000-0200-000006000000}">
      <text>
        <r>
          <rPr>
            <b/>
            <sz val="9"/>
            <color rgb="FF000000"/>
            <rFont val="Tahoma"/>
            <family val="2"/>
          </rPr>
          <t>Ridge Schuyler:</t>
        </r>
        <r>
          <rPr>
            <sz val="9"/>
            <color rgb="FF000000"/>
            <rFont val="Tahoma"/>
            <family val="2"/>
          </rPr>
          <t xml:space="preserve">
</t>
        </r>
        <r>
          <rPr>
            <sz val="9"/>
            <color rgb="FF000000"/>
            <rFont val="Tahoma"/>
            <family val="2"/>
          </rPr>
          <t>From the USDA Center for Nutrition Policy and Promotion's annual report "Expenditures on Children by Families," input the most current data from the table Estimated annual expenditures on a child by single-parent families, overall United States" for clothing by families making the lowest tiered income on children aged 3-5 (www.cnpp.usda.gov)</t>
        </r>
      </text>
    </comment>
    <comment ref="C18" authorId="0" shapeId="0" xr:uid="{00000000-0006-0000-0200-000007000000}">
      <text>
        <r>
          <rPr>
            <b/>
            <sz val="9"/>
            <color rgb="FF000000"/>
            <rFont val="Tahoma"/>
            <family val="2"/>
          </rPr>
          <t>Ridge Schuyler:</t>
        </r>
        <r>
          <rPr>
            <sz val="9"/>
            <color rgb="FF000000"/>
            <rFont val="Tahoma"/>
            <family val="2"/>
          </rPr>
          <t xml:space="preserve">
</t>
        </r>
        <r>
          <rPr>
            <sz val="9"/>
            <color rgb="FF000000"/>
            <rFont val="Tahoma"/>
            <family val="2"/>
          </rPr>
          <t>From the USDA Center for Nutrition Policy and Promotion's annual report "Expenditures on Children by Families," input the most current data from the table "Estimated annual expenditures on a child by single-parent families, overall United States" for clothing by families making the lowest tiered income on children aged 6-8 (www.cnpp.usda.gov)</t>
        </r>
      </text>
    </comment>
    <comment ref="C19" authorId="0" shapeId="0" xr:uid="{00000000-0006-0000-0200-000008000000}">
      <text>
        <r>
          <rPr>
            <b/>
            <sz val="9"/>
            <color rgb="FF000000"/>
            <rFont val="Tahoma"/>
            <family val="2"/>
          </rPr>
          <t>Ridge Schuyler:</t>
        </r>
        <r>
          <rPr>
            <sz val="9"/>
            <color rgb="FF000000"/>
            <rFont val="Tahoma"/>
            <family val="2"/>
          </rPr>
          <t xml:space="preserve">
</t>
        </r>
        <r>
          <rPr>
            <sz val="9"/>
            <color rgb="FF000000"/>
            <rFont val="Tahoma"/>
            <family val="2"/>
          </rPr>
          <t>From the Bureau of Labor Statistics annual Consumer Expenditure Survey, input from the most current year the amount spent on Apparel and Services by Women, 16 and over in the column 25-34 years (www.bls.gov, click on "Subject Areas" tab, click on "Spending and Time Use," click on "Consumer Expenditures," click on "Featured CE tables," click on "Age of Reference Person" table)</t>
        </r>
      </text>
    </comment>
    <comment ref="C22" authorId="0" shapeId="0" xr:uid="{00000000-0006-0000-0200-000009000000}">
      <text>
        <r>
          <rPr>
            <b/>
            <sz val="9"/>
            <color rgb="FF000000"/>
            <rFont val="Tahoma"/>
            <family val="2"/>
          </rPr>
          <t>Ridge Schuyler:</t>
        </r>
        <r>
          <rPr>
            <sz val="9"/>
            <color rgb="FF000000"/>
            <rFont val="Tahoma"/>
            <family val="2"/>
          </rPr>
          <t xml:space="preserve">
</t>
        </r>
        <r>
          <rPr>
            <sz val="9"/>
            <color rgb="FF000000"/>
            <rFont val="Tahoma"/>
            <family val="2"/>
          </rPr>
          <t>From the Bureau of Labor Statistics annual Consumer Expenditure Survey, input from the Average number of Persons in a consumer unit (www.bls.gov, click on "Subject Areas" tab, click on "Spending and Time Use," click on "Consumer Expenditures," click on "Featured CE tables," click on "Age of Reference Person" table)</t>
        </r>
      </text>
    </comment>
    <comment ref="C23" authorId="0" shapeId="0" xr:uid="{00000000-0006-0000-0200-00000A000000}">
      <text>
        <r>
          <rPr>
            <b/>
            <sz val="9"/>
            <color rgb="FF000000"/>
            <rFont val="Tahoma"/>
            <family val="2"/>
          </rPr>
          <t>Ridge Schuyler:</t>
        </r>
        <r>
          <rPr>
            <sz val="9"/>
            <color rgb="FF000000"/>
            <rFont val="Tahoma"/>
            <family val="2"/>
          </rPr>
          <t xml:space="preserve">
</t>
        </r>
        <r>
          <rPr>
            <sz val="9"/>
            <color rgb="FF000000"/>
            <rFont val="Tahoma"/>
            <family val="2"/>
          </rPr>
          <t>From the Bureau of Labor Statistics annual Consumer Expenditure Survey, input the average number of Children under 18 in a consumer unit (www.bls.gov, click on "Subject Areas" tab, click on "Spending and Time Use," click on "Consumer Expenditures," click on "Featured CE tables," click on "Age of Reference Person" table)</t>
        </r>
      </text>
    </comment>
    <comment ref="C27" authorId="0" shapeId="0" xr:uid="{00000000-0006-0000-0200-00000B000000}">
      <text>
        <r>
          <rPr>
            <b/>
            <sz val="9"/>
            <color rgb="FF000000"/>
            <rFont val="Tahoma"/>
            <family val="2"/>
          </rPr>
          <t>Ridge Schuyler:</t>
        </r>
        <r>
          <rPr>
            <sz val="9"/>
            <color rgb="FF000000"/>
            <rFont val="Tahoma"/>
            <family val="2"/>
          </rPr>
          <t xml:space="preserve">
</t>
        </r>
        <r>
          <rPr>
            <sz val="9"/>
            <color rgb="FF000000"/>
            <rFont val="Tahoma"/>
            <family val="2"/>
          </rPr>
          <t>From the Department of Housing and Urban Development annual "Fair Market Rent Documentation System," input the most recent rent for a two-bedroom apartment in Charlottesville (www.hud.gov, click on "Data Sets," click on "Fair Market Rents," click on "Final FMR Documentation," click on "Virginia," click on the city or county)</t>
        </r>
      </text>
    </comment>
    <comment ref="F27" authorId="0" shapeId="0" xr:uid="{00000000-0006-0000-0200-00000C000000}">
      <text>
        <r>
          <rPr>
            <b/>
            <sz val="9"/>
            <color rgb="FF000000"/>
            <rFont val="Tahoma"/>
            <family val="2"/>
          </rPr>
          <t>Ridge Schuyler:</t>
        </r>
        <r>
          <rPr>
            <sz val="9"/>
            <color rgb="FF000000"/>
            <rFont val="Tahoma"/>
            <family val="2"/>
          </rPr>
          <t xml:space="preserve">
</t>
        </r>
        <r>
          <rPr>
            <sz val="9"/>
            <color rgb="FF000000"/>
            <rFont val="Tahoma"/>
            <family val="2"/>
          </rPr>
          <t>From the Department of Housing and Urban Development annual "Fair Market Rent Documentation System," input the most recent rent for a three-bedroom apartment in Charlottesville (www.hud.gov, click on "Data Sets," click on "Fair Market Rents," click on "Final FMR Documentation," click on "Virginia," click on the city or county)</t>
        </r>
      </text>
    </comment>
    <comment ref="I27" authorId="1" shapeId="0" xr:uid="{88441875-172B-544F-9123-D3232A62B8D6}">
      <text>
        <r>
          <rPr>
            <b/>
            <sz val="10"/>
            <color rgb="FF000000"/>
            <rFont val="Tahoma"/>
            <family val="2"/>
          </rPr>
          <t>Charles Schuyler:</t>
        </r>
      </text>
    </comment>
    <comment ref="C30" authorId="0" shapeId="0" xr:uid="{00000000-0006-0000-0200-00000D000000}">
      <text>
        <r>
          <rPr>
            <b/>
            <sz val="9"/>
            <color rgb="FF000000"/>
            <rFont val="Tahoma"/>
            <family val="2"/>
          </rPr>
          <t>Ridge Schuyler:</t>
        </r>
        <r>
          <rPr>
            <sz val="9"/>
            <color rgb="FF000000"/>
            <rFont val="Tahoma"/>
            <family val="2"/>
          </rPr>
          <t xml:space="preserve">
</t>
        </r>
        <r>
          <rPr>
            <sz val="9"/>
            <color rgb="FF000000"/>
            <rFont val="Tahoma"/>
            <family val="2"/>
          </rPr>
          <t>From the Virginia Housing Development Authority "Utility Allowance Schedule," input the amount for each expense from the appropropriate region for a Unit Type with 2 Exposed Walls (www.vhda.com, click on "Business Partners," click on "Housing Choice Voucher Program Agents," click on "Utility Allowance Schedules," click on the appropriate region (Charlottesville is Region 3)</t>
        </r>
      </text>
    </comment>
    <comment ref="F30" authorId="0" shapeId="0" xr:uid="{00000000-0006-0000-0200-00000E000000}">
      <text>
        <r>
          <rPr>
            <b/>
            <sz val="9"/>
            <color rgb="FF000000"/>
            <rFont val="Tahoma"/>
            <family val="2"/>
          </rPr>
          <t>Ridge Schuyler:</t>
        </r>
        <r>
          <rPr>
            <sz val="9"/>
            <color rgb="FF000000"/>
            <rFont val="Tahoma"/>
            <family val="2"/>
          </rPr>
          <t xml:space="preserve">
</t>
        </r>
        <r>
          <rPr>
            <sz val="9"/>
            <color rgb="FF000000"/>
            <rFont val="Tahoma"/>
            <family val="2"/>
          </rPr>
          <t>From the Virginia Housing Development Authority "Utility Allowance Schedule," input the amount for each expense from the appropropriate region for a Unit Type with 2 Exposed Walls (www.vhda.com, click on "Business Partners," click on "Housing Choice Voucher Program Agents," click on "Utility Allowance Schedules," click on the appropriate region (Charlottesville is Region 3)</t>
        </r>
      </text>
    </comment>
    <comment ref="I30" authorId="0" shapeId="0" xr:uid="{E067C736-B86B-3947-B220-5E46975FFF0D}">
      <text>
        <r>
          <rPr>
            <b/>
            <sz val="9"/>
            <color rgb="FF000000"/>
            <rFont val="Tahoma"/>
            <family val="2"/>
          </rPr>
          <t>Ridge Schuyler:</t>
        </r>
        <r>
          <rPr>
            <sz val="9"/>
            <color rgb="FF000000"/>
            <rFont val="Tahoma"/>
            <family val="2"/>
          </rPr>
          <t xml:space="preserve">
</t>
        </r>
        <r>
          <rPr>
            <sz val="9"/>
            <color rgb="FF000000"/>
            <rFont val="Tahoma"/>
            <family val="2"/>
          </rPr>
          <t>From the Virginia Housing Development Authority "Utility Allowance Schedule," input the amount for each expense from the appropropriate region for a Unit Type with 2 Exposed Walls (www.vhda.com, click on "Business Partners," click on "Housing Choice Voucher Program Agents," click on "Utility Allowance Schedules," click on the appropriate region (Charlottesville is Region 3)</t>
        </r>
      </text>
    </comment>
    <comment ref="C41" authorId="0" shapeId="0" xr:uid="{00000000-0006-0000-0200-00000F000000}">
      <text>
        <r>
          <rPr>
            <b/>
            <sz val="9"/>
            <color rgb="FF000000"/>
            <rFont val="Tahoma"/>
            <family val="2"/>
          </rPr>
          <t>Ridge Schuyler:</t>
        </r>
        <r>
          <rPr>
            <sz val="9"/>
            <color rgb="FF000000"/>
            <rFont val="Tahoma"/>
            <family val="2"/>
          </rPr>
          <t xml:space="preserve">
</t>
        </r>
        <r>
          <rPr>
            <sz val="9"/>
            <color rgb="FF000000"/>
            <rFont val="Tahoma"/>
            <family val="2"/>
          </rPr>
          <t>From the Bureau of Labor Statistics annual Consumer Expenditure Survey, input from the most current year the amount spent on Telephone Services in the column 25-34 years (www.bls.gov, click on "Subject Areas" tab, click on "Spending and Time Use," click on "Consumer Expenditures," click on "Featured CE tables," click on "Age of Reference Person" table)</t>
        </r>
      </text>
    </comment>
    <comment ref="D48" authorId="1" shapeId="0" xr:uid="{7C53F6D8-0F4A-A447-8D4A-01C6DF0754A6}">
      <text>
        <r>
          <rPr>
            <b/>
            <sz val="10"/>
            <color rgb="FF000000"/>
            <rFont val="Tahoma"/>
            <family val="2"/>
          </rPr>
          <t>Charles Schuyler:</t>
        </r>
        <r>
          <rPr>
            <sz val="10"/>
            <color rgb="FF000000"/>
            <rFont val="Tahoma"/>
            <family val="2"/>
          </rPr>
          <t xml:space="preserve">
</t>
        </r>
        <r>
          <rPr>
            <sz val="10"/>
            <color rgb="FF000000"/>
            <rFont val="Calibri"/>
            <family val="2"/>
          </rPr>
          <t xml:space="preserve">From the Bureau of Labor Statistics annual Consumer Expenditure Survey, input from the most current year the amount spent on Transportation, Maintenance and Repairs  in the column 25-34 years (www.bls.gov, click on "Subject Areas" tab, click on "Spending and Time Use," click on "Consumer Expenditures," click on "Featured CE tables," click on "Age of Reference Person" table)
</t>
        </r>
      </text>
    </comment>
    <comment ref="E48" authorId="1" shapeId="0" xr:uid="{B5C4B902-208A-A54B-9203-781521229048}">
      <text>
        <r>
          <rPr>
            <b/>
            <sz val="10"/>
            <color rgb="FF000000"/>
            <rFont val="Tahoma"/>
            <family val="2"/>
          </rPr>
          <t>Charles Schuyler:</t>
        </r>
        <r>
          <rPr>
            <sz val="10"/>
            <color rgb="FF000000"/>
            <rFont val="Tahoma"/>
            <family val="2"/>
          </rPr>
          <t xml:space="preserve">
</t>
        </r>
        <r>
          <rPr>
            <sz val="10"/>
            <color rgb="FF000000"/>
            <rFont val="Calibri"/>
            <family val="2"/>
          </rPr>
          <t xml:space="preserve">From the Bureau of Labor Statistics annual Consumer Expenditure Survey, input from the most current year the Average number of vehicles in Consumer Unit in the column 25-34 years (www.bls.gov, click on "Subject Areas" tab, click on "Spending and Time Use," click on "Consumer Expenditures," click on "Featured CE tables," click on "Age of Reference Person" table)
</t>
        </r>
      </text>
    </comment>
    <comment ref="D49" authorId="1" shapeId="0" xr:uid="{E086EB90-E81D-0641-8F04-01421850F3CC}">
      <text>
        <r>
          <rPr>
            <b/>
            <sz val="10"/>
            <color rgb="FF000000"/>
            <rFont val="Tahoma"/>
            <family val="2"/>
          </rPr>
          <t>Charles Schuyler:</t>
        </r>
        <r>
          <rPr>
            <sz val="10"/>
            <color rgb="FF000000"/>
            <rFont val="Tahoma"/>
            <family val="2"/>
          </rPr>
          <t xml:space="preserve">
</t>
        </r>
        <r>
          <rPr>
            <sz val="10"/>
            <color rgb="FF000000"/>
            <rFont val="Calibri"/>
            <family val="2"/>
          </rPr>
          <t xml:space="preserve">From the Bureau of Labor Statistics annual Consumer Expenditure Survey, input from the most current year the amount spent on Transportation, Vehicle Insurance  in the column 25-34 years (www.bls.gov, click on "Subject Areas" tab, click on "Spending and Time Use," click on "Consumer Expenditures," click on "Featured CE tables," click on "Age of Reference Person" table)
</t>
        </r>
      </text>
    </comment>
    <comment ref="D50" authorId="1" shapeId="0" xr:uid="{8AD8AF1E-EE9B-F044-AFFB-5892B93DF696}">
      <text>
        <r>
          <rPr>
            <b/>
            <sz val="10"/>
            <color rgb="FF000000"/>
            <rFont val="Tahoma"/>
            <family val="2"/>
          </rPr>
          <t>Charles Schuyler:</t>
        </r>
        <r>
          <rPr>
            <sz val="10"/>
            <color rgb="FF000000"/>
            <rFont val="Tahoma"/>
            <family val="2"/>
          </rPr>
          <t xml:space="preserve">
</t>
        </r>
        <r>
          <rPr>
            <sz val="10"/>
            <color rgb="FF000000"/>
            <rFont val="Calibri"/>
            <family val="2"/>
          </rPr>
          <t xml:space="preserve">From the Bureau of Labor Statistics annual Consumer Expenditure Survey, input from the most current year the amount spent on Transportation, Gasoline, other fuels and motor oil  in the column 25-34 years (www.bls.gov, click on "Subject Areas" tab, click on "Spending and Time Use," click on "Consumer Expenditures," click on "Featured CE tables," click on "Age of Reference Person" table)
</t>
        </r>
      </text>
    </comment>
    <comment ref="D52" authorId="1" shapeId="0" xr:uid="{DE0AD761-8F57-3841-B99C-F5255D20ABC2}">
      <text>
        <r>
          <rPr>
            <b/>
            <sz val="10"/>
            <color rgb="FF000000"/>
            <rFont val="Tahoma"/>
            <family val="2"/>
          </rPr>
          <t>Charles Schuyler:</t>
        </r>
        <r>
          <rPr>
            <sz val="10"/>
            <color rgb="FF000000"/>
            <rFont val="Tahoma"/>
            <family val="2"/>
          </rPr>
          <t xml:space="preserve">
</t>
        </r>
        <r>
          <rPr>
            <sz val="10"/>
            <color rgb="FF000000"/>
            <rFont val="Tahoma"/>
            <family val="2"/>
          </rPr>
          <t>From the Virginia Department of Social Services Division of Child Care and Early Childhood Development, Child Care Subsidy Program Guidance Manual. Refer to Center Child Care Maximum Reimbursable Rates--Level 2 Full day</t>
        </r>
      </text>
    </comment>
    <comment ref="C60" authorId="0" shapeId="0" xr:uid="{00000000-0006-0000-0200-000012000000}">
      <text>
        <r>
          <rPr>
            <b/>
            <sz val="9"/>
            <color rgb="FF000000"/>
            <rFont val="Tahoma"/>
            <family val="2"/>
          </rPr>
          <t>Ridge Schuyler:</t>
        </r>
        <r>
          <rPr>
            <sz val="9"/>
            <color rgb="FF000000"/>
            <rFont val="Tahoma"/>
            <family val="2"/>
          </rPr>
          <t xml:space="preserve">
</t>
        </r>
        <r>
          <rPr>
            <sz val="9"/>
            <color rgb="FF000000"/>
            <rFont val="Tahoma"/>
            <family val="2"/>
          </rPr>
          <t>From the U.S. Census Bureau, input the estimated number of families who earn less than $10,000 annually (www.census.gov, click on the Data tab and select "American FactFinder" from the dropdown menu, click "Advanced Search" then click the "Show Me All" button, click on "Geographies" and select "County" from the dropdown menu, select "Virginia" from the dropdown menu, select desired county (or city) from the dropdown menu, click on "Add to Your Selections," close the "Select Geographies" box and from the list beneath, click on "DP03 Selected Economic Characteristics 5-Year Estimates," on the list find "Families" under the Subject INCOME AND BENEFITS and enter the  number of families making less than $10,000)</t>
        </r>
      </text>
    </comment>
    <comment ref="C61" authorId="0" shapeId="0" xr:uid="{00000000-0006-0000-0200-000013000000}">
      <text>
        <r>
          <rPr>
            <b/>
            <sz val="9"/>
            <color rgb="FF000000"/>
            <rFont val="Tahoma"/>
            <family val="2"/>
          </rPr>
          <t>Ridge Schuyler:</t>
        </r>
        <r>
          <rPr>
            <sz val="9"/>
            <color rgb="FF000000"/>
            <rFont val="Tahoma"/>
            <family val="2"/>
          </rPr>
          <t xml:space="preserve">
</t>
        </r>
        <r>
          <rPr>
            <sz val="9"/>
            <color rgb="FF000000"/>
            <rFont val="Tahoma"/>
            <family val="2"/>
          </rPr>
          <t>From the U.S. Census Bureau, input the estimated number of families who earn between $10,000 and $14,999 annually (www.census.gov, click on the Data tab and select "American FactFinder" from the dropdown menu, click "Advanced Search" then click the "Show Me All" button, click on "Geographies" and select "County" from the dropdown menu, select "Virginia" from the dropdown menu, select desired county (or city) from the dropdown menu, click on "Add to Your Selections," close the "Select Geographies" box and from the list beneath, click on "DP03 Selected Economic Characteristics 5-Year Estimates," on the list find "Families" under the Subject INCOME AND BENEFITS and enter the  number of families making between $10,000 and $14,999)</t>
        </r>
      </text>
    </comment>
    <comment ref="C62" authorId="0" shapeId="0" xr:uid="{00000000-0006-0000-0200-000014000000}">
      <text>
        <r>
          <rPr>
            <b/>
            <sz val="9"/>
            <color rgb="FF000000"/>
            <rFont val="Tahoma"/>
            <family val="2"/>
          </rPr>
          <t>Ridge Schuyler:</t>
        </r>
        <r>
          <rPr>
            <sz val="9"/>
            <color rgb="FF000000"/>
            <rFont val="Tahoma"/>
            <family val="2"/>
          </rPr>
          <t xml:space="preserve">
</t>
        </r>
        <r>
          <rPr>
            <sz val="9"/>
            <color rgb="FF000000"/>
            <rFont val="Tahoma"/>
            <family val="2"/>
          </rPr>
          <t>From the U.S. Census Bureau, input the estimated number of families who earn between $15,000 and $24,999 annually (www.census.gov, click on the Data tab and select "American FactFinder" from the dropdown menu, click "Advanced Search" then click the "Show Me All" button, click on "Geographies" and select "County" from the dropdown menu, select "Virginia" from the dropdown menu, select desired county (or city) from the dropdown menu, click on "Add to Your Selections," close the "Select Geographies" box and from the list beneath, click on "DP03 Selected Economic Characteristics 5-Year Estimates," on the list find "Families" under the Subject INCOME AND BENEFITS and enter the  number of families making between $15,000 and $24,999)</t>
        </r>
      </text>
    </comment>
    <comment ref="C63" authorId="0" shapeId="0" xr:uid="{00000000-0006-0000-0200-000015000000}">
      <text>
        <r>
          <rPr>
            <b/>
            <sz val="9"/>
            <color rgb="FF000000"/>
            <rFont val="Tahoma"/>
            <family val="2"/>
          </rPr>
          <t>Ridge Schuyler:</t>
        </r>
        <r>
          <rPr>
            <sz val="9"/>
            <color rgb="FF000000"/>
            <rFont val="Tahoma"/>
            <family val="2"/>
          </rPr>
          <t xml:space="preserve">
</t>
        </r>
        <r>
          <rPr>
            <sz val="9"/>
            <color rgb="FF000000"/>
            <rFont val="Tahoma"/>
            <family val="2"/>
          </rPr>
          <t>From the U.S. Census Bureau, input the estimated number of families who earn between $25,000 and $34,999 annually (www.census.gov, click on the Data tab and select "American FactFinder" from the dropdown menu, click "Advanced Search" then click the "Show Me All" button, click on "Geographies" and select "County" from the dropdown menu, select "Virginia" from the dropdown menu, select desired county (or city) from the dropdown menu, click on "Add to Your Selections," close the "Select Geographies" box and from the list beneath, click on "DP03 Selected Economic Characteristics 5-Year Estimates," on the list find "Families" under the Subject INCOME AND BENEFITS and enter the  number of families making  between $25,000 and $34,999)</t>
        </r>
      </text>
    </comment>
    <comment ref="B67" authorId="0" shapeId="0" xr:uid="{00000000-0006-0000-0200-000016000000}">
      <text>
        <r>
          <rPr>
            <b/>
            <sz val="9"/>
            <color rgb="FF000000"/>
            <rFont val="Tahoma"/>
            <family val="2"/>
          </rPr>
          <t>Ridge Schuyler:</t>
        </r>
        <r>
          <rPr>
            <sz val="9"/>
            <color rgb="FF000000"/>
            <rFont val="Tahoma"/>
            <family val="2"/>
          </rPr>
          <t xml:space="preserve">
</t>
        </r>
        <r>
          <rPr>
            <sz val="9"/>
            <color rgb="FF000000"/>
            <rFont val="Tahoma"/>
            <family val="2"/>
          </rPr>
          <t>From the U.S. Census Bureau, input the estimated total number of Families (www.census.gov, click on the Data tab and select "American FactFinder" from the dropdown menu, click "Advanced Search" then click the "Show Me All" button, click on "Geographies" and select "County" from the dropdown menu, select "Virginia" from the dropdown menu, select desired county (or city) from the dropdown menu, click on "Add to Your Selections," close the "Select Geographies" box and from the list beneath, click on DP03 Selected Economic Characteristics 5-Year Estimates," on the list find "Families" under the Subject INCOME AND BENEFITS and enter the total number of Families)</t>
        </r>
      </text>
    </comment>
    <comment ref="C70" authorId="0" shapeId="0" xr:uid="{00000000-0006-0000-0200-000017000000}">
      <text>
        <r>
          <rPr>
            <b/>
            <sz val="9"/>
            <color rgb="FF000000"/>
            <rFont val="Tahoma"/>
            <family val="2"/>
          </rPr>
          <t>Ridge Schuyler:</t>
        </r>
        <r>
          <rPr>
            <sz val="9"/>
            <color rgb="FF000000"/>
            <rFont val="Tahoma"/>
            <family val="2"/>
          </rPr>
          <t xml:space="preserve">
</t>
        </r>
        <r>
          <rPr>
            <sz val="9"/>
            <color rgb="FF000000"/>
            <rFont val="Tahoma"/>
            <family val="2"/>
          </rPr>
          <t>From the Virginia Department of Taxation, input the Total Adjusted Gross Income from the desired city or county (www.tax.virginia.gov, click on "Facts and Figures," click on Annual Reports and select the most current)</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<sst xmlns="http://schemas.openxmlformats.org/spreadsheetml/2006/main" count="492" uniqueCount="147">
  <si>
    <t>Child aged 2-3</t>
  </si>
  <si>
    <t>Child aged 4-5</t>
  </si>
  <si>
    <t>Female aged 19-50</t>
  </si>
  <si>
    <t>Food</t>
  </si>
  <si>
    <t>Single Householder + 2 kids (1 toddler)</t>
  </si>
  <si>
    <t>Single Householder + 3 kids (1 toddler)</t>
  </si>
  <si>
    <t>Clothing</t>
  </si>
  <si>
    <t>Shelter</t>
  </si>
  <si>
    <t>Two-bedroom</t>
  </si>
  <si>
    <t>Three-bedroom</t>
  </si>
  <si>
    <t>Utilities</t>
  </si>
  <si>
    <t>Telephone</t>
  </si>
  <si>
    <t>Necessary Costs</t>
  </si>
  <si>
    <t>Range/Microwave</t>
  </si>
  <si>
    <t>Refrigerator</t>
  </si>
  <si>
    <t>Cooling (A/C)</t>
  </si>
  <si>
    <t>Other Electric</t>
  </si>
  <si>
    <t>Cooking</t>
  </si>
  <si>
    <t>Home Heating</t>
  </si>
  <si>
    <t>Tax</t>
  </si>
  <si>
    <t>Water Heating</t>
  </si>
  <si>
    <t>Sewer</t>
  </si>
  <si>
    <t>Trash collection</t>
  </si>
  <si>
    <t>Water</t>
  </si>
  <si>
    <t>Female aged 25-34</t>
  </si>
  <si>
    <t>Annual consumer unit expenditure on apparel</t>
  </si>
  <si>
    <t>Number of persons in consumer unit</t>
  </si>
  <si>
    <t>Number of children under 18 in consumer unit</t>
  </si>
  <si>
    <t>Child aged 6-8</t>
  </si>
  <si>
    <t>Child aged 0-2</t>
  </si>
  <si>
    <t>Child aged 3-5</t>
  </si>
  <si>
    <t>Annual consumer unit expenditure on telephone</t>
  </si>
  <si>
    <t>Formula calculates total costs of the mom and two children</t>
  </si>
  <si>
    <t>Formula increases the weekly cost by 5% (according to USDA instructions relating to economies of scale) and multiplies the weekly cost by 52 to determine annual costs</t>
  </si>
  <si>
    <t>Formula calculates total costs of the mom and three children</t>
  </si>
  <si>
    <t>Formula multiplies the weekly cost by 52 to determine annual costs</t>
  </si>
  <si>
    <t>Formula imports the USDA data from Column C</t>
  </si>
  <si>
    <t>Twenty percent of FCSU</t>
  </si>
  <si>
    <t>Twenty Percent of FCSU</t>
  </si>
  <si>
    <t>Formula imports the USDA data from column C</t>
  </si>
  <si>
    <t>Formula imports the USDA data from column F</t>
  </si>
  <si>
    <t>From the USDA Center for Nutrition Policy and Promotion report "Official USDA Food Plans: Cost of Food at Home at Four Levels," input from the current year's June (average annual) data of the Weekly Cost of the Low-Cost Plan for an Individual Child aged 2-3 years (www.cnpp.usda.gov)</t>
  </si>
  <si>
    <t>From the USDA Center for Nutrition Policy and Promotion report "Official USDA Food Plans: Cost of Food at Home at Four Levels," input from the current year's June (annual average) data of the Weekly Cost of the Low-Cost Plan for an Individual Child aged 4-5 years (www.cnpp.usda.gov)</t>
  </si>
  <si>
    <t>From the USDA Center for Nutrition Policy and Promotion report "Official USDA Food Plans: Cost of Food at Home at Four Levels," input from the current year's June (annual average) data of the Weekly Cost of the Low-Cost Plan for an individual Female aged 19-50 years (www.cnpp.usda.gov)</t>
  </si>
  <si>
    <t>From the USDA Center for Nutrition Policy and Promotion report "Official USDA Food Plans: Cost of Food at Home at Four Levels," input from the current year's June (annual average) data of the Weekly Cost of the Low-Cost Plan for an Individual Child aged 6-8 years (www.cnpp.usda.gov)</t>
  </si>
  <si>
    <t>From the Bureau of Labor Statistics annual Consumer Expenditure Survey, input from the most current year the amount spent on Apparel and Services by Women, 16 and over in the column 25-34 years (www.bls.gov, click on "Subject Areas" tab, click on "Spending and Time Use," click on "Consumer Expenditures," click on "Featured CE tables," click on "Age of Reference Person" table)</t>
  </si>
  <si>
    <t>From the Bureau of Labor Statistics annual Consumer Expenditure Survey, input from the Average number of Persons in a consumer unit (www.bls.gov, click on "Subject Areas" tab, click on "Spending and Time Use," click on "Consumer Expenditures," click on "Featured CE tables," click on "Age of Reference Person" table)</t>
  </si>
  <si>
    <t>From the Bureau of Labor Statistics annual Consumer Expenditure Survey, input the average number of Children under 18 in a consumer unit (www.bls.gov, click on "Subject Areas" tab, click on "Spending and Time Use," click on "Consumer Expenditures," click on "Featured CE tables," click on "Age of Reference Person" table)</t>
  </si>
  <si>
    <t>Formula calculates the cost of apparel for a single adult female by dividing the average amount spent by a consumer unit by the number of adults in the reference consumer unit (by taking the average number of persons in the consumer unit and subtracting the average number of children under the age of 18)</t>
  </si>
  <si>
    <t>From the Department of Housing and Urban Development annual "Fair Market Rent Documentation System," input the most recent rent for a two-bedroom apartment in Charlottesville (www.hud.gov, click on "Data Sets," click on "Fair Market Rents," click on "Final FMR Documentation," click on "Virginia," click on the city or county)</t>
  </si>
  <si>
    <t>Formula multiplies the monthly rent by 12 to get annual costs</t>
  </si>
  <si>
    <t>From the Department of Housing and Urban Development annual "Fair Market Rent Documentation System," input the most recent rent for a three-bedroom apartment in Charlottesville (www.hud.gov, click on "Data Sets," click on "Fair Market Rents," click on "Final FMR Documentation," click on "Virginia," click on the city or county)</t>
  </si>
  <si>
    <t>From the Virginia Housing Development Authority "Utility Allowance Schedule," input the amount for each expense from the appropropriate region for a Unit Type with 2 Exposed Walls (www.vhda.com, click on "Business Partners," click on "Housing Choice Voucher Program Agents," click on "Utility Allowance Schedules," click on the appropriate region (Charlottesville is Region 3)</t>
  </si>
  <si>
    <t>Formula calculates total costs of utilities</t>
  </si>
  <si>
    <t>Formula multiplies monthly costs by 12 to get annual costs</t>
  </si>
  <si>
    <t>From the Bureau of Labor Statistics annual Consumer Expenditure Survey, input from the most current year the amount spent on Telephone Services in the column 25-34 years (www.bls.gov, click on "Subject Areas" tab, click on "Spending and Time Use," click on "Consumer Expenditures," click on "Featured CE tables," click on "Age of Reference Person" table)</t>
  </si>
  <si>
    <t>Formula calculates the cost of Telephone Services for an adult by dividing the average amount spent by a consumer unit by the number of adults in the reference consumer unit (by taking the average number of persons in the consumer unit and subtracting the average number of children under the age of 18)</t>
  </si>
  <si>
    <t>Formula divides the annual cost of Telephone Services by 12 to get a monthly cost</t>
  </si>
  <si>
    <t>Formula calculates 20 percent of the cost of Food, Clothing, Shelter and Utilities, which the Bureau of Labor Statistics and the Census Bureau estimate is the cost of other necessary family costs, including healthcare, etc.)</t>
  </si>
  <si>
    <t>Total Survival Income</t>
  </si>
  <si>
    <t>Transportation</t>
  </si>
  <si>
    <t>Childcare</t>
  </si>
  <si>
    <t>Total Working Income</t>
  </si>
  <si>
    <t>Formula calculates 20 percent of the cost of Food, Clothing, Shelter and Utilities, which the Bureau of Labor Statistics and the Census Bureau estimate is the cost of other necessary family costs (including healthcare, etc.)</t>
  </si>
  <si>
    <t>Formula calculates the total costs of Food, Clothing, Shelter, Utilities and Necessary Costs</t>
  </si>
  <si>
    <t>Input the costs of a monthly transit fare</t>
  </si>
  <si>
    <t>Formula multiplies the monthly fare by 12 to calculate annual costs</t>
  </si>
  <si>
    <t>Formula imports data from Column D</t>
  </si>
  <si>
    <t>Input the weekly costs of childcare (for Charlottesville, go to www.virginia.edu, click on "Dean of Students," click on "Programs and Services," click on "Students with Children," click on "Charlottesville/Albemarle Daycares and Pre-schools," and input the weekly costs of a Toddler at KinderCare</t>
  </si>
  <si>
    <t>Formula multiples the weekly cost by 4 to get a monthly cost and multiplies the monthly cost by 12</t>
  </si>
  <si>
    <t>Formula imports the data from Column D</t>
  </si>
  <si>
    <t>Formula adds the Total Survival Income, Transporation and Childcare</t>
  </si>
  <si>
    <t>From the USDA Center for Nutrition Policy and Promotion's annual report "Expenditures on Children by Families," input the most current data from the table EEstimated annual expenditures on a child by single-parent families, overall United States" for clothing by families making the lowest tiered income on children aged 3-5 (www.cnpp.usda.gov)</t>
  </si>
  <si>
    <t>From the USDA Center for Nutrition Policy and Promotion's annual report "Expenditures on Children by Families," input the most current data from the table "Estimated annual expenditures on a child by single-parent families, overall United States" for clothing by families making the lowest tiered income on children aged 0-2 (www.cnpp.usda.gov)</t>
  </si>
  <si>
    <t>From the USDA Center for Nutrition Policy and Promotion's annual report "Expenditures on Children by Families," input the most current data from the table "Estimated annual expenditures on a child by single-parent families, overall United States" for clothing by families making the lowest tiered income on children aged 6-8 (www.cnpp.usda.gov)</t>
  </si>
  <si>
    <t>Local Income Deficit</t>
  </si>
  <si>
    <t>Annual Family Income and Benefits (in 2012 Inflation-Adjusted Dollars)</t>
  </si>
  <si>
    <t>Less than $10,000</t>
  </si>
  <si>
    <t>$10,000 to $14,999</t>
  </si>
  <si>
    <t>$15,000 to $24,999</t>
  </si>
  <si>
    <t>$25,000 to 34,999</t>
  </si>
  <si>
    <t>Local Income Deficit Range</t>
  </si>
  <si>
    <t>Low End</t>
  </si>
  <si>
    <t>High End</t>
  </si>
  <si>
    <t>Percentage of families making less than self-sufficient wage</t>
  </si>
  <si>
    <t>Total number of families</t>
  </si>
  <si>
    <t>Total number of families making less than self-sufficient wage</t>
  </si>
  <si>
    <t>Formula adds the Total Survival Income, Transportation and Childcare</t>
  </si>
  <si>
    <t>Local Income Deficit Range as a Percentage of Total Local Income</t>
  </si>
  <si>
    <t>Total Local Income</t>
  </si>
  <si>
    <t>Annual</t>
  </si>
  <si>
    <t>Monthly</t>
  </si>
  <si>
    <t>Weekly</t>
  </si>
  <si>
    <t>Local Income Deficit as a Percentage of Total Local Income</t>
  </si>
  <si>
    <t>Food (Weekly)</t>
  </si>
  <si>
    <t>Clothing (Annual)</t>
  </si>
  <si>
    <t>Shelter (Monthly)</t>
  </si>
  <si>
    <t>Utilities (Monthly)</t>
  </si>
  <si>
    <t>Transportation (Monthly)</t>
  </si>
  <si>
    <t>Childcare (Weekly)</t>
  </si>
  <si>
    <t>Number of families making less than self-sufficient wage</t>
  </si>
  <si>
    <t>From the U.S. Census Bureau, input the estimated number of families who earn less than $10,000 annually (www.census.gov, click on the Data tab and select "American FactFinder" from the dropdown menu, click "Advanced Search" then click the "Show Me All" button, click on "Geographies" and select "County" from the dropdown menu, select "Virginia" from the dropdown menu, select desired county (or city) from the dropdown menu, click on "Add to Your Selections," close the "Select Geographies" box and from the list beneath, click on DP03 Selected Economic Characteristics 5-Year Estimates," on the list find "Families" under the Subject INCOME AND BENEFITS and enter the  number of families making less than $10,000)</t>
  </si>
  <si>
    <t>From the U.S. Census Bureau, input the estimated total number of Families (www.census.gov, click on the Data tab and select "American FactFinder" from the dropdown menu, click "Advanced Search" then click the "Show Me All" button, click on "Geographies" and select "County" from the dropdown menu, select "Virginia" from the dropdown menu, select desired county (or city) from the dropdown menu, click on "Add to Your Selections," close the "Select Geographies" box and from the list beneath, click on DP03 Selected Economic Characteristics 5-Year Estimates," on the list find "Families" under the Subject INCOME AND BENEFITS and enter the total number of Families)</t>
  </si>
  <si>
    <t>Formula calculates the difference between the Total Working Income of a family with two children and the upper end of the Census income range, and multiplies it by the total number of families in that Census income range, and then adds the amounts from each Census income range</t>
  </si>
  <si>
    <t>Formula calculates the difference between the Total Working Income of a family with two children and the lower end of the Census income range, and multiplies it by the total number of families in that Census income range, and then adds the amounts from each Census income range</t>
  </si>
  <si>
    <t>Formula adds the number of families who make less than the Total Working Income</t>
  </si>
  <si>
    <t>From the Virginia Department of Taxation, input the Total Adjusted Gross Income from the desired city or county (www.tax.virginia.gov, click on "Facts and Figures," click on Annual Reports and select the most current)</t>
  </si>
  <si>
    <t>Formula calculates the percentage that the low end of the local income deficit represents of the total income of the subject county/city</t>
  </si>
  <si>
    <t>Formula calculates the percentage that the high end of the local income deficit represents of the total income of the subject county/city</t>
  </si>
  <si>
    <t>From the U.S. Census Bureau, input the estimated number of families who earn between $10,000 and $14,999 annually (www.census.gov, click on the Data tab and select "American FactFinder" from the dropdown menu, click "Advanced Search" then click the "Show Me All" button, click on "Geographies" and select "County" from the dropdown menu, select "Virginia" from the dropdown menu, select desired county (or city) from the dropdown menu, click on "Add to Your Selections," close the "Select Geographies" box and from the list beneath, click on "DP03 Selected Economic Characteristics 5-Year Estimates," on the list find "Families" under the Subject INCOME AND BENEFITS and enter the  number of families making between $10,000 and $14,999)</t>
  </si>
  <si>
    <t>From the U.S. Census Bureau, input the estimated number of families who earn between $15,000 and $24,999 annually (www.census.gov, click on the Data tab and select "American FactFinder" from the dropdown menu, click "Advanced Search" then click the "Show Me All" button, click on "Geographies" and select "County" from the dropdown menu, select "Virginia" from the dropdown menu, select desired county (or city) from the dropdown menu, click on "Add to Your Selections," close the "Select Geographies" box and from the list beneath, click on "DP03 Selected Economic Characteristics 5-Year Estimates," on the list find "Families" under the Subject INCOME AND BENEFITS and enter the  number of families making between $15,000 and $24,999)</t>
  </si>
  <si>
    <t>From the U.S. Census Bureau, input the estimated number of families who earn between $25,000 and $34,999 annually (www.census.gov, click on the Data tab and select "American FactFinder" from the dropdown menu, click "Advanced Search" then click the "Show Me All" button, click on "Geographies" and select "County" from the dropdown menu, select "Virginia" from the dropdown menu, select desired county (or city) from the dropdown menu, click on "Add to Your Selections," close the "Select Geographies" box and from the list beneath, click on "DP03 Selected Economic Characteristics 5-Year Estimates," on the list find "Families" under the Subject INCOME AND BENEFITS and enter the  number of families making  between $25,000 and $34,999)</t>
  </si>
  <si>
    <t>Formula divides the total number of families making less than the Total Working Income by the total number of families</t>
  </si>
  <si>
    <t>Charlottesville</t>
  </si>
  <si>
    <t>Percent of Income that is Housing</t>
  </si>
  <si>
    <t>Albemarle FMR 2-Bedroom</t>
  </si>
  <si>
    <t>Buckingham</t>
  </si>
  <si>
    <t>Fluvanna</t>
  </si>
  <si>
    <t>Greene</t>
  </si>
  <si>
    <t>Louisa</t>
  </si>
  <si>
    <t>Nelson</t>
  </si>
  <si>
    <t>Albemarle Childcare</t>
  </si>
  <si>
    <t>Repairs/Maintenance (Annual)</t>
  </si>
  <si>
    <t>Insurance (Annual)</t>
  </si>
  <si>
    <t>Fuel (Annual)</t>
  </si>
  <si>
    <t>Legend:</t>
  </si>
  <si>
    <t>Uniform statewide amount</t>
  </si>
  <si>
    <t>Locality specific amount</t>
  </si>
  <si>
    <t>Uniform national amount</t>
  </si>
  <si>
    <t>Toddler</t>
  </si>
  <si>
    <t>Pre-School</t>
  </si>
  <si>
    <t>Single Adult</t>
  </si>
  <si>
    <t>Single Householder + 1 child (school age)</t>
  </si>
  <si>
    <t>Single Householder + 1 child (in childcare)</t>
  </si>
  <si>
    <t>Single Householder + 2 kids (1 school age)</t>
  </si>
  <si>
    <t>Single Householder + 3 kids (2 school age)</t>
  </si>
  <si>
    <t>Two Adults  + 1 child (in child care)</t>
  </si>
  <si>
    <t>Single Householder + 3 kids (all school age)</t>
  </si>
  <si>
    <t>Single Householder + 2 children (both school age)</t>
  </si>
  <si>
    <t>One-bedroom</t>
  </si>
  <si>
    <t>Single Householder</t>
  </si>
  <si>
    <t>Single Householder + 1 kid (Not School Age)</t>
  </si>
  <si>
    <t>Single Householder + 1 kid (school age)</t>
  </si>
  <si>
    <t>Single Householder + 2 kids (both school age)</t>
  </si>
  <si>
    <t>Two adults + 1 kid (not school age)</t>
  </si>
  <si>
    <t>Male aged 19-50</t>
  </si>
  <si>
    <t>Male aged 25-34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</si>
</sst>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44" formatCode="_(&quot;$&quot;* #,##0.00_);_(&quot;$&quot;* \(#,##0.00\);_(&quot;$&quot;* &quot;-&quot;??_);_(@_)"/>
    <numFmt numFmtId="43" formatCode="_(* #,##0.00_);_(* \(#,##0.00\);_(* &quot;-&quot;??_);_(@_)"/>
    <numFmt numFmtId="164" formatCode="_([$$-409]* #,##0.00_);_([$$-409]* \(#,##0.00\);_([$$-409]* &quot;-&quot;??_);_(@_)"/>
    <numFmt numFmtId="165" formatCode="&quot;$&quot;#,##0.00"/>
    <numFmt numFmtId="166" formatCode="_(* #,##0_);_(* \(#,##0\);_(* &quot;-&quot;??_);_(@_)"/>
    <numFmt numFmtId="167" formatCode="_([$$-409]* #,##0_);_([$$-409]* \(#,##0\);_([$$-409]* &quot;-&quot;??_);_(@_)"/>
  </numFmts>
  <fonts count="13" x14ac:knownFonts="1">
    <font>
      <sz val="11"/>
      <color theme="1"/>
      <name val="Calibri"/>
      <family val="2"/>
      <scheme val="minor"/>
    </font>
    <font>
      <sz val="11"/>
      <color theme="1"/>
      <name val="Calibri"/>
      <family val="2"/>
      <scheme val="minor"/>
    </font>
    <font>
      <u/>
      <sz val="11"/>
      <color theme="10"/>
      <name val="Calibri"/>
      <family val="2"/>
      <scheme val="minor"/>
    </font>
    <font>
      <u/>
      <sz val="11"/>
      <color theme="11"/>
      <name val="Calibri"/>
      <family val="2"/>
      <scheme val="minor"/>
    </font>
    <font>
      <b/>
      <sz val="11"/>
      <color theme="1"/>
      <name val="Calibri"/>
      <family val="2"/>
      <scheme val="minor"/>
    </font>
    <font>
      <i/>
      <sz val="11"/>
      <color theme="1"/>
      <name val="Calibri"/>
      <family val="2"/>
      <scheme val="minor"/>
    </font>
    <font>
      <b/>
      <i/>
      <sz val="11"/>
      <color theme="1"/>
      <name val="Calibri"/>
      <family val="2"/>
      <scheme val="minor"/>
    </font>
    <font>
      <b/>
      <sz val="9"/>
      <color rgb="FF000000"/>
      <name val="Tahoma"/>
      <family val="2"/>
    </font>
    <font>
      <sz val="9"/>
      <color rgb="FF000000"/>
      <name val="Tahoma"/>
      <family val="2"/>
    </font>
    <font>
      <sz val="10"/>
      <color rgb="FF000000"/>
      <name val="Tahoma"/>
      <family val="2"/>
    </font>
    <font>
      <b/>
      <sz val="10"/>
      <color rgb="FF000000"/>
      <name val="Tahoma"/>
      <family val="2"/>
    </font>
    <font>
      <sz val="10"/>
      <color rgb="FF000000"/>
      <name val="Calibri"/>
      <family val="2"/>
    </font>
    <font>
      <b/>
      <sz val="12"/>
      <color theme="1"/>
      <name val="Calibri"/>
      <family val="2"/>
      <scheme val="minor"/>
    </font>
  </fonts>
  <fills count="8">
    <fill>
      <patternFill patternType="none"/>
    </fill>
    <fill>
      <patternFill patternType="gray125"/>
    </fill>
    <fill>
      <patternFill patternType="solid">
        <fgColor rgb="FFFFFF00"/>
        <bgColor indexed="64"/>
      </patternFill>
    </fill>
    <fill>
      <patternFill patternType="solid">
        <fgColor rgb="FF92D050"/>
        <bgColor indexed="64"/>
      </patternFill>
    </fill>
    <fill>
      <patternFill patternType="solid">
        <fgColor theme="2" tint="-9.9948118533890809E-2"/>
        <bgColor indexed="64"/>
      </patternFill>
    </fill>
    <fill>
      <patternFill patternType="solid">
        <fgColor theme="2"/>
        <bgColor indexed="64"/>
      </patternFill>
    </fill>
    <fill>
      <patternFill patternType="solid">
        <fgColor rgb="FF00B0F0"/>
        <bgColor indexed="64"/>
      </patternFill>
    </fill>
    <fill>
      <patternFill patternType="solid">
        <fgColor theme="0" tint="-0.14999847407452621"/>
        <bgColor indexed="64"/>
      </patternFill>
    </fill>
  </fills>
  <borders count="22">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style="medium">
        <color indexed="64"/>
      </left>
      <right/>
      <top style="medium">
        <color indexed="64"/>
      </top>
      <bottom style="thin">
        <color auto="1"/>
      </bottom>
      <diagonal/>
    </border>
    <border>
      <left/>
      <right/>
      <top style="medium">
        <color indexed="64"/>
      </top>
      <bottom style="thin">
        <color auto="1"/>
      </bottom>
      <diagonal/>
    </border>
    <border>
      <left/>
      <right style="medium">
        <color indexed="64"/>
      </right>
      <top style="medium">
        <color indexed="64"/>
      </top>
      <bottom style="thin">
        <color auto="1"/>
      </bottom>
      <diagonal/>
    </border>
    <border>
      <left style="medium">
        <color indexed="64"/>
      </left>
      <right style="thin">
        <color auto="1"/>
      </right>
      <top style="thin">
        <color auto="1"/>
      </top>
      <bottom style="thin">
        <color auto="1"/>
      </bottom>
      <diagonal/>
    </border>
    <border>
      <left style="thin">
        <color auto="1"/>
      </left>
      <right style="medium">
        <color indexed="64"/>
      </right>
      <top style="thin">
        <color auto="1"/>
      </top>
      <bottom style="thin">
        <color auto="1"/>
      </bottom>
      <diagonal/>
    </border>
    <border>
      <left style="medium">
        <color indexed="64"/>
      </left>
      <right/>
      <top/>
      <bottom/>
      <diagonal/>
    </border>
    <border>
      <left/>
      <right style="medium">
        <color indexed="64"/>
      </right>
      <top/>
      <bottom/>
      <diagonal/>
    </border>
    <border>
      <left style="medium">
        <color indexed="64"/>
      </left>
      <right style="thin">
        <color auto="1"/>
      </right>
      <top style="thin">
        <color auto="1"/>
      </top>
      <bottom style="medium">
        <color indexed="64"/>
      </bottom>
      <diagonal/>
    </border>
    <border>
      <left style="thin">
        <color auto="1"/>
      </left>
      <right style="thin">
        <color auto="1"/>
      </right>
      <top style="thin">
        <color auto="1"/>
      </top>
      <bottom style="medium">
        <color indexed="64"/>
      </bottom>
      <diagonal/>
    </border>
    <border>
      <left style="thin">
        <color auto="1"/>
      </left>
      <right style="medium">
        <color indexed="64"/>
      </right>
      <top style="thin">
        <color auto="1"/>
      </top>
      <bottom style="medium">
        <color indexed="64"/>
      </bottom>
      <diagonal/>
    </border>
    <border>
      <left/>
      <right style="medium">
        <color indexed="64"/>
      </right>
      <top style="thin">
        <color auto="1"/>
      </top>
      <bottom style="thin">
        <color auto="1"/>
      </bottom>
      <diagonal/>
    </border>
    <border>
      <left/>
      <right/>
      <top style="thin">
        <color auto="1"/>
      </top>
      <bottom style="medium">
        <color indexed="64"/>
      </bottom>
      <diagonal/>
    </border>
    <border>
      <left style="medium">
        <color indexed="64"/>
      </left>
      <right/>
      <top style="thin">
        <color auto="1"/>
      </top>
      <bottom style="thin">
        <color auto="1"/>
      </bottom>
      <diagonal/>
    </border>
    <border>
      <left style="medium">
        <color indexed="64"/>
      </left>
      <right/>
      <top style="thin">
        <color auto="1"/>
      </top>
      <bottom style="medium">
        <color indexed="64"/>
      </bottom>
      <diagonal/>
    </border>
    <border>
      <left/>
      <right style="medium">
        <color indexed="64"/>
      </right>
      <top style="thin">
        <color auto="1"/>
      </top>
      <bottom style="medium">
        <color indexed="64"/>
      </bottom>
      <diagonal/>
    </border>
    <border>
      <left style="thin">
        <color indexed="64"/>
      </left>
      <right style="thin">
        <color indexed="64"/>
      </right>
      <top/>
      <bottom/>
      <diagonal/>
    </border>
    <border>
      <left style="thin">
        <color auto="1"/>
      </left>
      <right/>
      <top/>
      <bottom/>
      <diagonal/>
    </border>
    <border>
      <left/>
      <right style="thin">
        <color auto="1"/>
      </right>
      <top style="thin">
        <color auto="1"/>
      </top>
      <bottom style="thin">
        <color auto="1"/>
      </bottom>
      <diagonal/>
    </border>
  </borders>
  <cellStyleXfs count="16">
    <xf numFmtId="0" fontId="0" fillId="0" borderId="0"/>
    <xf numFmtId="44" fontId="1" fillId="0" borderId="0" applyFon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43" fontId="1" fillId="0" borderId="0" applyFont="0" applyFill="0" applyBorder="0" applyAlignment="0" applyProtection="0"/>
    <xf numFmtId="9" fontId="1" fillId="0" borderId="0" applyFont="0" applyFill="0" applyBorder="0" applyAlignment="0" applyProtection="0"/>
  </cellStyleXfs>
  <cellXfs count="238">
    <xf numFmtId="0" fontId="0" fillId="0" borderId="0" xfId="0"/>
    <xf numFmtId="164" fontId="0" fillId="0" borderId="0" xfId="0" applyNumberFormat="1"/>
    <xf numFmtId="164" fontId="0" fillId="0" borderId="0" xfId="1" applyNumberFormat="1" applyFont="1"/>
    <xf numFmtId="0" fontId="0" fillId="0" borderId="0" xfId="0" applyNumberFormat="1"/>
    <xf numFmtId="165" fontId="0" fillId="0" borderId="0" xfId="0" applyNumberFormat="1"/>
    <xf numFmtId="0" fontId="0" fillId="0" borderId="1" xfId="0" applyBorder="1"/>
    <xf numFmtId="164" fontId="0" fillId="0" borderId="1" xfId="0" applyNumberFormat="1" applyBorder="1"/>
    <xf numFmtId="44" fontId="0" fillId="0" borderId="1" xfId="0" applyNumberFormat="1" applyBorder="1"/>
    <xf numFmtId="165" fontId="0" fillId="2" borderId="0" xfId="0" applyNumberFormat="1" applyFill="1"/>
    <xf numFmtId="0" fontId="0" fillId="2" borderId="0" xfId="0" applyNumberFormat="1" applyFill="1"/>
    <xf numFmtId="165" fontId="0" fillId="2" borderId="0" xfId="1" applyNumberFormat="1" applyFont="1" applyFill="1"/>
    <xf numFmtId="0" fontId="4" fillId="0" borderId="0" xfId="0" applyFont="1"/>
    <xf numFmtId="49" fontId="0" fillId="0" borderId="0" xfId="0" applyNumberFormat="1"/>
    <xf numFmtId="49" fontId="5" fillId="2" borderId="0" xfId="0" applyNumberFormat="1" applyFont="1" applyFill="1" applyAlignment="1">
      <alignment horizontal="left" vertical="top" wrapText="1"/>
    </xf>
    <xf numFmtId="49" fontId="5" fillId="2" borderId="0" xfId="0" applyNumberFormat="1" applyFont="1" applyFill="1" applyAlignment="1">
      <alignment vertical="top" wrapText="1"/>
    </xf>
    <xf numFmtId="49" fontId="0" fillId="0" borderId="0" xfId="0" applyNumberFormat="1" applyAlignment="1">
      <alignment vertical="top" wrapText="1"/>
    </xf>
    <xf numFmtId="0" fontId="4" fillId="0" borderId="0" xfId="0" applyFont="1" applyAlignment="1">
      <alignment vertical="center"/>
    </xf>
    <xf numFmtId="0" fontId="0" fillId="0" borderId="0" xfId="0" applyAlignment="1">
      <alignment vertical="center"/>
    </xf>
    <xf numFmtId="0" fontId="6" fillId="0" borderId="0" xfId="0" applyFont="1" applyAlignment="1">
      <alignment horizontal="left" vertical="center" wrapText="1"/>
    </xf>
    <xf numFmtId="49" fontId="0" fillId="0" borderId="0" xfId="0" applyNumberFormat="1" applyAlignment="1">
      <alignment horizontal="left" vertical="top" wrapText="1"/>
    </xf>
    <xf numFmtId="49" fontId="0" fillId="0" borderId="0" xfId="1" applyNumberFormat="1" applyFont="1" applyAlignment="1">
      <alignment vertical="top" wrapText="1"/>
    </xf>
    <xf numFmtId="49" fontId="0" fillId="0" borderId="0" xfId="1" applyNumberFormat="1" applyFont="1" applyAlignment="1">
      <alignment horizontal="left" vertical="top" wrapText="1"/>
    </xf>
    <xf numFmtId="164" fontId="0" fillId="0" borderId="0" xfId="0" applyNumberFormat="1" applyProtection="1"/>
    <xf numFmtId="0" fontId="4" fillId="0" borderId="0" xfId="0" applyNumberFormat="1" applyFont="1"/>
    <xf numFmtId="164" fontId="4" fillId="0" borderId="0" xfId="0" applyNumberFormat="1" applyFont="1"/>
    <xf numFmtId="164" fontId="4" fillId="0" borderId="0" xfId="1" applyNumberFormat="1" applyFont="1"/>
    <xf numFmtId="49" fontId="4" fillId="0" borderId="0" xfId="0" applyNumberFormat="1" applyFont="1" applyAlignment="1">
      <alignment vertical="top" wrapText="1"/>
    </xf>
    <xf numFmtId="49" fontId="4" fillId="0" borderId="0" xfId="0" applyNumberFormat="1" applyFont="1" applyAlignment="1">
      <alignment wrapText="1"/>
    </xf>
    <xf numFmtId="0" fontId="4" fillId="0" borderId="1" xfId="0" applyFont="1" applyBorder="1"/>
    <xf numFmtId="44" fontId="4" fillId="0" borderId="1" xfId="0" applyNumberFormat="1" applyFont="1" applyBorder="1"/>
    <xf numFmtId="164" fontId="0" fillId="0" borderId="0" xfId="0" applyNumberFormat="1" applyAlignment="1">
      <alignment wrapText="1"/>
    </xf>
    <xf numFmtId="49" fontId="0" fillId="0" borderId="0" xfId="0" applyNumberFormat="1" applyAlignment="1">
      <alignment wrapText="1"/>
    </xf>
    <xf numFmtId="0" fontId="0" fillId="0" borderId="0" xfId="0" applyAlignment="1">
      <alignment wrapText="1"/>
    </xf>
    <xf numFmtId="44" fontId="0" fillId="0" borderId="0" xfId="1" applyFont="1"/>
    <xf numFmtId="9" fontId="0" fillId="0" borderId="0" xfId="15" applyFont="1"/>
    <xf numFmtId="165" fontId="0" fillId="3" borderId="0" xfId="0" applyNumberFormat="1" applyFill="1"/>
    <xf numFmtId="165" fontId="0" fillId="3" borderId="0" xfId="1" applyNumberFormat="1" applyFont="1" applyFill="1"/>
    <xf numFmtId="0" fontId="0" fillId="3" borderId="0" xfId="0" applyNumberFormat="1" applyFill="1"/>
    <xf numFmtId="166" fontId="0" fillId="3" borderId="0" xfId="14" applyNumberFormat="1" applyFont="1" applyFill="1"/>
    <xf numFmtId="0" fontId="4" fillId="0" borderId="0" xfId="0" applyFont="1" applyAlignment="1">
      <alignment wrapText="1"/>
    </xf>
    <xf numFmtId="49" fontId="5" fillId="3" borderId="0" xfId="0" applyNumberFormat="1" applyFont="1" applyFill="1" applyAlignment="1">
      <alignment vertical="top"/>
    </xf>
    <xf numFmtId="165" fontId="5" fillId="3" borderId="0" xfId="0" applyNumberFormat="1" applyFont="1" applyFill="1"/>
    <xf numFmtId="49" fontId="5" fillId="3" borderId="0" xfId="0" applyNumberFormat="1" applyFont="1" applyFill="1" applyAlignment="1">
      <alignment vertical="top" wrapText="1"/>
    </xf>
    <xf numFmtId="44" fontId="0" fillId="3" borderId="0" xfId="1" applyFont="1" applyFill="1"/>
    <xf numFmtId="0" fontId="0" fillId="0" borderId="1" xfId="0" applyBorder="1" applyAlignment="1">
      <alignment horizontal="center" wrapText="1"/>
    </xf>
    <xf numFmtId="164" fontId="0" fillId="0" borderId="0" xfId="0" applyNumberFormat="1" applyBorder="1"/>
    <xf numFmtId="164" fontId="0" fillId="0" borderId="1" xfId="0" applyNumberFormat="1" applyBorder="1" applyAlignment="1">
      <alignment horizontal="center" vertical="center"/>
    </xf>
    <xf numFmtId="44" fontId="4" fillId="0" borderId="0" xfId="0" applyNumberFormat="1" applyFont="1" applyBorder="1"/>
    <xf numFmtId="0" fontId="0" fillId="4" borderId="0" xfId="0" applyFill="1"/>
    <xf numFmtId="164" fontId="0" fillId="4" borderId="1" xfId="0" applyNumberFormat="1" applyFill="1" applyBorder="1"/>
    <xf numFmtId="0" fontId="0" fillId="4" borderId="1" xfId="0" applyFill="1" applyBorder="1"/>
    <xf numFmtId="44" fontId="0" fillId="4" borderId="1" xfId="0" applyNumberFormat="1" applyFill="1" applyBorder="1"/>
    <xf numFmtId="164" fontId="0" fillId="5" borderId="1" xfId="0" applyNumberFormat="1" applyFill="1" applyBorder="1"/>
    <xf numFmtId="44" fontId="0" fillId="5" borderId="1" xfId="0" applyNumberFormat="1" applyFill="1" applyBorder="1"/>
    <xf numFmtId="0" fontId="4" fillId="0" borderId="1" xfId="0" applyFont="1" applyBorder="1" applyAlignment="1">
      <alignment wrapText="1"/>
    </xf>
    <xf numFmtId="9" fontId="0" fillId="0" borderId="1" xfId="15" applyFont="1" applyBorder="1"/>
    <xf numFmtId="0" fontId="5" fillId="0" borderId="0" xfId="0" applyFont="1" applyAlignment="1">
      <alignment horizontal="left" vertical="top" wrapText="1" indent="1"/>
    </xf>
    <xf numFmtId="0" fontId="0" fillId="3" borderId="0" xfId="0" applyFill="1"/>
    <xf numFmtId="166" fontId="0" fillId="0" borderId="0" xfId="14" applyNumberFormat="1" applyFont="1"/>
    <xf numFmtId="167" fontId="0" fillId="0" borderId="1" xfId="0" applyNumberFormat="1" applyBorder="1"/>
    <xf numFmtId="0" fontId="0" fillId="3" borderId="0" xfId="0" applyFill="1" applyAlignment="1">
      <alignment wrapText="1"/>
    </xf>
    <xf numFmtId="0" fontId="0" fillId="3" borderId="0" xfId="0" applyNumberFormat="1" applyFill="1" applyAlignment="1">
      <alignment wrapText="1"/>
    </xf>
    <xf numFmtId="44" fontId="0" fillId="3" borderId="0" xfId="1" applyFont="1" applyFill="1" applyAlignment="1">
      <alignment wrapText="1"/>
    </xf>
    <xf numFmtId="49" fontId="0" fillId="0" borderId="0" xfId="15" applyNumberFormat="1" applyFont="1" applyAlignment="1">
      <alignment wrapText="1"/>
    </xf>
    <xf numFmtId="166" fontId="0" fillId="0" borderId="1" xfId="14" applyNumberFormat="1" applyFont="1" applyBorder="1"/>
    <xf numFmtId="0" fontId="0" fillId="0" borderId="0" xfId="1" applyNumberFormat="1" applyFont="1"/>
    <xf numFmtId="44" fontId="0" fillId="0" borderId="0" xfId="0" applyNumberFormat="1"/>
    <xf numFmtId="165" fontId="0" fillId="0" borderId="0" xfId="0" applyNumberFormat="1" applyFill="1"/>
    <xf numFmtId="164" fontId="0" fillId="2" borderId="0" xfId="0" applyNumberFormat="1" applyFill="1"/>
    <xf numFmtId="0" fontId="0" fillId="2" borderId="0" xfId="0" applyFill="1"/>
    <xf numFmtId="0" fontId="0" fillId="6" borderId="0" xfId="0" applyFill="1"/>
    <xf numFmtId="165" fontId="0" fillId="6" borderId="0" xfId="0" applyNumberFormat="1" applyFill="1"/>
    <xf numFmtId="165" fontId="0" fillId="6" borderId="0" xfId="1" applyNumberFormat="1" applyFont="1" applyFill="1"/>
    <xf numFmtId="164" fontId="0" fillId="6" borderId="0" xfId="0" applyNumberFormat="1" applyFill="1"/>
    <xf numFmtId="0" fontId="0" fillId="0" borderId="0" xfId="0" applyFill="1"/>
    <xf numFmtId="164" fontId="0" fillId="2" borderId="0" xfId="1" applyNumberFormat="1" applyFont="1" applyFill="1"/>
    <xf numFmtId="0" fontId="0" fillId="6" borderId="0" xfId="0" applyNumberFormat="1" applyFill="1"/>
    <xf numFmtId="0" fontId="0" fillId="0" borderId="0" xfId="0" applyBorder="1"/>
    <xf numFmtId="0" fontId="0" fillId="0" borderId="2" xfId="0" applyBorder="1"/>
    <xf numFmtId="0" fontId="0" fillId="4" borderId="2" xfId="0" applyFill="1" applyBorder="1"/>
    <xf numFmtId="0" fontId="0" fillId="5" borderId="2" xfId="0" applyFill="1" applyBorder="1"/>
    <xf numFmtId="0" fontId="4" fillId="0" borderId="2" xfId="0" applyFont="1" applyBorder="1"/>
    <xf numFmtId="0" fontId="0" fillId="0" borderId="7" xfId="0" applyBorder="1" applyAlignment="1">
      <alignment horizontal="center" wrapText="1"/>
    </xf>
    <xf numFmtId="164" fontId="0" fillId="0" borderId="7" xfId="0" applyNumberFormat="1" applyBorder="1"/>
    <xf numFmtId="164" fontId="0" fillId="0" borderId="8" xfId="0" applyNumberFormat="1" applyBorder="1"/>
    <xf numFmtId="164" fontId="0" fillId="4" borderId="7" xfId="0" applyNumberFormat="1" applyFill="1" applyBorder="1"/>
    <xf numFmtId="164" fontId="0" fillId="4" borderId="8" xfId="0" applyNumberFormat="1" applyFill="1" applyBorder="1"/>
    <xf numFmtId="0" fontId="0" fillId="4" borderId="8" xfId="0" applyFill="1" applyBorder="1"/>
    <xf numFmtId="164" fontId="0" fillId="5" borderId="7" xfId="0" applyNumberFormat="1" applyFill="1" applyBorder="1"/>
    <xf numFmtId="164" fontId="0" fillId="5" borderId="8" xfId="0" applyNumberFormat="1" applyFill="1" applyBorder="1"/>
    <xf numFmtId="164" fontId="0" fillId="0" borderId="9" xfId="0" applyNumberFormat="1" applyBorder="1"/>
    <xf numFmtId="44" fontId="4" fillId="0" borderId="10" xfId="0" applyNumberFormat="1" applyFont="1" applyBorder="1"/>
    <xf numFmtId="44" fontId="4" fillId="0" borderId="7" xfId="0" applyNumberFormat="1" applyFont="1" applyBorder="1"/>
    <xf numFmtId="44" fontId="0" fillId="0" borderId="8" xfId="0" applyNumberFormat="1" applyBorder="1"/>
    <xf numFmtId="44" fontId="0" fillId="4" borderId="7" xfId="0" applyNumberFormat="1" applyFill="1" applyBorder="1"/>
    <xf numFmtId="44" fontId="0" fillId="4" borderId="8" xfId="0" applyNumberFormat="1" applyFill="1" applyBorder="1"/>
    <xf numFmtId="44" fontId="0" fillId="0" borderId="7" xfId="0" applyNumberFormat="1" applyBorder="1"/>
    <xf numFmtId="44" fontId="0" fillId="5" borderId="7" xfId="0" applyNumberFormat="1" applyFill="1" applyBorder="1"/>
    <xf numFmtId="44" fontId="0" fillId="5" borderId="8" xfId="0" applyNumberFormat="1" applyFill="1" applyBorder="1"/>
    <xf numFmtId="44" fontId="4" fillId="0" borderId="11" xfId="0" applyNumberFormat="1" applyFont="1" applyBorder="1"/>
    <xf numFmtId="44" fontId="4" fillId="0" borderId="12" xfId="0" applyNumberFormat="1" applyFont="1" applyBorder="1"/>
    <xf numFmtId="44" fontId="4" fillId="0" borderId="13" xfId="0" applyNumberFormat="1" applyFont="1" applyBorder="1"/>
    <xf numFmtId="0" fontId="0" fillId="0" borderId="8" xfId="0" applyBorder="1" applyAlignment="1">
      <alignment horizontal="center" wrapText="1"/>
    </xf>
    <xf numFmtId="0" fontId="0" fillId="0" borderId="9" xfId="0" applyBorder="1"/>
    <xf numFmtId="164" fontId="0" fillId="0" borderId="14" xfId="0" applyNumberFormat="1" applyBorder="1"/>
    <xf numFmtId="164" fontId="4" fillId="0" borderId="7" xfId="0" applyNumberFormat="1" applyFont="1" applyBorder="1"/>
    <xf numFmtId="44" fontId="4" fillId="0" borderId="8" xfId="0" applyNumberFormat="1" applyFont="1" applyBorder="1"/>
    <xf numFmtId="164" fontId="4" fillId="0" borderId="11" xfId="0" applyNumberFormat="1" applyFont="1" applyBorder="1"/>
    <xf numFmtId="0" fontId="0" fillId="0" borderId="10" xfId="0" applyBorder="1"/>
    <xf numFmtId="0" fontId="0" fillId="4" borderId="3" xfId="0" applyFill="1" applyBorder="1"/>
    <xf numFmtId="0" fontId="0" fillId="0" borderId="14" xfId="0" applyBorder="1"/>
    <xf numFmtId="0" fontId="0" fillId="4" borderId="14" xfId="0" applyFill="1" applyBorder="1"/>
    <xf numFmtId="0" fontId="0" fillId="5" borderId="14" xfId="0" applyFill="1" applyBorder="1"/>
    <xf numFmtId="0" fontId="4" fillId="0" borderId="14" xfId="0" applyFont="1" applyBorder="1"/>
    <xf numFmtId="0" fontId="4" fillId="0" borderId="18" xfId="0" applyFont="1" applyBorder="1"/>
    <xf numFmtId="164" fontId="0" fillId="0" borderId="8" xfId="0" applyNumberFormat="1" applyBorder="1" applyAlignment="1">
      <alignment horizontal="center"/>
    </xf>
    <xf numFmtId="164" fontId="0" fillId="0" borderId="3" xfId="0" applyNumberFormat="1" applyBorder="1"/>
    <xf numFmtId="164" fontId="0" fillId="4" borderId="3" xfId="0" applyNumberFormat="1" applyFill="1" applyBorder="1"/>
    <xf numFmtId="164" fontId="0" fillId="5" borderId="3" xfId="0" applyNumberFormat="1" applyFill="1" applyBorder="1"/>
    <xf numFmtId="44" fontId="0" fillId="0" borderId="3" xfId="0" applyNumberFormat="1" applyBorder="1"/>
    <xf numFmtId="44" fontId="0" fillId="4" borderId="3" xfId="0" applyNumberFormat="1" applyFill="1" applyBorder="1"/>
    <xf numFmtId="44" fontId="0" fillId="5" borderId="3" xfId="0" applyNumberFormat="1" applyFill="1" applyBorder="1"/>
    <xf numFmtId="44" fontId="4" fillId="0" borderId="15" xfId="0" applyNumberFormat="1" applyFont="1" applyBorder="1"/>
    <xf numFmtId="44" fontId="4" fillId="0" borderId="3" xfId="0" applyNumberFormat="1" applyFont="1" applyBorder="1"/>
    <xf numFmtId="165" fontId="1" fillId="2" borderId="0" xfId="1" applyNumberFormat="1" applyFont="1" applyFill="1"/>
    <xf numFmtId="44" fontId="0" fillId="0" borderId="7" xfId="1" applyFont="1" applyBorder="1" applyAlignment="1"/>
    <xf numFmtId="44" fontId="0" fillId="0" borderId="7" xfId="1" applyFont="1" applyBorder="1"/>
    <xf numFmtId="44" fontId="0" fillId="4" borderId="7" xfId="1" applyFont="1" applyFill="1" applyBorder="1"/>
    <xf numFmtId="44" fontId="0" fillId="4" borderId="9" xfId="1" applyFont="1" applyFill="1" applyBorder="1"/>
    <xf numFmtId="44" fontId="0" fillId="5" borderId="7" xfId="1" applyFont="1" applyFill="1" applyBorder="1"/>
    <xf numFmtId="44" fontId="0" fillId="0" borderId="9" xfId="1" applyFont="1" applyBorder="1"/>
    <xf numFmtId="44" fontId="4" fillId="0" borderId="7" xfId="1" applyFont="1" applyBorder="1"/>
    <xf numFmtId="44" fontId="4" fillId="0" borderId="11" xfId="1" applyFont="1" applyBorder="1"/>
    <xf numFmtId="0" fontId="0" fillId="7" borderId="0" xfId="0" applyFill="1"/>
    <xf numFmtId="164" fontId="0" fillId="7" borderId="0" xfId="0" applyNumberFormat="1" applyFill="1"/>
    <xf numFmtId="165" fontId="0" fillId="7" borderId="0" xfId="0" applyNumberFormat="1" applyFill="1"/>
    <xf numFmtId="44" fontId="0" fillId="7" borderId="0" xfId="1" applyFont="1" applyFill="1"/>
    <xf numFmtId="164" fontId="4" fillId="7" borderId="0" xfId="0" applyNumberFormat="1" applyFont="1" applyFill="1"/>
    <xf numFmtId="0" fontId="4" fillId="7" borderId="0" xfId="0" applyFont="1" applyFill="1"/>
    <xf numFmtId="0" fontId="0" fillId="7" borderId="0" xfId="0" applyFill="1" applyAlignment="1">
      <alignment wrapText="1"/>
    </xf>
    <xf numFmtId="0" fontId="4" fillId="7" borderId="0" xfId="0" applyFont="1" applyFill="1" applyAlignment="1">
      <alignment wrapText="1"/>
    </xf>
    <xf numFmtId="164" fontId="0" fillId="7" borderId="0" xfId="0" applyNumberFormat="1" applyFill="1" applyProtection="1"/>
    <xf numFmtId="0" fontId="0" fillId="0" borderId="20" xfId="0" applyBorder="1"/>
    <xf numFmtId="0" fontId="4" fillId="0" borderId="20" xfId="0" applyFont="1" applyBorder="1"/>
    <xf numFmtId="0" fontId="12" fillId="0" borderId="0" xfId="0" applyFont="1"/>
    <xf numFmtId="0" fontId="12" fillId="7" borderId="0" xfId="0" applyFont="1" applyFill="1"/>
    <xf numFmtId="164" fontId="12" fillId="0" borderId="0" xfId="0" applyNumberFormat="1" applyFont="1"/>
    <xf numFmtId="164" fontId="12" fillId="7" borderId="0" xfId="0" applyNumberFormat="1" applyFont="1" applyFill="1"/>
    <xf numFmtId="164" fontId="12" fillId="0" borderId="0" xfId="1" applyNumberFormat="1" applyFont="1"/>
    <xf numFmtId="0" fontId="4" fillId="0" borderId="0" xfId="0" applyFont="1" applyFill="1"/>
    <xf numFmtId="0" fontId="0" fillId="0" borderId="0" xfId="0" applyFill="1" applyAlignment="1">
      <alignment wrapText="1"/>
    </xf>
    <xf numFmtId="44" fontId="0" fillId="0" borderId="0" xfId="1" applyFont="1" applyFill="1"/>
    <xf numFmtId="0" fontId="4" fillId="0" borderId="0" xfId="0" applyFont="1" applyFill="1" applyAlignment="1">
      <alignment wrapText="1"/>
    </xf>
    <xf numFmtId="164" fontId="12" fillId="0" borderId="0" xfId="0" applyNumberFormat="1" applyFont="1" applyFill="1"/>
    <xf numFmtId="164" fontId="0" fillId="0" borderId="0" xfId="0" applyNumberFormat="1" applyFill="1" applyProtection="1"/>
    <xf numFmtId="164" fontId="0" fillId="0" borderId="0" xfId="0" applyNumberFormat="1" applyFill="1"/>
    <xf numFmtId="164" fontId="4" fillId="0" borderId="0" xfId="0" applyNumberFormat="1" applyFont="1" applyFill="1"/>
    <xf numFmtId="44" fontId="0" fillId="3" borderId="0" xfId="1" applyNumberFormat="1" applyFont="1" applyFill="1"/>
    <xf numFmtId="44" fontId="12" fillId="0" borderId="0" xfId="0" applyNumberFormat="1" applyFont="1"/>
    <xf numFmtId="44" fontId="0" fillId="2" borderId="0" xfId="0" applyNumberFormat="1" applyFill="1"/>
    <xf numFmtId="44" fontId="0" fillId="3" borderId="0" xfId="0" applyNumberFormat="1" applyFill="1"/>
    <xf numFmtId="44" fontId="4" fillId="0" borderId="0" xfId="0" applyNumberFormat="1" applyFont="1"/>
    <xf numFmtId="44" fontId="0" fillId="0" borderId="0" xfId="15" applyNumberFormat="1" applyFont="1"/>
    <xf numFmtId="44" fontId="12" fillId="0" borderId="0" xfId="0" applyNumberFormat="1" applyFont="1" applyFill="1"/>
    <xf numFmtId="44" fontId="0" fillId="0" borderId="0" xfId="0" applyNumberFormat="1" applyFill="1"/>
    <xf numFmtId="44" fontId="4" fillId="0" borderId="0" xfId="0" applyNumberFormat="1" applyFont="1" applyFill="1"/>
    <xf numFmtId="44" fontId="0" fillId="0" borderId="0" xfId="0" applyNumberFormat="1" applyFill="1" applyAlignment="1">
      <alignment wrapText="1"/>
    </xf>
    <xf numFmtId="44" fontId="0" fillId="0" borderId="0" xfId="1" applyNumberFormat="1" applyFont="1" applyFill="1"/>
    <xf numFmtId="44" fontId="4" fillId="0" borderId="0" xfId="0" applyNumberFormat="1" applyFont="1" applyFill="1" applyAlignment="1">
      <alignment wrapText="1"/>
    </xf>
    <xf numFmtId="44" fontId="0" fillId="6" borderId="0" xfId="0" applyNumberFormat="1" applyFill="1"/>
    <xf numFmtId="164" fontId="0" fillId="6" borderId="0" xfId="1" applyNumberFormat="1" applyFont="1" applyFill="1"/>
    <xf numFmtId="44" fontId="4" fillId="0" borderId="0" xfId="1" applyNumberFormat="1" applyFont="1"/>
    <xf numFmtId="44" fontId="4" fillId="0" borderId="0" xfId="1" applyFont="1"/>
    <xf numFmtId="164" fontId="0" fillId="3" borderId="0" xfId="0" applyNumberFormat="1" applyFill="1"/>
    <xf numFmtId="0" fontId="12" fillId="0" borderId="0" xfId="0" applyFont="1" applyAlignment="1">
      <alignment wrapText="1"/>
    </xf>
    <xf numFmtId="165" fontId="4" fillId="0" borderId="0" xfId="0" applyNumberFormat="1" applyFont="1"/>
    <xf numFmtId="165" fontId="4" fillId="7" borderId="0" xfId="0" applyNumberFormat="1" applyFont="1" applyFill="1"/>
    <xf numFmtId="44" fontId="0" fillId="0" borderId="1" xfId="0" applyNumberFormat="1" applyBorder="1" applyAlignment="1"/>
    <xf numFmtId="44" fontId="0" fillId="4" borderId="0" xfId="0" applyNumberFormat="1" applyFill="1" applyBorder="1"/>
    <xf numFmtId="44" fontId="0" fillId="0" borderId="0" xfId="0" applyNumberFormat="1" applyBorder="1"/>
    <xf numFmtId="44" fontId="0" fillId="0" borderId="8" xfId="1" applyFont="1" applyBorder="1" applyAlignment="1"/>
    <xf numFmtId="44" fontId="0" fillId="0" borderId="8" xfId="1" applyFont="1" applyBorder="1"/>
    <xf numFmtId="44" fontId="0" fillId="4" borderId="8" xfId="1" applyFont="1" applyFill="1" applyBorder="1"/>
    <xf numFmtId="44" fontId="0" fillId="4" borderId="10" xfId="1" applyFont="1" applyFill="1" applyBorder="1"/>
    <xf numFmtId="44" fontId="0" fillId="5" borderId="8" xfId="1" applyFont="1" applyFill="1" applyBorder="1"/>
    <xf numFmtId="44" fontId="0" fillId="0" borderId="10" xfId="1" applyFont="1" applyBorder="1"/>
    <xf numFmtId="44" fontId="4" fillId="0" borderId="8" xfId="1" applyFont="1" applyBorder="1"/>
    <xf numFmtId="44" fontId="4" fillId="0" borderId="13" xfId="1" applyFont="1" applyBorder="1"/>
    <xf numFmtId="44" fontId="0" fillId="0" borderId="1" xfId="1" applyFont="1" applyBorder="1" applyAlignment="1">
      <alignment horizontal="center" wrapText="1"/>
    </xf>
    <xf numFmtId="44" fontId="0" fillId="0" borderId="3" xfId="1" applyFont="1" applyBorder="1"/>
    <xf numFmtId="44" fontId="0" fillId="4" borderId="3" xfId="1" applyFont="1" applyFill="1" applyBorder="1"/>
    <xf numFmtId="44" fontId="0" fillId="4" borderId="0" xfId="1" applyFont="1" applyFill="1" applyBorder="1"/>
    <xf numFmtId="44" fontId="0" fillId="5" borderId="3" xfId="1" applyFont="1" applyFill="1" applyBorder="1"/>
    <xf numFmtId="44" fontId="0" fillId="0" borderId="0" xfId="1" applyFont="1" applyBorder="1"/>
    <xf numFmtId="44" fontId="4" fillId="0" borderId="3" xfId="1" applyFont="1" applyBorder="1"/>
    <xf numFmtId="44" fontId="4" fillId="0" borderId="15" xfId="1" applyFont="1" applyBorder="1"/>
    <xf numFmtId="44" fontId="0" fillId="0" borderId="16" xfId="0" applyNumberFormat="1" applyBorder="1"/>
    <xf numFmtId="44" fontId="4" fillId="0" borderId="16" xfId="0" applyNumberFormat="1" applyFont="1" applyBorder="1"/>
    <xf numFmtId="44" fontId="4" fillId="0" borderId="17" xfId="0" applyNumberFormat="1" applyFont="1" applyBorder="1"/>
    <xf numFmtId="164" fontId="0" fillId="0" borderId="2" xfId="0" applyNumberFormat="1" applyBorder="1"/>
    <xf numFmtId="164" fontId="0" fillId="4" borderId="2" xfId="0" applyNumberFormat="1" applyFill="1" applyBorder="1"/>
    <xf numFmtId="164" fontId="0" fillId="5" borderId="2" xfId="0" applyNumberFormat="1" applyFill="1" applyBorder="1"/>
    <xf numFmtId="44" fontId="0" fillId="0" borderId="2" xfId="0" applyNumberFormat="1" applyBorder="1"/>
    <xf numFmtId="44" fontId="0" fillId="0" borderId="21" xfId="0" applyNumberFormat="1" applyBorder="1"/>
    <xf numFmtId="44" fontId="0" fillId="4" borderId="21" xfId="0" applyNumberFormat="1" applyFill="1" applyBorder="1"/>
    <xf numFmtId="44" fontId="0" fillId="5" borderId="21" xfId="0" applyNumberFormat="1" applyFill="1" applyBorder="1"/>
    <xf numFmtId="164" fontId="0" fillId="4" borderId="21" xfId="0" applyNumberFormat="1" applyFill="1" applyBorder="1"/>
    <xf numFmtId="164" fontId="0" fillId="0" borderId="16" xfId="0" applyNumberFormat="1" applyBorder="1"/>
    <xf numFmtId="44" fontId="0" fillId="0" borderId="16" xfId="1" applyFont="1" applyBorder="1"/>
    <xf numFmtId="44" fontId="0" fillId="0" borderId="1" xfId="1" applyFont="1" applyBorder="1"/>
    <xf numFmtId="44" fontId="0" fillId="4" borderId="1" xfId="1" applyFont="1" applyFill="1" applyBorder="1"/>
    <xf numFmtId="44" fontId="0" fillId="4" borderId="19" xfId="1" applyFont="1" applyFill="1" applyBorder="1"/>
    <xf numFmtId="44" fontId="0" fillId="5" borderId="1" xfId="1" applyFont="1" applyFill="1" applyBorder="1"/>
    <xf numFmtId="44" fontId="0" fillId="0" borderId="14" xfId="0" applyNumberFormat="1" applyBorder="1"/>
    <xf numFmtId="44" fontId="0" fillId="0" borderId="7" xfId="1" applyFont="1" applyBorder="1" applyAlignment="1">
      <alignment horizontal="center" wrapText="1"/>
    </xf>
    <xf numFmtId="44" fontId="0" fillId="0" borderId="7" xfId="0" applyNumberFormat="1" applyBorder="1" applyAlignment="1">
      <alignment horizontal="center" wrapText="1"/>
    </xf>
    <xf numFmtId="44" fontId="0" fillId="4" borderId="16" xfId="0" applyNumberFormat="1" applyFill="1" applyBorder="1"/>
    <xf numFmtId="44" fontId="0" fillId="5" borderId="16" xfId="0" applyNumberFormat="1" applyFill="1" applyBorder="1"/>
    <xf numFmtId="44" fontId="0" fillId="0" borderId="7" xfId="1" applyNumberFormat="1" applyFont="1" applyBorder="1"/>
    <xf numFmtId="44" fontId="0" fillId="0" borderId="9" xfId="0" applyNumberFormat="1" applyBorder="1"/>
    <xf numFmtId="44" fontId="0" fillId="0" borderId="8" xfId="0" applyNumberFormat="1" applyBorder="1" applyAlignment="1">
      <alignment horizontal="center" wrapText="1"/>
    </xf>
    <xf numFmtId="44" fontId="4" fillId="0" borderId="1" xfId="1" applyFont="1" applyBorder="1"/>
    <xf numFmtId="44" fontId="4" fillId="0" borderId="12" xfId="1" applyFont="1" applyBorder="1"/>
    <xf numFmtId="44" fontId="0" fillId="6" borderId="0" xfId="1" applyFont="1" applyFill="1"/>
    <xf numFmtId="0" fontId="0" fillId="0" borderId="4" xfId="0" applyBorder="1" applyAlignment="1">
      <alignment horizontal="center" vertical="center" wrapText="1"/>
    </xf>
    <xf numFmtId="0" fontId="0" fillId="0" borderId="5" xfId="0" applyBorder="1" applyAlignment="1">
      <alignment horizontal="center" vertical="center" wrapText="1"/>
    </xf>
    <xf numFmtId="0" fontId="0" fillId="0" borderId="6" xfId="0" applyBorder="1" applyAlignment="1">
      <alignment horizontal="center" vertical="center" wrapText="1"/>
    </xf>
    <xf numFmtId="0" fontId="0" fillId="2" borderId="4" xfId="0" applyFill="1" applyBorder="1" applyAlignment="1">
      <alignment horizontal="center" vertical="center" wrapText="1"/>
    </xf>
    <xf numFmtId="0" fontId="0" fillId="2" borderId="5" xfId="0" applyFill="1" applyBorder="1" applyAlignment="1">
      <alignment horizontal="center" vertical="center" wrapText="1"/>
    </xf>
    <xf numFmtId="0" fontId="0" fillId="2" borderId="6" xfId="0" applyFill="1" applyBorder="1" applyAlignment="1">
      <alignment horizontal="center" vertical="center" wrapText="1"/>
    </xf>
    <xf numFmtId="0" fontId="0" fillId="0" borderId="4" xfId="0" applyBorder="1" applyAlignment="1">
      <alignment horizontal="center" vertical="center"/>
    </xf>
    <xf numFmtId="0" fontId="0" fillId="0" borderId="5" xfId="0" applyBorder="1" applyAlignment="1">
      <alignment horizontal="center" vertical="center"/>
    </xf>
    <xf numFmtId="0" fontId="0" fillId="0" borderId="6" xfId="0" applyBorder="1" applyAlignment="1">
      <alignment horizontal="center" vertical="center"/>
    </xf>
    <xf numFmtId="0" fontId="12" fillId="0" borderId="0" xfId="0" applyFont="1" applyAlignment="1">
      <alignment horizontal="left" wrapText="1"/>
    </xf>
    <xf numFmtId="0" fontId="12" fillId="0" borderId="20" xfId="0" applyFont="1" applyBorder="1" applyAlignment="1">
      <alignment horizontal="left"/>
    </xf>
    <xf numFmtId="0" fontId="12" fillId="0" borderId="0" xfId="0" applyFont="1" applyBorder="1" applyAlignment="1">
      <alignment horizontal="left"/>
    </xf>
    <xf numFmtId="0" fontId="12" fillId="0" borderId="0" xfId="0" applyFont="1" applyFill="1" applyAlignment="1">
      <alignment horizontal="left" wrapText="1"/>
    </xf>
    <xf numFmtId="164" fontId="12" fillId="0" borderId="0" xfId="0" applyNumberFormat="1" applyFont="1" applyFill="1" applyAlignment="1">
      <alignment horizontal="left" wrapText="1"/>
    </xf>
  </cellXfs>
  <cellStyles count="16">
    <cellStyle name="Comma" xfId="14" builtinId="3"/>
    <cellStyle name="Currency" xfId="1" builtinId="4"/>
    <cellStyle name="Followed Hyperlink" xfId="3" builtinId="9" hidden="1"/>
    <cellStyle name="Followed Hyperlink" xfId="5" builtinId="9" hidden="1"/>
    <cellStyle name="Followed Hyperlink" xfId="7" builtinId="9" hidden="1"/>
    <cellStyle name="Followed Hyperlink" xfId="9" builtinId="9" hidden="1"/>
    <cellStyle name="Followed Hyperlink" xfId="11" builtinId="9" hidden="1"/>
    <cellStyle name="Followed Hyperlink" xfId="13" builtinId="9" hidden="1"/>
    <cellStyle name="Hyperlink" xfId="2" builtinId="8" hidden="1"/>
    <cellStyle name="Hyperlink" xfId="4" builtinId="8" hidden="1"/>
    <cellStyle name="Hyperlink" xfId="6" builtinId="8" hidden="1"/>
    <cellStyle name="Hyperlink" xfId="8" builtinId="8" hidden="1"/>
    <cellStyle name="Hyperlink" xfId="10" builtinId="8" hidden="1"/>
    <cellStyle name="Hyperlink" xfId="12" builtinId="8" hidden="1"/>
    <cellStyle name="Normal" xfId="0" builtinId="0"/>
    <cellStyle name="Percent" xfId="15"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B26"/>
  <sheetViews>
    <sheetView zoomScale="75" zoomScaleNormal="75" zoomScalePageLayoutView="75" workbookViewId="0">
      <selection activeCell="K1" sqref="K1:M1"/>
    </sheetView>
  </sheetViews>
  <sheetFormatPr baseColWidth="10" defaultColWidth="8.83203125" defaultRowHeight="15" x14ac:dyDescent="0.2"/>
  <cols>
    <col min="1" max="1" width="23.83203125" customWidth="1"/>
    <col min="2" max="2" width="11.1640625" style="33" bestFit="1" customWidth="1"/>
    <col min="3" max="3" width="8.6640625" style="66" bestFit="1" customWidth="1"/>
    <col min="4" max="4" width="7.6640625" style="33" bestFit="1" customWidth="1"/>
    <col min="5" max="5" width="11.1640625" style="33" bestFit="1" customWidth="1"/>
    <col min="6" max="6" width="9.33203125" style="33" customWidth="1"/>
    <col min="7" max="7" width="8.83203125" style="66" customWidth="1"/>
    <col min="8" max="8" width="11.1640625" style="66" bestFit="1" customWidth="1"/>
    <col min="9" max="9" width="11" style="33" customWidth="1"/>
    <col min="10" max="10" width="6.6640625" customWidth="1"/>
    <col min="11" max="11" width="11.1640625" style="1" bestFit="1" customWidth="1"/>
    <col min="12" max="12" width="10.1640625" style="1" bestFit="1" customWidth="1"/>
    <col min="13" max="13" width="8.6640625" style="1" bestFit="1" customWidth="1"/>
    <col min="14" max="14" width="11.33203125" style="1" customWidth="1"/>
    <col min="15" max="16" width="8.6640625" style="1" customWidth="1"/>
    <col min="17" max="17" width="10.83203125" style="1" customWidth="1"/>
    <col min="18" max="19" width="8.6640625" style="1" customWidth="1"/>
    <col min="20" max="20" width="11.1640625" style="1" customWidth="1"/>
    <col min="21" max="22" width="8.6640625" style="1" customWidth="1"/>
    <col min="23" max="23" width="11.1640625" bestFit="1" customWidth="1"/>
    <col min="24" max="24" width="10.1640625" style="1" bestFit="1" customWidth="1"/>
    <col min="25" max="25" width="8.6640625" style="1" bestFit="1" customWidth="1"/>
  </cols>
  <sheetData>
    <row r="1" spans="1:28" ht="30.75" customHeight="1" x14ac:dyDescent="0.2">
      <c r="A1" s="78"/>
      <c r="B1" s="230" t="s">
        <v>131</v>
      </c>
      <c r="C1" s="231"/>
      <c r="D1" s="232"/>
      <c r="E1" s="224" t="s">
        <v>133</v>
      </c>
      <c r="F1" s="225"/>
      <c r="G1" s="225"/>
      <c r="H1" s="224" t="s">
        <v>132</v>
      </c>
      <c r="I1" s="225"/>
      <c r="J1" s="226"/>
      <c r="K1" s="227" t="s">
        <v>134</v>
      </c>
      <c r="L1" s="228"/>
      <c r="M1" s="229"/>
      <c r="N1" s="224" t="s">
        <v>138</v>
      </c>
      <c r="O1" s="225"/>
      <c r="P1" s="225"/>
      <c r="Q1" s="224" t="s">
        <v>135</v>
      </c>
      <c r="R1" s="225"/>
      <c r="S1" s="226"/>
      <c r="T1" s="224" t="s">
        <v>137</v>
      </c>
      <c r="U1" s="225"/>
      <c r="V1" s="226"/>
      <c r="W1" s="224" t="s">
        <v>136</v>
      </c>
      <c r="X1" s="225"/>
      <c r="Y1" s="226"/>
    </row>
    <row r="2" spans="1:28" ht="16" x14ac:dyDescent="0.2">
      <c r="A2" s="78"/>
      <c r="B2" s="125" t="s">
        <v>90</v>
      </c>
      <c r="C2" s="177" t="s">
        <v>91</v>
      </c>
      <c r="D2" s="180" t="s">
        <v>92</v>
      </c>
      <c r="E2" s="214" t="s">
        <v>90</v>
      </c>
      <c r="F2" s="188" t="s">
        <v>91</v>
      </c>
      <c r="G2" s="220" t="s">
        <v>92</v>
      </c>
      <c r="H2" s="215" t="s">
        <v>90</v>
      </c>
      <c r="I2" s="188" t="s">
        <v>91</v>
      </c>
      <c r="J2" s="102" t="s">
        <v>92</v>
      </c>
      <c r="K2" s="82" t="s">
        <v>90</v>
      </c>
      <c r="L2" s="44" t="s">
        <v>91</v>
      </c>
      <c r="M2" s="115" t="s">
        <v>92</v>
      </c>
      <c r="N2" s="82" t="s">
        <v>90</v>
      </c>
      <c r="O2" s="44" t="s">
        <v>91</v>
      </c>
      <c r="P2" s="102" t="s">
        <v>92</v>
      </c>
      <c r="Q2" s="82" t="s">
        <v>90</v>
      </c>
      <c r="R2" s="44" t="s">
        <v>91</v>
      </c>
      <c r="S2" s="102" t="s">
        <v>92</v>
      </c>
      <c r="T2" s="82" t="s">
        <v>90</v>
      </c>
      <c r="U2" s="44" t="s">
        <v>91</v>
      </c>
      <c r="V2" s="102" t="s">
        <v>92</v>
      </c>
      <c r="W2" s="82" t="s">
        <v>90</v>
      </c>
      <c r="X2" s="44" t="s">
        <v>91</v>
      </c>
      <c r="Y2" s="102" t="s">
        <v>92</v>
      </c>
    </row>
    <row r="3" spans="1:28" x14ac:dyDescent="0.2">
      <c r="A3" s="78" t="s">
        <v>3</v>
      </c>
      <c r="B3" s="126">
        <f>'Locality 2020'!D2</f>
        <v>3169.9199999999996</v>
      </c>
      <c r="C3" s="7">
        <f>B3/12</f>
        <v>264.15999999999997</v>
      </c>
      <c r="D3" s="181">
        <f>B3/52</f>
        <v>60.959999999999994</v>
      </c>
      <c r="E3" s="189">
        <f>'Locality 2020'!H2</f>
        <v>4753.32</v>
      </c>
      <c r="F3" s="209">
        <f>E3/12</f>
        <v>396.10999999999996</v>
      </c>
      <c r="G3" s="119">
        <f>E3/52</f>
        <v>91.41</v>
      </c>
      <c r="H3" s="96">
        <f>'Locality 2020'!L2</f>
        <v>4753.32</v>
      </c>
      <c r="I3" s="209">
        <f>H3/12</f>
        <v>396.10999999999996</v>
      </c>
      <c r="J3" s="202">
        <f>H3/52</f>
        <v>91.41</v>
      </c>
      <c r="K3" s="83">
        <f>SUM('Locality 2020'!P3:P5)</f>
        <v>6344.52</v>
      </c>
      <c r="L3" s="6">
        <f>K3/12</f>
        <v>528.71</v>
      </c>
      <c r="M3" s="84">
        <f>K3/52</f>
        <v>122.01</v>
      </c>
      <c r="N3" s="116">
        <f>'Locality 2020'!T2</f>
        <v>8037.1200000000008</v>
      </c>
      <c r="O3" s="189">
        <f>N3/12</f>
        <v>669.7600000000001</v>
      </c>
      <c r="P3" s="213">
        <f>N3/52</f>
        <v>154.56</v>
      </c>
      <c r="Q3" s="96">
        <f>'Locality 2020'!X2</f>
        <v>8548.8000000000011</v>
      </c>
      <c r="R3" s="6">
        <f>Q3/12</f>
        <v>712.40000000000009</v>
      </c>
      <c r="S3" s="119">
        <f>Q3/52</f>
        <v>164.40000000000003</v>
      </c>
      <c r="T3" s="83">
        <f>'Locality 2020'!AB2</f>
        <v>8548.8000000000011</v>
      </c>
      <c r="U3" s="6">
        <f>T3/12</f>
        <v>712.40000000000009</v>
      </c>
      <c r="V3" s="202">
        <f>T3/52</f>
        <v>164.40000000000003</v>
      </c>
      <c r="W3" s="96">
        <f>'Locality 2020'!AF2</f>
        <v>7742.2800000000007</v>
      </c>
      <c r="X3" s="6">
        <f>W3/12</f>
        <v>645.19000000000005</v>
      </c>
      <c r="Y3" s="213">
        <f>W3/52</f>
        <v>148.89000000000001</v>
      </c>
    </row>
    <row r="4" spans="1:28" ht="7" customHeight="1" x14ac:dyDescent="0.2">
      <c r="A4" s="79"/>
      <c r="B4" s="127"/>
      <c r="C4" s="51"/>
      <c r="D4" s="182"/>
      <c r="E4" s="190"/>
      <c r="F4" s="210"/>
      <c r="G4" s="120"/>
      <c r="H4" s="94"/>
      <c r="I4" s="210"/>
      <c r="J4" s="79"/>
      <c r="K4" s="85"/>
      <c r="L4" s="49"/>
      <c r="M4" s="86"/>
      <c r="N4" s="117"/>
      <c r="O4" s="49"/>
      <c r="P4" s="117"/>
      <c r="Q4" s="94"/>
      <c r="R4" s="49"/>
      <c r="S4" s="200"/>
      <c r="T4" s="85"/>
      <c r="U4" s="49"/>
      <c r="V4" s="200"/>
      <c r="W4" s="94"/>
      <c r="X4" s="49"/>
      <c r="Y4" s="86"/>
      <c r="Z4" s="74"/>
      <c r="AA4" s="74"/>
      <c r="AB4" s="74"/>
    </row>
    <row r="5" spans="1:28" x14ac:dyDescent="0.2">
      <c r="A5" s="78" t="s">
        <v>6</v>
      </c>
      <c r="B5" s="126">
        <f>'Locality 2020'!D9</f>
        <v>400</v>
      </c>
      <c r="C5" s="7"/>
      <c r="D5" s="181"/>
      <c r="E5" s="189">
        <f>'Locality 2020'!H9</f>
        <v>800</v>
      </c>
      <c r="F5" s="209"/>
      <c r="G5" s="119"/>
      <c r="H5" s="96">
        <f>'Locality 2020'!L9</f>
        <v>800</v>
      </c>
      <c r="I5" s="209"/>
      <c r="J5" s="78"/>
      <c r="K5" s="83">
        <f>SUM('Locality 2020'!P10:P12)</f>
        <v>1090</v>
      </c>
      <c r="L5" s="6"/>
      <c r="M5" s="84"/>
      <c r="N5" s="116">
        <f>'Locality 2020'!T9</f>
        <v>1040</v>
      </c>
      <c r="O5" s="6"/>
      <c r="P5" s="116"/>
      <c r="Q5" s="96">
        <f>'Locality 2020'!X9</f>
        <v>1410</v>
      </c>
      <c r="R5" s="6"/>
      <c r="S5" s="199"/>
      <c r="T5" s="83">
        <f>'Locality 2020'!AB9</f>
        <v>1410</v>
      </c>
      <c r="U5" s="6"/>
      <c r="V5" s="199"/>
      <c r="W5" s="96">
        <f>'Locality 2020'!AF9</f>
        <v>1147</v>
      </c>
      <c r="X5" s="6"/>
      <c r="Y5" s="84"/>
    </row>
    <row r="6" spans="1:28" ht="7" customHeight="1" x14ac:dyDescent="0.2">
      <c r="A6" s="48"/>
      <c r="B6" s="128"/>
      <c r="C6" s="178"/>
      <c r="D6" s="183"/>
      <c r="E6" s="191"/>
      <c r="F6" s="211"/>
      <c r="G6" s="178"/>
      <c r="H6" s="94"/>
      <c r="I6" s="210"/>
      <c r="J6" s="87"/>
      <c r="K6" s="206"/>
      <c r="L6" s="49"/>
      <c r="M6" s="87"/>
      <c r="N6" s="109"/>
      <c r="O6" s="50"/>
      <c r="P6" s="109"/>
      <c r="Q6" s="94"/>
      <c r="R6" s="49"/>
      <c r="S6" s="200"/>
      <c r="T6" s="85"/>
      <c r="U6" s="49"/>
      <c r="V6" s="86"/>
      <c r="W6" s="204"/>
      <c r="X6" s="49"/>
      <c r="Y6" s="86"/>
    </row>
    <row r="7" spans="1:28" x14ac:dyDescent="0.2">
      <c r="A7" s="78" t="s">
        <v>7</v>
      </c>
      <c r="B7" s="126">
        <f>'Locality 2020'!D16</f>
        <v>0</v>
      </c>
      <c r="C7" s="7">
        <f>B7/12</f>
        <v>0</v>
      </c>
      <c r="D7" s="181"/>
      <c r="E7" s="189">
        <f>'Locality 2020'!H16</f>
        <v>0</v>
      </c>
      <c r="F7" s="209">
        <f>'Locality 2020'!G16</f>
        <v>0</v>
      </c>
      <c r="G7" s="119"/>
      <c r="H7" s="96">
        <f>'Locality 2020'!L16</f>
        <v>0</v>
      </c>
      <c r="I7" s="209">
        <f>'Locality 2020'!S16</f>
        <v>0</v>
      </c>
      <c r="J7" s="78"/>
      <c r="K7" s="83">
        <f>'Locality 2020'!P16</f>
        <v>0</v>
      </c>
      <c r="L7" s="6">
        <f>'Locality 2020'!O16</f>
        <v>0</v>
      </c>
      <c r="M7" s="84"/>
      <c r="N7" s="116">
        <f>'Locality 2020'!T16</f>
        <v>0</v>
      </c>
      <c r="O7" s="6">
        <f>'Locality 2020'!S16</f>
        <v>0</v>
      </c>
      <c r="P7" s="116"/>
      <c r="Q7" s="96">
        <f>'Locality 2020'!X16</f>
        <v>0</v>
      </c>
      <c r="R7" s="6">
        <f>'Locality 2020'!W16</f>
        <v>0</v>
      </c>
      <c r="S7" s="199"/>
      <c r="T7" s="83">
        <f>'Locality 2020'!AB16</f>
        <v>0</v>
      </c>
      <c r="U7" s="6">
        <f>'Locality 2020'!AA16</f>
        <v>0</v>
      </c>
      <c r="V7" s="199"/>
      <c r="W7" s="96">
        <f>'Locality 2020'!AF16</f>
        <v>0</v>
      </c>
      <c r="X7" s="6">
        <f>'Locality 2020'!AE16</f>
        <v>0</v>
      </c>
      <c r="Y7" s="84"/>
    </row>
    <row r="8" spans="1:28" ht="7" customHeight="1" x14ac:dyDescent="0.2">
      <c r="A8" s="79"/>
      <c r="B8" s="127"/>
      <c r="C8" s="51"/>
      <c r="D8" s="182"/>
      <c r="E8" s="190"/>
      <c r="F8" s="210"/>
      <c r="G8" s="120"/>
      <c r="H8" s="94"/>
      <c r="I8" s="210"/>
      <c r="J8" s="79"/>
      <c r="K8" s="85"/>
      <c r="L8" s="49"/>
      <c r="M8" s="86"/>
      <c r="N8" s="117"/>
      <c r="O8" s="49"/>
      <c r="P8" s="117"/>
      <c r="Q8" s="94"/>
      <c r="R8" s="49"/>
      <c r="S8" s="200"/>
      <c r="T8" s="85"/>
      <c r="U8" s="49"/>
      <c r="V8" s="200"/>
      <c r="W8" s="94"/>
      <c r="X8" s="49"/>
      <c r="Y8" s="86"/>
    </row>
    <row r="9" spans="1:28" x14ac:dyDescent="0.2">
      <c r="A9" s="78" t="s">
        <v>10</v>
      </c>
      <c r="B9" s="126">
        <f>'Locality 2020'!D18</f>
        <v>2406.7777777777778</v>
      </c>
      <c r="C9" s="7">
        <f>B9/12</f>
        <v>200.56481481481481</v>
      </c>
      <c r="D9" s="181"/>
      <c r="E9" s="189">
        <f>'Locality 2020'!H18</f>
        <v>2658.7777777777778</v>
      </c>
      <c r="F9" s="209">
        <f>E9/12</f>
        <v>221.56481481481481</v>
      </c>
      <c r="G9" s="119"/>
      <c r="H9" s="96">
        <f>'Locality 2020'!L18</f>
        <v>2658.7777777777778</v>
      </c>
      <c r="I9" s="209">
        <f>H9/12</f>
        <v>221.56481481481481</v>
      </c>
      <c r="J9" s="78"/>
      <c r="K9" s="83">
        <f>'Locality 2020'!P18</f>
        <v>2658.7777777777778</v>
      </c>
      <c r="L9" s="209">
        <f>K9/12</f>
        <v>221.56481481481481</v>
      </c>
      <c r="M9" s="84"/>
      <c r="N9" s="116">
        <f>'Locality 2020'!T18</f>
        <v>2658.7777777777778</v>
      </c>
      <c r="O9" s="209">
        <f>N9/12</f>
        <v>221.56481481481481</v>
      </c>
      <c r="P9" s="116"/>
      <c r="Q9" s="96">
        <f>'Locality 2020'!X18</f>
        <v>3078.7777777777778</v>
      </c>
      <c r="R9" s="209">
        <f>Q9/12</f>
        <v>256.56481481481484</v>
      </c>
      <c r="S9" s="199"/>
      <c r="T9" s="83">
        <f>'Locality 2020'!AB18</f>
        <v>3078.7777777777778</v>
      </c>
      <c r="U9" s="209">
        <f>T9/12</f>
        <v>256.56481481481484</v>
      </c>
      <c r="V9" s="199"/>
      <c r="W9" s="96">
        <f>'Locality 2020'!AF18</f>
        <v>3221</v>
      </c>
      <c r="X9" s="209">
        <f>W9/12</f>
        <v>268.41666666666669</v>
      </c>
      <c r="Y9" s="84"/>
    </row>
    <row r="10" spans="1:28" ht="7" customHeight="1" x14ac:dyDescent="0.2">
      <c r="A10" s="80"/>
      <c r="B10" s="129"/>
      <c r="C10" s="53"/>
      <c r="D10" s="184"/>
      <c r="E10" s="192"/>
      <c r="F10" s="212"/>
      <c r="G10" s="121"/>
      <c r="H10" s="97"/>
      <c r="I10" s="212"/>
      <c r="J10" s="80"/>
      <c r="K10" s="88"/>
      <c r="L10" s="52"/>
      <c r="M10" s="89"/>
      <c r="N10" s="118"/>
      <c r="O10" s="52"/>
      <c r="P10" s="118"/>
      <c r="Q10" s="97"/>
      <c r="R10" s="52"/>
      <c r="S10" s="201"/>
      <c r="T10" s="88"/>
      <c r="U10" s="52"/>
      <c r="V10" s="89"/>
      <c r="W10" s="205"/>
      <c r="X10" s="52"/>
      <c r="Y10" s="89"/>
    </row>
    <row r="11" spans="1:28" x14ac:dyDescent="0.2">
      <c r="A11" s="78" t="s">
        <v>12</v>
      </c>
      <c r="B11" s="126">
        <f>'Locality 2020'!D31</f>
        <v>1195.3395555555555</v>
      </c>
      <c r="C11" s="7"/>
      <c r="D11" s="181"/>
      <c r="E11" s="189">
        <f>'Locality 2020'!H31</f>
        <v>1642.4195555555555</v>
      </c>
      <c r="F11" s="209"/>
      <c r="G11" s="93"/>
      <c r="H11" s="203">
        <f>'Locality 2020'!L31</f>
        <v>1642.4195555555555</v>
      </c>
      <c r="I11" s="209"/>
      <c r="J11" s="78"/>
      <c r="K11" s="83">
        <f>'Locality 2020'!P31</f>
        <v>2018.6595555555557</v>
      </c>
      <c r="L11" s="6"/>
      <c r="M11" s="84"/>
      <c r="N11" s="116">
        <f>'Locality 2020'!T31</f>
        <v>2347.1795555555559</v>
      </c>
      <c r="O11" s="6"/>
      <c r="P11" s="116"/>
      <c r="Q11" s="96">
        <f>'Locality 2020'!X31</f>
        <v>2607.5155555555557</v>
      </c>
      <c r="R11" s="6"/>
      <c r="S11" s="199"/>
      <c r="T11" s="83">
        <f>'Locality 2020'!AB31</f>
        <v>2607.5155555555557</v>
      </c>
      <c r="U11" s="6"/>
      <c r="V11" s="199"/>
      <c r="W11" s="96">
        <f>'Locality 2020'!AF31</f>
        <v>2422.056</v>
      </c>
      <c r="X11" s="6"/>
      <c r="Y11" s="84"/>
    </row>
    <row r="12" spans="1:28" ht="7" customHeight="1" x14ac:dyDescent="0.2">
      <c r="A12" s="79"/>
      <c r="B12" s="127"/>
      <c r="C12" s="51"/>
      <c r="D12" s="182"/>
      <c r="E12" s="190"/>
      <c r="F12" s="210"/>
      <c r="G12" s="95"/>
      <c r="H12" s="204"/>
      <c r="I12" s="210"/>
      <c r="J12" s="79"/>
      <c r="K12" s="85"/>
      <c r="L12" s="49"/>
      <c r="M12" s="86"/>
      <c r="N12" s="117"/>
      <c r="O12" s="49"/>
      <c r="P12" s="117"/>
      <c r="Q12" s="94"/>
      <c r="R12" s="49"/>
      <c r="S12" s="200"/>
      <c r="T12" s="49"/>
      <c r="U12" s="49"/>
      <c r="V12" s="200"/>
      <c r="W12" s="94"/>
      <c r="X12" s="49"/>
      <c r="Y12" s="86"/>
    </row>
    <row r="13" spans="1:28" x14ac:dyDescent="0.2">
      <c r="A13" s="78" t="s">
        <v>59</v>
      </c>
      <c r="B13" s="126">
        <f>SUM(B3:B11)</f>
        <v>7172.0373333333328</v>
      </c>
      <c r="C13" s="7"/>
      <c r="D13" s="181"/>
      <c r="E13" s="208">
        <f>SUM(E3:E11)</f>
        <v>9854.5173333333332</v>
      </c>
      <c r="F13" s="209"/>
      <c r="G13" s="119"/>
      <c r="H13" s="218">
        <f>SUM(H3:H11)</f>
        <v>9854.5173333333332</v>
      </c>
      <c r="I13" s="209"/>
      <c r="J13" s="78"/>
      <c r="K13" s="83">
        <f>SUM(K3:K11)</f>
        <v>12111.957333333334</v>
      </c>
      <c r="L13" s="6"/>
      <c r="M13" s="84"/>
      <c r="N13" s="207">
        <f>SUM(N3:N11)</f>
        <v>14083.077333333335</v>
      </c>
      <c r="O13" s="6"/>
      <c r="P13" s="116"/>
      <c r="Q13" s="96">
        <f>SUM(Q3:Q11)</f>
        <v>15645.093333333334</v>
      </c>
      <c r="R13" s="6"/>
      <c r="S13" s="84"/>
      <c r="T13" s="203">
        <f>SUM(T3:T11)</f>
        <v>15645.093333333334</v>
      </c>
      <c r="U13" s="6"/>
      <c r="V13" s="199"/>
      <c r="W13" s="96">
        <f>SUM(W3:W11)</f>
        <v>14532.336000000001</v>
      </c>
      <c r="X13" s="6"/>
      <c r="Y13" s="84"/>
    </row>
    <row r="14" spans="1:28" x14ac:dyDescent="0.2">
      <c r="B14" s="130"/>
      <c r="C14" s="179"/>
      <c r="D14" s="185"/>
      <c r="E14" s="193"/>
      <c r="F14" s="193"/>
      <c r="G14" s="179"/>
      <c r="H14" s="219"/>
      <c r="I14" s="193"/>
      <c r="J14" s="108"/>
      <c r="K14" s="90"/>
      <c r="L14" s="45"/>
      <c r="M14" s="91"/>
      <c r="N14" s="47"/>
      <c r="O14" s="47"/>
      <c r="P14" s="47"/>
      <c r="Q14" s="103"/>
      <c r="R14" s="45"/>
      <c r="S14" s="104"/>
      <c r="T14" s="45"/>
      <c r="U14" s="45"/>
      <c r="V14" s="45"/>
      <c r="W14" s="103"/>
      <c r="X14" s="45"/>
      <c r="Y14" s="104"/>
    </row>
    <row r="15" spans="1:28" x14ac:dyDescent="0.2">
      <c r="A15" s="81" t="s">
        <v>59</v>
      </c>
      <c r="B15" s="131">
        <f>B13</f>
        <v>7172.0373333333328</v>
      </c>
      <c r="C15" s="29"/>
      <c r="D15" s="186"/>
      <c r="E15" s="194">
        <f>E13</f>
        <v>9854.5173333333332</v>
      </c>
      <c r="F15" s="221"/>
      <c r="G15" s="123"/>
      <c r="H15" s="197">
        <f>'Locality 2020'!L33</f>
        <v>9854.5173333333332</v>
      </c>
      <c r="I15" s="221"/>
      <c r="J15" s="113"/>
      <c r="K15" s="92">
        <f>'Locality 2020'!P33</f>
        <v>12111.957333333334</v>
      </c>
      <c r="L15" s="29"/>
      <c r="M15" s="93"/>
      <c r="N15" s="123">
        <f>'Locality 2020'!T33</f>
        <v>14083.077333333335</v>
      </c>
      <c r="O15" s="7"/>
      <c r="P15" s="119"/>
      <c r="Q15" s="105">
        <f>'Locality 2020'!X33</f>
        <v>15645.093333333334</v>
      </c>
      <c r="R15" s="29"/>
      <c r="S15" s="106"/>
      <c r="T15" s="123">
        <f>'Locality 2020'!AB33</f>
        <v>15645.093333333334</v>
      </c>
      <c r="U15" s="29"/>
      <c r="V15" s="123"/>
      <c r="W15" s="105">
        <f>'Locality 2020'!AF33</f>
        <v>14532.336000000001</v>
      </c>
      <c r="X15" s="29"/>
      <c r="Y15" s="106"/>
    </row>
    <row r="16" spans="1:28" ht="6.75" customHeight="1" x14ac:dyDescent="0.2">
      <c r="A16" s="79"/>
      <c r="B16" s="127"/>
      <c r="C16" s="51"/>
      <c r="D16" s="182"/>
      <c r="E16" s="190"/>
      <c r="F16" s="210"/>
      <c r="G16" s="120"/>
      <c r="H16" s="216"/>
      <c r="I16" s="210"/>
      <c r="J16" s="111"/>
      <c r="K16" s="94"/>
      <c r="L16" s="51"/>
      <c r="M16" s="95"/>
      <c r="N16" s="120"/>
      <c r="O16" s="51"/>
      <c r="P16" s="120"/>
      <c r="Q16" s="85"/>
      <c r="R16" s="51"/>
      <c r="S16" s="95"/>
      <c r="T16" s="120"/>
      <c r="U16" s="51"/>
      <c r="V16" s="120"/>
      <c r="W16" s="85"/>
      <c r="X16" s="51"/>
      <c r="Y16" s="95"/>
    </row>
    <row r="17" spans="1:25" x14ac:dyDescent="0.2">
      <c r="A17" s="78" t="s">
        <v>60</v>
      </c>
      <c r="B17" s="126">
        <f>'Locality 2020'!D35</f>
        <v>2588.2352941176468</v>
      </c>
      <c r="C17" s="7">
        <f>B17/12</f>
        <v>215.68627450980389</v>
      </c>
      <c r="D17" s="181"/>
      <c r="E17" s="189">
        <f>'Locality 2020'!H35</f>
        <v>2588.2352941176468</v>
      </c>
      <c r="F17" s="7">
        <f>E17/12</f>
        <v>215.68627450980389</v>
      </c>
      <c r="G17" s="119"/>
      <c r="H17" s="196">
        <f>'Locality 2020'!L35</f>
        <v>2588.2352941176468</v>
      </c>
      <c r="I17" s="7">
        <f>H17/12</f>
        <v>215.68627450980389</v>
      </c>
      <c r="J17" s="110"/>
      <c r="K17" s="96">
        <f>'Locality 2020'!P35</f>
        <v>2588.2352941176468</v>
      </c>
      <c r="L17" s="7">
        <f>K17/12</f>
        <v>215.68627450980389</v>
      </c>
      <c r="M17" s="93"/>
      <c r="N17" s="119">
        <f>'Locality 2020'!T35</f>
        <v>2588.2352941176468</v>
      </c>
      <c r="O17" s="7">
        <f>N17/12</f>
        <v>215.68627450980389</v>
      </c>
      <c r="P17" s="119"/>
      <c r="Q17" s="83">
        <f>'Locality 2020'!X35</f>
        <v>2588.2352941176468</v>
      </c>
      <c r="R17" s="7">
        <f>Q17/12</f>
        <v>215.68627450980389</v>
      </c>
      <c r="S17" s="93"/>
      <c r="T17" s="119">
        <f>'Locality 2020'!AB35</f>
        <v>2588.2352941176468</v>
      </c>
      <c r="U17" s="7">
        <f>T17/12</f>
        <v>215.68627450980389</v>
      </c>
      <c r="V17" s="119"/>
      <c r="W17" s="83">
        <f>'Locality 2020'!AF35</f>
        <v>4400</v>
      </c>
      <c r="X17" s="7">
        <f>W17/12</f>
        <v>366.66666666666669</v>
      </c>
      <c r="Y17" s="93"/>
    </row>
    <row r="18" spans="1:25" ht="7.5" customHeight="1" x14ac:dyDescent="0.2">
      <c r="A18" s="80"/>
      <c r="B18" s="129"/>
      <c r="C18" s="53"/>
      <c r="D18" s="184"/>
      <c r="E18" s="192"/>
      <c r="F18" s="212"/>
      <c r="G18" s="121"/>
      <c r="H18" s="217"/>
      <c r="I18" s="212"/>
      <c r="J18" s="112"/>
      <c r="K18" s="97"/>
      <c r="L18" s="53"/>
      <c r="M18" s="98"/>
      <c r="N18" s="121"/>
      <c r="O18" s="53"/>
      <c r="P18" s="121"/>
      <c r="Q18" s="88"/>
      <c r="R18" s="53"/>
      <c r="S18" s="98"/>
      <c r="T18" s="121"/>
      <c r="U18" s="53"/>
      <c r="V18" s="121"/>
      <c r="W18" s="88"/>
      <c r="X18" s="53"/>
      <c r="Y18" s="98"/>
    </row>
    <row r="19" spans="1:25" x14ac:dyDescent="0.2">
      <c r="A19" s="78" t="s">
        <v>61</v>
      </c>
      <c r="B19" s="126">
        <v>0</v>
      </c>
      <c r="C19" s="7"/>
      <c r="D19" s="181"/>
      <c r="E19" s="189">
        <f>'Locality 2020'!H37</f>
        <v>0</v>
      </c>
      <c r="F19" s="7">
        <f>E19/12</f>
        <v>0</v>
      </c>
      <c r="G19" s="119">
        <f>'Locality 2020'!G37</f>
        <v>0</v>
      </c>
      <c r="H19" s="196">
        <v>0</v>
      </c>
      <c r="I19" s="209"/>
      <c r="J19" s="110"/>
      <c r="K19" s="96">
        <f>'Locality 2020'!P37</f>
        <v>0</v>
      </c>
      <c r="L19" s="7">
        <f>K19/12</f>
        <v>0</v>
      </c>
      <c r="M19" s="93">
        <f>'Locality 2020'!O37</f>
        <v>0</v>
      </c>
      <c r="N19" s="119">
        <v>0</v>
      </c>
      <c r="O19" s="7"/>
      <c r="P19" s="119"/>
      <c r="Q19" s="83">
        <f>'Locality 2020'!X37</f>
        <v>0</v>
      </c>
      <c r="R19" s="7">
        <f>Q19/12</f>
        <v>0</v>
      </c>
      <c r="S19" s="93">
        <f>'Locality 2020'!W37</f>
        <v>0</v>
      </c>
      <c r="T19" s="119">
        <v>0</v>
      </c>
      <c r="U19" s="7"/>
      <c r="V19" s="119"/>
      <c r="W19" s="83">
        <f>'Locality 2020'!AF37</f>
        <v>0</v>
      </c>
      <c r="X19" s="7">
        <f>W19/12</f>
        <v>0</v>
      </c>
      <c r="Y19" s="93">
        <f>'Locality 2020'!AE37</f>
        <v>0</v>
      </c>
    </row>
    <row r="20" spans="1:25" ht="8.25" customHeight="1" x14ac:dyDescent="0.2">
      <c r="A20" s="79"/>
      <c r="B20" s="127"/>
      <c r="C20" s="51"/>
      <c r="D20" s="182"/>
      <c r="E20" s="190"/>
      <c r="F20" s="210"/>
      <c r="G20" s="120"/>
      <c r="H20" s="216"/>
      <c r="I20" s="210"/>
      <c r="J20" s="111"/>
      <c r="K20" s="94"/>
      <c r="L20" s="51"/>
      <c r="M20" s="95"/>
      <c r="N20" s="120"/>
      <c r="O20" s="51"/>
      <c r="P20" s="120"/>
      <c r="Q20" s="85"/>
      <c r="R20" s="51"/>
      <c r="S20" s="95"/>
      <c r="T20" s="120"/>
      <c r="U20" s="51"/>
      <c r="V20" s="120"/>
      <c r="W20" s="85"/>
      <c r="X20" s="51"/>
      <c r="Y20" s="95"/>
    </row>
    <row r="21" spans="1:25" ht="16" thickBot="1" x14ac:dyDescent="0.25">
      <c r="A21" s="81" t="s">
        <v>62</v>
      </c>
      <c r="B21" s="132">
        <f>'Locality 2020'!D39</f>
        <v>9760.2726274509805</v>
      </c>
      <c r="C21" s="100"/>
      <c r="D21" s="187"/>
      <c r="E21" s="195">
        <f>'Locality 2020'!H39</f>
        <v>12442.75262745098</v>
      </c>
      <c r="F21" s="222"/>
      <c r="G21" s="122"/>
      <c r="H21" s="198">
        <f>'Locality 2020'!L39</f>
        <v>12442.75262745098</v>
      </c>
      <c r="I21" s="222"/>
      <c r="J21" s="114"/>
      <c r="K21" s="99">
        <f>'Locality 2020'!P39</f>
        <v>14700.192627450981</v>
      </c>
      <c r="L21" s="100"/>
      <c r="M21" s="101"/>
      <c r="N21" s="122">
        <f>'Locality 2020'!T39</f>
        <v>16671.312627450981</v>
      </c>
      <c r="O21" s="100"/>
      <c r="P21" s="122"/>
      <c r="Q21" s="107">
        <f>'Locality 2020'!X39</f>
        <v>18233.328627450981</v>
      </c>
      <c r="R21" s="100"/>
      <c r="S21" s="101"/>
      <c r="T21" s="122">
        <f>'Locality 2020'!AB39</f>
        <v>18233.328627450981</v>
      </c>
      <c r="U21" s="100"/>
      <c r="V21" s="122"/>
      <c r="W21" s="107">
        <f>'Locality 2020'!AF39</f>
        <v>18932.336000000003</v>
      </c>
      <c r="X21" s="100"/>
      <c r="Y21" s="101"/>
    </row>
    <row r="26" spans="1:25" x14ac:dyDescent="0.2">
      <c r="W26" s="77"/>
    </row>
  </sheetData>
  <sheetProtection sheet="1" objects="1" scenarios="1"/>
  <mergeCells count="8">
    <mergeCell ref="T1:V1"/>
    <mergeCell ref="K1:M1"/>
    <mergeCell ref="W1:Y1"/>
    <mergeCell ref="B1:D1"/>
    <mergeCell ref="E1:G1"/>
    <mergeCell ref="H1:J1"/>
    <mergeCell ref="N1:P1"/>
    <mergeCell ref="Q1:S1"/>
  </mergeCells>
  <pageMargins left="0.7" right="0.7" top="0.75" bottom="0.75" header="0.3" footer="0.3"/>
  <pageSetup orientation="portrait" horizontalDpi="4294967292" verticalDpi="4294967292"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G60"/>
  <sheetViews>
    <sheetView zoomScale="76" zoomScaleNormal="75" zoomScalePageLayoutView="75" workbookViewId="0">
      <pane xSplit="1" ySplit="1" topLeftCell="K2" activePane="bottomRight" state="frozen"/>
      <selection pane="topRight" activeCell="B1" sqref="B1"/>
      <selection pane="bottomLeft" activeCell="A2" sqref="A2"/>
      <selection pane="bottomRight" activeCell="O3" sqref="O3"/>
    </sheetView>
  </sheetViews>
  <sheetFormatPr baseColWidth="10" defaultColWidth="8.83203125" defaultRowHeight="15" x14ac:dyDescent="0.2"/>
  <cols>
    <col min="1" max="1" width="23.83203125" customWidth="1"/>
    <col min="2" max="2" width="18" bestFit="1" customWidth="1"/>
    <col min="3" max="3" width="8.6640625" style="66" bestFit="1" customWidth="1"/>
    <col min="4" max="4" width="12.5" style="66" bestFit="1" customWidth="1"/>
    <col min="5" max="5" width="3" style="133" customWidth="1"/>
    <col min="6" max="6" width="19" bestFit="1" customWidth="1"/>
    <col min="7" max="7" width="18.83203125" style="3" customWidth="1"/>
    <col min="8" max="8" width="12.5" bestFit="1" customWidth="1"/>
    <col min="9" max="9" width="3.5" style="133" customWidth="1"/>
    <col min="10" max="10" width="19" style="74" bestFit="1" customWidth="1"/>
    <col min="11" max="11" width="10.1640625" style="164" bestFit="1" customWidth="1"/>
    <col min="12" max="12" width="12.5" style="164" bestFit="1" customWidth="1"/>
    <col min="13" max="13" width="3.5" style="133" customWidth="1"/>
    <col min="14" max="14" width="24.1640625" customWidth="1"/>
    <col min="15" max="15" width="17.33203125" style="66" bestFit="1" customWidth="1"/>
    <col min="16" max="16" width="15.6640625" style="1" bestFit="1" customWidth="1"/>
    <col min="17" max="17" width="3.33203125" style="134" customWidth="1"/>
    <col min="18" max="18" width="19" style="155" bestFit="1" customWidth="1"/>
    <col min="19" max="19" width="10.1640625" style="155" bestFit="1" customWidth="1"/>
    <col min="20" max="20" width="12.5" style="155" bestFit="1" customWidth="1"/>
    <col min="21" max="21" width="3.33203125" style="134" customWidth="1"/>
    <col min="22" max="22" width="27.1640625" bestFit="1" customWidth="1"/>
    <col min="23" max="23" width="9.1640625" style="2" bestFit="1" customWidth="1"/>
    <col min="24" max="24" width="12.5" style="1" bestFit="1" customWidth="1"/>
    <col min="25" max="25" width="2.83203125" style="133" customWidth="1"/>
    <col min="26" max="26" width="19" customWidth="1"/>
    <col min="27" max="27" width="10.1640625" style="66" bestFit="1" customWidth="1"/>
    <col min="28" max="28" width="12.5" bestFit="1" customWidth="1"/>
    <col min="29" max="29" width="3.1640625" style="133" customWidth="1"/>
    <col min="30" max="30" width="16.6640625" customWidth="1"/>
    <col min="31" max="31" width="10.1640625" style="66" bestFit="1" customWidth="1"/>
    <col min="32" max="32" width="12.5" bestFit="1" customWidth="1"/>
    <col min="33" max="33" width="2.83203125" style="133" customWidth="1"/>
  </cols>
  <sheetData>
    <row r="1" spans="1:33" s="144" customFormat="1" ht="34" customHeight="1" x14ac:dyDescent="0.2">
      <c r="B1" s="234" t="s">
        <v>140</v>
      </c>
      <c r="C1" s="235"/>
      <c r="D1" s="158" t="s">
        <v>90</v>
      </c>
      <c r="E1" s="145"/>
      <c r="F1" s="233" t="s">
        <v>141</v>
      </c>
      <c r="G1" s="233"/>
      <c r="H1" s="144" t="s">
        <v>90</v>
      </c>
      <c r="I1" s="145"/>
      <c r="J1" s="236" t="s">
        <v>142</v>
      </c>
      <c r="K1" s="236"/>
      <c r="L1" s="163" t="s">
        <v>90</v>
      </c>
      <c r="M1" s="145"/>
      <c r="N1" s="233" t="s">
        <v>134</v>
      </c>
      <c r="O1" s="233"/>
      <c r="P1" s="146" t="s">
        <v>90</v>
      </c>
      <c r="Q1" s="147"/>
      <c r="R1" s="237" t="s">
        <v>143</v>
      </c>
      <c r="S1" s="237"/>
      <c r="T1" s="153" t="s">
        <v>90</v>
      </c>
      <c r="U1" s="147"/>
      <c r="V1" s="174" t="s">
        <v>135</v>
      </c>
      <c r="W1" s="148"/>
      <c r="X1" s="146" t="s">
        <v>90</v>
      </c>
      <c r="Y1" s="145"/>
      <c r="Z1" s="233" t="s">
        <v>137</v>
      </c>
      <c r="AA1" s="233"/>
      <c r="AB1" s="144" t="s">
        <v>90</v>
      </c>
      <c r="AC1" s="145"/>
      <c r="AD1" s="144" t="s">
        <v>144</v>
      </c>
      <c r="AE1" s="158"/>
      <c r="AF1" s="144" t="s">
        <v>90</v>
      </c>
      <c r="AG1" s="145"/>
    </row>
    <row r="2" spans="1:33" x14ac:dyDescent="0.2">
      <c r="A2" s="11" t="s">
        <v>3</v>
      </c>
      <c r="B2" s="142"/>
      <c r="D2" s="161">
        <f>D3+D4+D5+D6</f>
        <v>3169.9199999999996</v>
      </c>
      <c r="E2" s="134"/>
      <c r="H2" s="24">
        <f>H3+H4+H5+H6</f>
        <v>4753.32</v>
      </c>
      <c r="L2" s="161">
        <f>L3+L4+L5+L6</f>
        <v>4753.32</v>
      </c>
      <c r="P2" s="24">
        <f>P3+P4+P5+P6</f>
        <v>6344.52</v>
      </c>
      <c r="Q2" s="141"/>
      <c r="R2" s="154"/>
      <c r="S2" s="154"/>
      <c r="T2" s="24">
        <f>T3+T4+T5+T6</f>
        <v>8037.1200000000008</v>
      </c>
      <c r="U2" s="141"/>
      <c r="X2" s="24">
        <f>X3+X4+X5+X6</f>
        <v>8548.8000000000011</v>
      </c>
      <c r="AB2" s="24">
        <f>AB3+AB4+AB5+AB6</f>
        <v>8548.8000000000011</v>
      </c>
      <c r="AF2" s="24">
        <f>AF3+AF4+AF5+AF6+AF7</f>
        <v>7742.2800000000007</v>
      </c>
    </row>
    <row r="3" spans="1:33" x14ac:dyDescent="0.2">
      <c r="B3" s="142"/>
      <c r="F3" t="s">
        <v>0</v>
      </c>
      <c r="G3" s="8">
        <f>'Data Form'!C8*1.1</f>
        <v>35.53</v>
      </c>
      <c r="H3" s="4">
        <f>G3*52</f>
        <v>1847.56</v>
      </c>
      <c r="J3" t="s">
        <v>0</v>
      </c>
      <c r="K3" s="159">
        <f>'Data Form'!C8*1.1</f>
        <v>35.53</v>
      </c>
      <c r="L3" s="66">
        <f>K3*52</f>
        <v>1847.56</v>
      </c>
      <c r="N3" t="s">
        <v>0</v>
      </c>
      <c r="O3" s="159">
        <f>'Data Form'!C8*1.05</f>
        <v>33.914999999999999</v>
      </c>
      <c r="P3" s="1">
        <f>O3*52</f>
        <v>1763.58</v>
      </c>
      <c r="R3" t="s">
        <v>0</v>
      </c>
      <c r="V3" t="s">
        <v>0</v>
      </c>
      <c r="W3" s="2">
        <f>'Data Form'!C8</f>
        <v>32.299999999999997</v>
      </c>
      <c r="X3" s="1">
        <f>W3*52</f>
        <v>1679.6</v>
      </c>
      <c r="Z3" t="s">
        <v>0</v>
      </c>
      <c r="AA3" s="66" cm="1">
        <f t="array" ref="AA3:AA6">'Data Form'!C8:C11</f>
        <v>32.299999999999997</v>
      </c>
      <c r="AB3" s="66">
        <f>AA3*52</f>
        <v>1679.6</v>
      </c>
      <c r="AD3" t="s">
        <v>0</v>
      </c>
      <c r="AE3" s="66">
        <f>'Data Form'!C8*1.05</f>
        <v>33.914999999999999</v>
      </c>
      <c r="AF3" s="66">
        <f>AE3*52</f>
        <v>1763.58</v>
      </c>
    </row>
    <row r="4" spans="1:33" x14ac:dyDescent="0.2">
      <c r="B4" s="142"/>
      <c r="F4" t="s">
        <v>1</v>
      </c>
      <c r="G4" s="8"/>
      <c r="J4" t="s">
        <v>1</v>
      </c>
      <c r="K4" s="159"/>
      <c r="L4" s="66"/>
      <c r="N4" t="s">
        <v>1</v>
      </c>
      <c r="O4" s="159">
        <f>'Data Form'!C9*1.05</f>
        <v>34.755000000000003</v>
      </c>
      <c r="P4" s="1">
        <f>O4*52</f>
        <v>1807.2600000000002</v>
      </c>
      <c r="R4" t="s">
        <v>1</v>
      </c>
      <c r="V4" t="s">
        <v>1</v>
      </c>
      <c r="W4" s="2">
        <f>'Data Form'!C9</f>
        <v>33.1</v>
      </c>
      <c r="X4" s="1">
        <f>W4*52</f>
        <v>1721.2</v>
      </c>
      <c r="Z4" t="s">
        <v>1</v>
      </c>
      <c r="AA4" s="66">
        <v>33.1</v>
      </c>
      <c r="AB4" s="66">
        <f t="shared" ref="AB4:AB6" si="0">AA4*52</f>
        <v>1721.2</v>
      </c>
      <c r="AD4" t="s">
        <v>1</v>
      </c>
      <c r="AF4" s="66">
        <f t="shared" ref="AF4:AF7" si="1">AE4*52</f>
        <v>0</v>
      </c>
    </row>
    <row r="5" spans="1:33" x14ac:dyDescent="0.2">
      <c r="B5" s="142"/>
      <c r="F5" t="s">
        <v>2</v>
      </c>
      <c r="G5" s="8">
        <f>'Data Form'!C11*1.1</f>
        <v>55.88</v>
      </c>
      <c r="H5" s="4">
        <f>G5*52</f>
        <v>2905.76</v>
      </c>
      <c r="J5" t="s">
        <v>2</v>
      </c>
      <c r="K5" s="159">
        <f>'Data Form'!C11*1.1</f>
        <v>55.88</v>
      </c>
      <c r="L5" s="66">
        <f>K5*52</f>
        <v>2905.76</v>
      </c>
      <c r="N5" t="s">
        <v>2</v>
      </c>
      <c r="O5" s="159">
        <f>'Data Form'!C11*1.05</f>
        <v>53.339999999999996</v>
      </c>
      <c r="P5" s="1">
        <f>O5*52</f>
        <v>2773.68</v>
      </c>
      <c r="R5" t="s">
        <v>28</v>
      </c>
      <c r="S5" s="155">
        <f>'Data Form'!C10*1.05</f>
        <v>50.610000000000007</v>
      </c>
      <c r="T5" s="155">
        <f>S5*2*52</f>
        <v>5263.4400000000005</v>
      </c>
      <c r="V5" t="s">
        <v>28</v>
      </c>
      <c r="W5" s="10">
        <f>'Data Form'!C10</f>
        <v>48.2</v>
      </c>
      <c r="X5" s="1">
        <f>W5*52</f>
        <v>2506.4</v>
      </c>
      <c r="Z5" t="s">
        <v>28</v>
      </c>
      <c r="AA5" s="66">
        <v>48.2</v>
      </c>
      <c r="AB5" s="66">
        <f t="shared" si="0"/>
        <v>2506.4</v>
      </c>
      <c r="AD5" t="s">
        <v>28</v>
      </c>
      <c r="AF5" s="66">
        <f t="shared" si="1"/>
        <v>0</v>
      </c>
    </row>
    <row r="6" spans="1:33" x14ac:dyDescent="0.2">
      <c r="B6" s="142" t="s">
        <v>2</v>
      </c>
      <c r="C6" s="66">
        <f>'Data Form'!C11*1.2</f>
        <v>60.959999999999994</v>
      </c>
      <c r="D6" s="66">
        <f>C6*52</f>
        <v>3169.9199999999996</v>
      </c>
      <c r="E6" s="135"/>
      <c r="G6" s="4"/>
      <c r="H6" s="4"/>
      <c r="R6" t="s">
        <v>2</v>
      </c>
      <c r="S6" s="155">
        <f>'Data Form'!C11*1.05</f>
        <v>53.339999999999996</v>
      </c>
      <c r="T6" s="155">
        <f>S6*52</f>
        <v>2773.68</v>
      </c>
      <c r="V6" t="s">
        <v>2</v>
      </c>
      <c r="W6" s="2">
        <f>'Data Form'!C11</f>
        <v>50.8</v>
      </c>
      <c r="X6" s="1">
        <f>W6*52</f>
        <v>2641.6</v>
      </c>
      <c r="Z6" t="s">
        <v>2</v>
      </c>
      <c r="AA6" s="66">
        <v>50.8</v>
      </c>
      <c r="AB6" s="66">
        <f t="shared" si="0"/>
        <v>2641.6</v>
      </c>
      <c r="AD6" t="s">
        <v>2</v>
      </c>
      <c r="AE6" s="66">
        <f>'Data Form'!C11*1.05</f>
        <v>53.339999999999996</v>
      </c>
      <c r="AF6" s="66">
        <f t="shared" si="1"/>
        <v>2773.68</v>
      </c>
    </row>
    <row r="7" spans="1:33" x14ac:dyDescent="0.2">
      <c r="B7" s="142"/>
      <c r="G7" s="4"/>
      <c r="AD7" t="s">
        <v>145</v>
      </c>
      <c r="AE7" s="66">
        <f>'Data Form'!C12*1.05</f>
        <v>61.635000000000005</v>
      </c>
      <c r="AF7" s="66">
        <f t="shared" si="1"/>
        <v>3205.0200000000004</v>
      </c>
    </row>
    <row r="8" spans="1:33" x14ac:dyDescent="0.2">
      <c r="B8" s="142"/>
      <c r="G8" s="4"/>
    </row>
    <row r="9" spans="1:33" s="11" customFormat="1" x14ac:dyDescent="0.2">
      <c r="A9" s="11" t="s">
        <v>6</v>
      </c>
      <c r="B9" s="143"/>
      <c r="C9" s="161"/>
      <c r="D9" s="161">
        <f>D10+D11+D12</f>
        <v>400</v>
      </c>
      <c r="E9" s="137"/>
      <c r="G9" s="175"/>
      <c r="H9" s="24">
        <f>H10+H11+H12</f>
        <v>800</v>
      </c>
      <c r="I9" s="138"/>
      <c r="J9" s="149"/>
      <c r="K9" s="165"/>
      <c r="L9" s="161">
        <f>L10+L11+L12</f>
        <v>800</v>
      </c>
      <c r="M9" s="138"/>
      <c r="O9" s="161"/>
      <c r="P9" s="24">
        <f>P10+P11+P12</f>
        <v>1090</v>
      </c>
      <c r="Q9" s="137"/>
      <c r="R9" s="156"/>
      <c r="S9" s="156"/>
      <c r="T9" s="24">
        <f>T10+T11+T12+T13</f>
        <v>1040</v>
      </c>
      <c r="U9" s="137"/>
      <c r="W9" s="25"/>
      <c r="X9" s="24">
        <f>X10+X11+X12+X13</f>
        <v>1410</v>
      </c>
      <c r="Y9" s="138"/>
      <c r="AA9" s="161"/>
      <c r="AB9" s="24">
        <f>AB10+AB11+AB12+AB13</f>
        <v>1410</v>
      </c>
      <c r="AC9" s="138"/>
      <c r="AE9" s="161"/>
      <c r="AF9" s="24">
        <f>AF10+AF11+AF12+AF13+AF14</f>
        <v>1147</v>
      </c>
      <c r="AG9" s="138"/>
    </row>
    <row r="10" spans="1:33" x14ac:dyDescent="0.2">
      <c r="B10" s="142"/>
      <c r="F10" t="s">
        <v>29</v>
      </c>
      <c r="G10" s="8">
        <f>'Data Form'!C16</f>
        <v>400</v>
      </c>
      <c r="H10" s="4">
        <f>G10</f>
        <v>400</v>
      </c>
      <c r="J10" t="s">
        <v>29</v>
      </c>
      <c r="K10" s="164">
        <f>'Data Form'!C16</f>
        <v>400</v>
      </c>
      <c r="L10" s="164">
        <f>K10</f>
        <v>400</v>
      </c>
      <c r="N10" t="s">
        <v>29</v>
      </c>
      <c r="O10" s="159">
        <f>'Data Form'!C16</f>
        <v>400</v>
      </c>
      <c r="P10" s="1">
        <f>O10</f>
        <v>400</v>
      </c>
      <c r="R10" t="s">
        <v>29</v>
      </c>
      <c r="V10" t="s">
        <v>29</v>
      </c>
      <c r="W10" s="2" cm="1">
        <f t="array" ref="W10:W12">'Data Form'!C16:C18</f>
        <v>400</v>
      </c>
      <c r="X10" s="1">
        <f>O10</f>
        <v>400</v>
      </c>
      <c r="Z10" t="s">
        <v>29</v>
      </c>
      <c r="AA10" s="66" cm="1">
        <f t="array" ref="AA10:AA12">'Data Form'!C16:C18</f>
        <v>400</v>
      </c>
      <c r="AB10" s="66">
        <f>AA10</f>
        <v>400</v>
      </c>
      <c r="AD10" t="s">
        <v>0</v>
      </c>
      <c r="AE10" s="66">
        <f>'Data Form'!C16</f>
        <v>400</v>
      </c>
      <c r="AF10" s="66">
        <f>AE10</f>
        <v>400</v>
      </c>
    </row>
    <row r="11" spans="1:33" x14ac:dyDescent="0.2">
      <c r="B11" s="142"/>
      <c r="F11" t="s">
        <v>30</v>
      </c>
      <c r="G11" s="8"/>
      <c r="J11" t="s">
        <v>30</v>
      </c>
      <c r="N11" t="s">
        <v>30</v>
      </c>
      <c r="O11" s="159">
        <f>'Data Form'!C17</f>
        <v>290</v>
      </c>
      <c r="P11" s="1">
        <f>O11</f>
        <v>290</v>
      </c>
      <c r="R11" t="s">
        <v>30</v>
      </c>
      <c r="V11" t="s">
        <v>30</v>
      </c>
      <c r="W11" s="2">
        <v>290</v>
      </c>
      <c r="X11" s="1">
        <f>O11</f>
        <v>290</v>
      </c>
      <c r="Z11" t="s">
        <v>30</v>
      </c>
      <c r="AA11" s="66">
        <v>290</v>
      </c>
      <c r="AB11" s="66">
        <f t="shared" ref="AB11:AB13" si="2">AA11</f>
        <v>290</v>
      </c>
      <c r="AD11" t="s">
        <v>1</v>
      </c>
      <c r="AF11" s="66">
        <f t="shared" ref="AF11:AF14" si="3">AE11</f>
        <v>0</v>
      </c>
    </row>
    <row r="12" spans="1:33" x14ac:dyDescent="0.2">
      <c r="B12" s="142" t="s">
        <v>2</v>
      </c>
      <c r="D12" s="66">
        <f>'Data Form'!C19</f>
        <v>400</v>
      </c>
      <c r="E12" s="134"/>
      <c r="F12" t="s">
        <v>24</v>
      </c>
      <c r="G12" s="8">
        <f>'Data Form'!C19</f>
        <v>400</v>
      </c>
      <c r="H12" s="4">
        <f>G12</f>
        <v>400</v>
      </c>
      <c r="J12" t="s">
        <v>24</v>
      </c>
      <c r="K12" s="164">
        <f>'Data Form'!C19</f>
        <v>400</v>
      </c>
      <c r="L12" s="164">
        <f>K12</f>
        <v>400</v>
      </c>
      <c r="N12" t="s">
        <v>24</v>
      </c>
      <c r="P12" s="1">
        <f>'Data Form'!C19</f>
        <v>400</v>
      </c>
      <c r="R12" t="s">
        <v>28</v>
      </c>
      <c r="S12" s="155">
        <f>'Data Form'!C18</f>
        <v>320</v>
      </c>
      <c r="T12" s="155">
        <f>S12*2</f>
        <v>640</v>
      </c>
      <c r="V12" t="s">
        <v>28</v>
      </c>
      <c r="W12" s="10">
        <v>320</v>
      </c>
      <c r="X12" s="1">
        <f>W12</f>
        <v>320</v>
      </c>
      <c r="Z12" t="s">
        <v>28</v>
      </c>
      <c r="AA12" s="66">
        <v>320</v>
      </c>
      <c r="AB12" s="66">
        <f t="shared" si="2"/>
        <v>320</v>
      </c>
      <c r="AD12" t="s">
        <v>28</v>
      </c>
      <c r="AF12" s="66">
        <f t="shared" si="3"/>
        <v>0</v>
      </c>
    </row>
    <row r="13" spans="1:33" x14ac:dyDescent="0.2">
      <c r="B13" s="142"/>
      <c r="G13" s="4"/>
      <c r="R13" t="s">
        <v>2</v>
      </c>
      <c r="S13" s="155">
        <f>'Data Form'!C19</f>
        <v>400</v>
      </c>
      <c r="T13" s="155">
        <f>S13</f>
        <v>400</v>
      </c>
      <c r="V13" t="s">
        <v>2</v>
      </c>
      <c r="W13" s="2">
        <f>'Data Form'!C19</f>
        <v>400</v>
      </c>
      <c r="X13" s="1">
        <f>W13</f>
        <v>400</v>
      </c>
      <c r="Z13" t="s">
        <v>2</v>
      </c>
      <c r="AA13" s="66">
        <f>'Data Form'!C19</f>
        <v>400</v>
      </c>
      <c r="AB13" s="66">
        <f t="shared" si="2"/>
        <v>400</v>
      </c>
      <c r="AD13" t="s">
        <v>2</v>
      </c>
      <c r="AE13" s="66">
        <f>'Data Form'!C19</f>
        <v>400</v>
      </c>
      <c r="AF13" s="66">
        <f t="shared" si="3"/>
        <v>400</v>
      </c>
    </row>
    <row r="14" spans="1:33" x14ac:dyDescent="0.2">
      <c r="B14" s="142"/>
      <c r="G14" s="4"/>
      <c r="AD14" t="s">
        <v>145</v>
      </c>
      <c r="AE14" s="66">
        <f>'Data Form'!C20</f>
        <v>347</v>
      </c>
      <c r="AF14" s="66">
        <f t="shared" si="3"/>
        <v>347</v>
      </c>
    </row>
    <row r="15" spans="1:33" x14ac:dyDescent="0.2">
      <c r="A15" s="11" t="s">
        <v>7</v>
      </c>
      <c r="B15" s="142"/>
      <c r="G15" s="4"/>
    </row>
    <row r="16" spans="1:33" x14ac:dyDescent="0.2">
      <c r="B16" s="142" t="s">
        <v>139</v>
      </c>
      <c r="C16" s="169">
        <f>'Data Form'!I27</f>
        <v>0</v>
      </c>
      <c r="D16" s="171">
        <f>C16*12</f>
        <v>0</v>
      </c>
      <c r="E16" s="136"/>
      <c r="F16" t="s">
        <v>8</v>
      </c>
      <c r="G16" s="71">
        <f>'Data Form'!C27</f>
        <v>0</v>
      </c>
      <c r="H16" s="172">
        <f>G16*12</f>
        <v>0</v>
      </c>
      <c r="J16" t="s">
        <v>8</v>
      </c>
      <c r="K16" s="169">
        <f>'Data Form'!C27</f>
        <v>0</v>
      </c>
      <c r="L16" s="171">
        <f>K16*12</f>
        <v>0</v>
      </c>
      <c r="N16" t="s">
        <v>8</v>
      </c>
      <c r="O16" s="169">
        <f>'Data Form'!C27</f>
        <v>0</v>
      </c>
      <c r="P16" s="172">
        <f>O16*12</f>
        <v>0</v>
      </c>
      <c r="S16" s="73">
        <f>'Data Form'!C27</f>
        <v>0</v>
      </c>
      <c r="T16" s="172">
        <f>S16*12</f>
        <v>0</v>
      </c>
      <c r="V16" t="s">
        <v>9</v>
      </c>
      <c r="W16" s="72">
        <f>'Data Form'!F27</f>
        <v>0</v>
      </c>
      <c r="X16" s="172">
        <f>W16*12</f>
        <v>0</v>
      </c>
      <c r="Z16" t="s">
        <v>9</v>
      </c>
      <c r="AA16" s="169">
        <f>'Data Form'!F27</f>
        <v>0</v>
      </c>
      <c r="AB16" s="172">
        <f>AA16*12</f>
        <v>0</v>
      </c>
      <c r="AD16" t="s">
        <v>8</v>
      </c>
      <c r="AE16" s="169">
        <f>'Data Form'!C27</f>
        <v>0</v>
      </c>
      <c r="AF16" s="172">
        <f>AE16*12</f>
        <v>0</v>
      </c>
    </row>
    <row r="17" spans="1:33" x14ac:dyDescent="0.2">
      <c r="B17" s="142"/>
      <c r="G17" s="4"/>
      <c r="J17"/>
    </row>
    <row r="18" spans="1:33" s="11" customFormat="1" x14ac:dyDescent="0.2">
      <c r="A18" s="11" t="s">
        <v>10</v>
      </c>
      <c r="B18" s="143"/>
      <c r="C18" s="161"/>
      <c r="D18" s="161">
        <f>SUM(D19:D29)</f>
        <v>2406.7777777777778</v>
      </c>
      <c r="E18" s="176"/>
      <c r="G18" s="175"/>
      <c r="H18" s="161">
        <f>SUM(H19:H29)</f>
        <v>2658.7777777777778</v>
      </c>
      <c r="I18" s="138"/>
      <c r="K18" s="165"/>
      <c r="L18" s="161">
        <f>SUM(L19:L29)</f>
        <v>2658.7777777777778</v>
      </c>
      <c r="M18" s="138"/>
      <c r="O18" s="161"/>
      <c r="P18" s="161">
        <f>SUM(P19:P29)</f>
        <v>2658.7777777777778</v>
      </c>
      <c r="Q18" s="137"/>
      <c r="R18" s="156"/>
      <c r="S18" s="156"/>
      <c r="T18" s="161">
        <f>SUM(T19:T29)</f>
        <v>2658.7777777777778</v>
      </c>
      <c r="U18" s="137"/>
      <c r="W18" s="25"/>
      <c r="X18" s="24">
        <f>SUM(X19:X29)</f>
        <v>3078.7777777777778</v>
      </c>
      <c r="Y18" s="138"/>
      <c r="AA18" s="161"/>
      <c r="AB18" s="24">
        <f>SUM(AB19:AB29)</f>
        <v>3078.7777777777778</v>
      </c>
      <c r="AC18" s="138"/>
      <c r="AE18" s="161"/>
      <c r="AF18" s="24">
        <f>SUM(AF19:AF29)</f>
        <v>3221</v>
      </c>
      <c r="AG18" s="138"/>
    </row>
    <row r="19" spans="1:33" x14ac:dyDescent="0.2">
      <c r="B19" s="142" t="s">
        <v>13</v>
      </c>
      <c r="C19" s="157">
        <v>2</v>
      </c>
      <c r="D19" s="66">
        <f>C19*12</f>
        <v>24</v>
      </c>
      <c r="E19" s="135"/>
      <c r="F19" t="s">
        <v>13</v>
      </c>
      <c r="G19" s="35">
        <f>'Data Form'!C30</f>
        <v>2</v>
      </c>
      <c r="H19" s="4">
        <f>G19*12</f>
        <v>24</v>
      </c>
      <c r="J19" t="s">
        <v>13</v>
      </c>
      <c r="K19" s="160" cm="1">
        <f t="array" ref="K19:K28">'Data Form'!C30:C39</f>
        <v>2</v>
      </c>
      <c r="L19" s="164">
        <f>K19*12</f>
        <v>24</v>
      </c>
      <c r="N19" t="s">
        <v>13</v>
      </c>
      <c r="O19" s="160">
        <f>'Data Form'!C30</f>
        <v>2</v>
      </c>
      <c r="P19" s="1">
        <f>O19*12</f>
        <v>24</v>
      </c>
      <c r="S19" s="173" cm="1">
        <f t="array" ref="S19:S28">'Data Form'!C30:C39</f>
        <v>2</v>
      </c>
      <c r="T19" s="155">
        <f>S19*12</f>
        <v>24</v>
      </c>
      <c r="V19" t="s">
        <v>13</v>
      </c>
      <c r="W19" s="36">
        <f>'Data Form'!F30</f>
        <v>2</v>
      </c>
      <c r="X19" s="1">
        <f t="shared" ref="X19:X29" si="4">W19*12</f>
        <v>24</v>
      </c>
      <c r="Z19" t="s">
        <v>13</v>
      </c>
      <c r="AA19" s="160" cm="1">
        <f t="array" ref="AA19:AA28">'Data Form'!F30:F39</f>
        <v>2</v>
      </c>
      <c r="AB19" s="66">
        <f>AA19*12</f>
        <v>24</v>
      </c>
      <c r="AD19" t="s">
        <v>13</v>
      </c>
      <c r="AE19" s="160" cm="1">
        <f t="array" ref="AE19:AE28">'Data Form'!C30:C39</f>
        <v>2</v>
      </c>
      <c r="AF19" s="66">
        <f>AE19*12</f>
        <v>24</v>
      </c>
    </row>
    <row r="20" spans="1:33" x14ac:dyDescent="0.2">
      <c r="B20" s="142" t="s">
        <v>14</v>
      </c>
      <c r="C20" s="157">
        <v>3</v>
      </c>
      <c r="D20" s="66">
        <f t="shared" ref="D20:D29" si="5">C20*12</f>
        <v>36</v>
      </c>
      <c r="E20" s="135"/>
      <c r="F20" t="s">
        <v>14</v>
      </c>
      <c r="G20" s="35">
        <f>'Data Form'!C31</f>
        <v>3</v>
      </c>
      <c r="H20" s="4">
        <f t="shared" ref="H20:H29" si="6">G20*12</f>
        <v>36</v>
      </c>
      <c r="J20" t="s">
        <v>14</v>
      </c>
      <c r="K20" s="160">
        <v>3</v>
      </c>
      <c r="L20" s="164">
        <f t="shared" ref="L20:L29" si="7">K20*12</f>
        <v>36</v>
      </c>
      <c r="N20" t="s">
        <v>14</v>
      </c>
      <c r="O20" s="160">
        <f>'Data Form'!C31</f>
        <v>3</v>
      </c>
      <c r="P20" s="1">
        <f t="shared" ref="P20:P29" si="8">O20*12</f>
        <v>36</v>
      </c>
      <c r="S20" s="173">
        <v>3</v>
      </c>
      <c r="T20" s="155">
        <f t="shared" ref="T20:T28" si="9">S20*12</f>
        <v>36</v>
      </c>
      <c r="V20" t="s">
        <v>14</v>
      </c>
      <c r="W20" s="36">
        <f>'Data Form'!F31</f>
        <v>3</v>
      </c>
      <c r="X20" s="1">
        <f t="shared" si="4"/>
        <v>36</v>
      </c>
      <c r="Z20" t="s">
        <v>14</v>
      </c>
      <c r="AA20" s="160">
        <v>3</v>
      </c>
      <c r="AB20" s="66">
        <f t="shared" ref="AB20:AB28" si="10">AA20*12</f>
        <v>36</v>
      </c>
      <c r="AD20" t="s">
        <v>14</v>
      </c>
      <c r="AE20" s="160">
        <v>3</v>
      </c>
      <c r="AF20" s="66">
        <f t="shared" ref="AF20:AF28" si="11">AE20*12</f>
        <v>36</v>
      </c>
    </row>
    <row r="21" spans="1:33" x14ac:dyDescent="0.2">
      <c r="B21" s="142" t="s">
        <v>15</v>
      </c>
      <c r="C21" s="157">
        <v>9</v>
      </c>
      <c r="D21" s="66">
        <f t="shared" si="5"/>
        <v>108</v>
      </c>
      <c r="E21" s="135"/>
      <c r="F21" t="s">
        <v>15</v>
      </c>
      <c r="G21" s="35">
        <f>'Data Form'!C32</f>
        <v>9</v>
      </c>
      <c r="H21" s="4">
        <f t="shared" si="6"/>
        <v>108</v>
      </c>
      <c r="J21" t="s">
        <v>15</v>
      </c>
      <c r="K21" s="160">
        <v>9</v>
      </c>
      <c r="L21" s="164">
        <f t="shared" si="7"/>
        <v>108</v>
      </c>
      <c r="N21" t="s">
        <v>15</v>
      </c>
      <c r="O21" s="160">
        <f>'Data Form'!C32</f>
        <v>9</v>
      </c>
      <c r="P21" s="1">
        <f t="shared" si="8"/>
        <v>108</v>
      </c>
      <c r="S21" s="173">
        <v>9</v>
      </c>
      <c r="T21" s="155">
        <f t="shared" si="9"/>
        <v>108</v>
      </c>
      <c r="V21" t="s">
        <v>15</v>
      </c>
      <c r="W21" s="36">
        <f>'Data Form'!F32</f>
        <v>12</v>
      </c>
      <c r="X21" s="1">
        <f t="shared" si="4"/>
        <v>144</v>
      </c>
      <c r="Z21" t="s">
        <v>15</v>
      </c>
      <c r="AA21" s="160">
        <v>12</v>
      </c>
      <c r="AB21" s="66">
        <f t="shared" si="10"/>
        <v>144</v>
      </c>
      <c r="AD21" t="s">
        <v>15</v>
      </c>
      <c r="AE21" s="160">
        <v>9</v>
      </c>
      <c r="AF21" s="66">
        <f t="shared" si="11"/>
        <v>108</v>
      </c>
    </row>
    <row r="22" spans="1:33" x14ac:dyDescent="0.2">
      <c r="B22" s="142" t="s">
        <v>16</v>
      </c>
      <c r="C22" s="157">
        <v>15</v>
      </c>
      <c r="D22" s="66">
        <f t="shared" si="5"/>
        <v>180</v>
      </c>
      <c r="E22" s="135"/>
      <c r="F22" t="s">
        <v>16</v>
      </c>
      <c r="G22" s="35">
        <f>'Data Form'!C33</f>
        <v>19</v>
      </c>
      <c r="H22" s="4">
        <f t="shared" si="6"/>
        <v>228</v>
      </c>
      <c r="J22" t="s">
        <v>16</v>
      </c>
      <c r="K22" s="160">
        <v>19</v>
      </c>
      <c r="L22" s="164">
        <f t="shared" si="7"/>
        <v>228</v>
      </c>
      <c r="N22" t="s">
        <v>16</v>
      </c>
      <c r="O22" s="160">
        <f>'Data Form'!C33</f>
        <v>19</v>
      </c>
      <c r="P22" s="1">
        <f t="shared" si="8"/>
        <v>228</v>
      </c>
      <c r="S22" s="173">
        <v>19</v>
      </c>
      <c r="T22" s="155">
        <f t="shared" si="9"/>
        <v>228</v>
      </c>
      <c r="V22" t="s">
        <v>16</v>
      </c>
      <c r="W22" s="36">
        <f>'Data Form'!F33</f>
        <v>23</v>
      </c>
      <c r="X22" s="1">
        <f t="shared" si="4"/>
        <v>276</v>
      </c>
      <c r="Z22" t="s">
        <v>16</v>
      </c>
      <c r="AA22" s="160">
        <v>23</v>
      </c>
      <c r="AB22" s="66">
        <f t="shared" si="10"/>
        <v>276</v>
      </c>
      <c r="AD22" t="s">
        <v>16</v>
      </c>
      <c r="AE22" s="160">
        <v>19</v>
      </c>
      <c r="AF22" s="66">
        <f t="shared" si="11"/>
        <v>228</v>
      </c>
    </row>
    <row r="23" spans="1:33" x14ac:dyDescent="0.2">
      <c r="B23" s="142" t="s">
        <v>17</v>
      </c>
      <c r="C23" s="157">
        <v>5</v>
      </c>
      <c r="D23" s="66">
        <f t="shared" si="5"/>
        <v>60</v>
      </c>
      <c r="E23" s="135"/>
      <c r="F23" t="s">
        <v>17</v>
      </c>
      <c r="G23" s="35">
        <f>'Data Form'!C34</f>
        <v>5</v>
      </c>
      <c r="H23" s="4">
        <f t="shared" si="6"/>
        <v>60</v>
      </c>
      <c r="J23" t="s">
        <v>17</v>
      </c>
      <c r="K23" s="160">
        <v>5</v>
      </c>
      <c r="L23" s="164">
        <f t="shared" si="7"/>
        <v>60</v>
      </c>
      <c r="N23" t="s">
        <v>17</v>
      </c>
      <c r="O23" s="160">
        <v>5</v>
      </c>
      <c r="P23" s="1">
        <f t="shared" si="8"/>
        <v>60</v>
      </c>
      <c r="S23" s="173">
        <v>5</v>
      </c>
      <c r="T23" s="155">
        <f t="shared" si="9"/>
        <v>60</v>
      </c>
      <c r="V23" t="s">
        <v>17</v>
      </c>
      <c r="W23" s="36">
        <f>'Data Form'!F34</f>
        <v>7</v>
      </c>
      <c r="X23" s="1">
        <f t="shared" si="4"/>
        <v>84</v>
      </c>
      <c r="Z23" t="s">
        <v>17</v>
      </c>
      <c r="AA23" s="160">
        <v>7</v>
      </c>
      <c r="AB23" s="66">
        <f t="shared" si="10"/>
        <v>84</v>
      </c>
      <c r="AD23" t="s">
        <v>17</v>
      </c>
      <c r="AE23" s="160">
        <v>5</v>
      </c>
      <c r="AF23" s="66">
        <f t="shared" si="11"/>
        <v>60</v>
      </c>
    </row>
    <row r="24" spans="1:33" x14ac:dyDescent="0.2">
      <c r="B24" s="142" t="s">
        <v>18</v>
      </c>
      <c r="C24" s="157">
        <v>35</v>
      </c>
      <c r="D24" s="66">
        <f t="shared" si="5"/>
        <v>420</v>
      </c>
      <c r="E24" s="135"/>
      <c r="F24" t="s">
        <v>18</v>
      </c>
      <c r="G24" s="35">
        <f>'Data Form'!C35</f>
        <v>34</v>
      </c>
      <c r="H24" s="4">
        <f t="shared" si="6"/>
        <v>408</v>
      </c>
      <c r="J24" t="s">
        <v>18</v>
      </c>
      <c r="K24" s="160">
        <v>34</v>
      </c>
      <c r="L24" s="164">
        <f t="shared" si="7"/>
        <v>408</v>
      </c>
      <c r="N24" t="s">
        <v>18</v>
      </c>
      <c r="O24" s="160">
        <f>'Data Form'!C35</f>
        <v>34</v>
      </c>
      <c r="P24" s="1">
        <f t="shared" si="8"/>
        <v>408</v>
      </c>
      <c r="S24" s="173">
        <v>34</v>
      </c>
      <c r="T24" s="155">
        <f t="shared" si="9"/>
        <v>408</v>
      </c>
      <c r="V24" t="s">
        <v>18</v>
      </c>
      <c r="W24" s="36">
        <f>'Data Form'!F35</f>
        <v>42</v>
      </c>
      <c r="X24" s="1">
        <f t="shared" si="4"/>
        <v>504</v>
      </c>
      <c r="Z24" t="s">
        <v>18</v>
      </c>
      <c r="AA24" s="160">
        <v>42</v>
      </c>
      <c r="AB24" s="66">
        <f t="shared" si="10"/>
        <v>504</v>
      </c>
      <c r="AD24" t="s">
        <v>18</v>
      </c>
      <c r="AE24" s="160">
        <v>34</v>
      </c>
      <c r="AF24" s="66">
        <f t="shared" si="11"/>
        <v>408</v>
      </c>
    </row>
    <row r="25" spans="1:33" x14ac:dyDescent="0.2">
      <c r="B25" s="142" t="s">
        <v>20</v>
      </c>
      <c r="C25" s="157">
        <v>13</v>
      </c>
      <c r="D25" s="66">
        <f t="shared" si="5"/>
        <v>156</v>
      </c>
      <c r="E25" s="135"/>
      <c r="F25" t="s">
        <v>20</v>
      </c>
      <c r="G25" s="35">
        <f>'Data Form'!C36</f>
        <v>16</v>
      </c>
      <c r="H25" s="4">
        <f t="shared" si="6"/>
        <v>192</v>
      </c>
      <c r="J25" t="s">
        <v>20</v>
      </c>
      <c r="K25" s="160">
        <v>16</v>
      </c>
      <c r="L25" s="164">
        <f t="shared" si="7"/>
        <v>192</v>
      </c>
      <c r="N25" t="s">
        <v>20</v>
      </c>
      <c r="O25" s="160">
        <f>'Data Form'!C36</f>
        <v>16</v>
      </c>
      <c r="P25" s="1">
        <f t="shared" si="8"/>
        <v>192</v>
      </c>
      <c r="S25" s="173">
        <v>16</v>
      </c>
      <c r="T25" s="155">
        <f t="shared" si="9"/>
        <v>192</v>
      </c>
      <c r="V25" t="s">
        <v>20</v>
      </c>
      <c r="W25" s="36">
        <f>'Data Form'!F36</f>
        <v>20</v>
      </c>
      <c r="X25" s="1">
        <f t="shared" si="4"/>
        <v>240</v>
      </c>
      <c r="Z25" t="s">
        <v>20</v>
      </c>
      <c r="AA25" s="160">
        <v>20</v>
      </c>
      <c r="AB25" s="66">
        <f t="shared" si="10"/>
        <v>240</v>
      </c>
      <c r="AD25" t="s">
        <v>20</v>
      </c>
      <c r="AE25" s="160">
        <v>16</v>
      </c>
      <c r="AF25" s="66">
        <f t="shared" si="11"/>
        <v>192</v>
      </c>
    </row>
    <row r="26" spans="1:33" x14ac:dyDescent="0.2">
      <c r="B26" s="142" t="s">
        <v>21</v>
      </c>
      <c r="C26" s="157">
        <v>27</v>
      </c>
      <c r="D26" s="66">
        <f t="shared" si="5"/>
        <v>324</v>
      </c>
      <c r="E26" s="135"/>
      <c r="F26" t="s">
        <v>21</v>
      </c>
      <c r="G26" s="35">
        <f>'Data Form'!C37</f>
        <v>34</v>
      </c>
      <c r="H26" s="4">
        <f t="shared" si="6"/>
        <v>408</v>
      </c>
      <c r="J26" t="s">
        <v>21</v>
      </c>
      <c r="K26" s="160">
        <v>34</v>
      </c>
      <c r="L26" s="164">
        <f t="shared" si="7"/>
        <v>408</v>
      </c>
      <c r="N26" t="s">
        <v>21</v>
      </c>
      <c r="O26" s="160">
        <f>'Data Form'!C37</f>
        <v>34</v>
      </c>
      <c r="P26" s="1">
        <f t="shared" si="8"/>
        <v>408</v>
      </c>
      <c r="S26" s="173">
        <v>34</v>
      </c>
      <c r="T26" s="155">
        <f t="shared" si="9"/>
        <v>408</v>
      </c>
      <c r="V26" t="s">
        <v>21</v>
      </c>
      <c r="W26" s="36">
        <f>'Data Form'!F37</f>
        <v>42</v>
      </c>
      <c r="X26" s="1">
        <f t="shared" si="4"/>
        <v>504</v>
      </c>
      <c r="Z26" t="s">
        <v>21</v>
      </c>
      <c r="AA26" s="160">
        <v>42</v>
      </c>
      <c r="AB26" s="66">
        <f t="shared" si="10"/>
        <v>504</v>
      </c>
      <c r="AD26" t="s">
        <v>21</v>
      </c>
      <c r="AE26" s="160">
        <v>34</v>
      </c>
      <c r="AF26" s="66">
        <f t="shared" si="11"/>
        <v>408</v>
      </c>
    </row>
    <row r="27" spans="1:33" x14ac:dyDescent="0.2">
      <c r="B27" s="142" t="s">
        <v>22</v>
      </c>
      <c r="C27" s="157">
        <v>11</v>
      </c>
      <c r="D27" s="66">
        <f t="shared" si="5"/>
        <v>132</v>
      </c>
      <c r="E27" s="135"/>
      <c r="F27" t="s">
        <v>22</v>
      </c>
      <c r="G27" s="35">
        <f>'Data Form'!C38</f>
        <v>12</v>
      </c>
      <c r="H27" s="4">
        <f t="shared" si="6"/>
        <v>144</v>
      </c>
      <c r="J27" t="s">
        <v>22</v>
      </c>
      <c r="K27" s="160">
        <v>12</v>
      </c>
      <c r="L27" s="164">
        <f t="shared" si="7"/>
        <v>144</v>
      </c>
      <c r="N27" t="s">
        <v>22</v>
      </c>
      <c r="O27" s="160">
        <f>'Data Form'!C38</f>
        <v>12</v>
      </c>
      <c r="P27" s="1">
        <f t="shared" si="8"/>
        <v>144</v>
      </c>
      <c r="S27" s="173">
        <v>12</v>
      </c>
      <c r="T27" s="155">
        <f t="shared" si="9"/>
        <v>144</v>
      </c>
      <c r="V27" t="s">
        <v>22</v>
      </c>
      <c r="W27" s="36">
        <f>'Data Form'!F38</f>
        <v>12</v>
      </c>
      <c r="X27" s="1">
        <f t="shared" si="4"/>
        <v>144</v>
      </c>
      <c r="Z27" t="s">
        <v>22</v>
      </c>
      <c r="AA27" s="160">
        <v>12</v>
      </c>
      <c r="AB27" s="66">
        <f t="shared" si="10"/>
        <v>144</v>
      </c>
      <c r="AD27" t="s">
        <v>22</v>
      </c>
      <c r="AE27" s="160">
        <v>12</v>
      </c>
      <c r="AF27" s="66">
        <f t="shared" si="11"/>
        <v>144</v>
      </c>
    </row>
    <row r="28" spans="1:33" x14ac:dyDescent="0.2">
      <c r="B28" s="142" t="s">
        <v>23</v>
      </c>
      <c r="C28" s="157">
        <v>22</v>
      </c>
      <c r="D28" s="66">
        <f t="shared" si="5"/>
        <v>264</v>
      </c>
      <c r="E28" s="135"/>
      <c r="F28" t="s">
        <v>23</v>
      </c>
      <c r="G28" s="35">
        <f>'Data Form'!C39</f>
        <v>29</v>
      </c>
      <c r="H28" s="4">
        <f t="shared" si="6"/>
        <v>348</v>
      </c>
      <c r="J28" t="s">
        <v>23</v>
      </c>
      <c r="K28" s="160">
        <v>29</v>
      </c>
      <c r="L28" s="164">
        <f t="shared" si="7"/>
        <v>348</v>
      </c>
      <c r="N28" t="s">
        <v>23</v>
      </c>
      <c r="O28" s="160">
        <f>'Data Form'!C39</f>
        <v>29</v>
      </c>
      <c r="P28" s="1">
        <f t="shared" si="8"/>
        <v>348</v>
      </c>
      <c r="S28" s="173">
        <v>29</v>
      </c>
      <c r="T28" s="155">
        <f t="shared" si="9"/>
        <v>348</v>
      </c>
      <c r="V28" t="s">
        <v>23</v>
      </c>
      <c r="W28" s="36">
        <f>'Data Form'!F39</f>
        <v>35</v>
      </c>
      <c r="X28" s="1">
        <f t="shared" si="4"/>
        <v>420</v>
      </c>
      <c r="Z28" t="s">
        <v>23</v>
      </c>
      <c r="AA28" s="160">
        <v>35</v>
      </c>
      <c r="AB28" s="66">
        <f t="shared" si="10"/>
        <v>420</v>
      </c>
      <c r="AD28" t="s">
        <v>23</v>
      </c>
      <c r="AE28" s="160">
        <v>29</v>
      </c>
      <c r="AF28" s="66">
        <f t="shared" si="11"/>
        <v>348</v>
      </c>
    </row>
    <row r="29" spans="1:33" x14ac:dyDescent="0.2">
      <c r="B29" s="142" t="s">
        <v>11</v>
      </c>
      <c r="C29" s="66">
        <f>'Data Form'!$C$40</f>
        <v>58.56481481481481</v>
      </c>
      <c r="D29" s="159">
        <f t="shared" si="5"/>
        <v>702.77777777777771</v>
      </c>
      <c r="E29" s="135"/>
      <c r="F29" t="s">
        <v>11</v>
      </c>
      <c r="G29" s="66">
        <f>'Data Form'!$C$40</f>
        <v>58.56481481481481</v>
      </c>
      <c r="H29" s="159">
        <f t="shared" si="6"/>
        <v>702.77777777777771</v>
      </c>
      <c r="J29" t="s">
        <v>11</v>
      </c>
      <c r="K29" s="66">
        <f>'Data Form'!$C$40</f>
        <v>58.56481481481481</v>
      </c>
      <c r="L29" s="159">
        <f t="shared" si="7"/>
        <v>702.77777777777771</v>
      </c>
      <c r="N29" t="s">
        <v>11</v>
      </c>
      <c r="O29" s="66">
        <f>'Data Form'!$C$40</f>
        <v>58.56481481481481</v>
      </c>
      <c r="P29" s="159">
        <f t="shared" si="8"/>
        <v>702.77777777777771</v>
      </c>
      <c r="S29" s="66">
        <f>'Data Form'!$C$40</f>
        <v>58.56481481481481</v>
      </c>
      <c r="T29" s="159">
        <f t="shared" ref="T29" si="12">S29*12</f>
        <v>702.77777777777771</v>
      </c>
      <c r="V29" t="s">
        <v>11</v>
      </c>
      <c r="W29" s="66">
        <f>'Data Form'!$C$40</f>
        <v>58.56481481481481</v>
      </c>
      <c r="X29" s="159">
        <f t="shared" si="4"/>
        <v>702.77777777777771</v>
      </c>
      <c r="Z29" t="s">
        <v>11</v>
      </c>
      <c r="AA29" s="66">
        <f>'Data Form'!$C$40</f>
        <v>58.56481481481481</v>
      </c>
      <c r="AB29" s="159">
        <f t="shared" ref="AB29" si="13">AA29*12</f>
        <v>702.77777777777771</v>
      </c>
      <c r="AD29" t="s">
        <v>11</v>
      </c>
      <c r="AE29" s="66">
        <f>AF29/12</f>
        <v>105.41666666666667</v>
      </c>
      <c r="AF29" s="159">
        <f>'Data Form'!C41</f>
        <v>1265</v>
      </c>
    </row>
    <row r="30" spans="1:33" x14ac:dyDescent="0.2">
      <c r="B30" s="142"/>
      <c r="G30" s="4"/>
      <c r="J30"/>
      <c r="W30"/>
      <c r="X30"/>
    </row>
    <row r="31" spans="1:33" x14ac:dyDescent="0.2">
      <c r="A31" t="s">
        <v>12</v>
      </c>
      <c r="B31" s="142"/>
      <c r="D31" s="161">
        <f>(D2+D9+D16+D18)*0.2</f>
        <v>1195.3395555555555</v>
      </c>
      <c r="E31" s="134"/>
      <c r="F31" t="s">
        <v>37</v>
      </c>
      <c r="G31" s="4"/>
      <c r="H31" s="24">
        <f>(H2+H9+H16+H18)*0.2</f>
        <v>1642.4195555555555</v>
      </c>
      <c r="J31" t="s">
        <v>37</v>
      </c>
      <c r="L31" s="161">
        <f>(L2+L9+L16+L18)*0.2</f>
        <v>1642.4195555555555</v>
      </c>
      <c r="N31" t="s">
        <v>37</v>
      </c>
      <c r="P31" s="1">
        <f>(P2+P9+P16+P18)*0.2</f>
        <v>2018.6595555555557</v>
      </c>
      <c r="R31" t="s">
        <v>37</v>
      </c>
      <c r="T31" s="1">
        <f>(T2+T9+T16+T18)*0.2</f>
        <v>2347.1795555555559</v>
      </c>
      <c r="V31" t="s">
        <v>37</v>
      </c>
      <c r="W31"/>
      <c r="X31" s="1">
        <f>(X2+X9+X16+X18)*0.2</f>
        <v>2607.5155555555557</v>
      </c>
      <c r="Z31" t="s">
        <v>37</v>
      </c>
      <c r="AB31" s="1">
        <f>(AB2+AB9+AB16+AB18)*0.2</f>
        <v>2607.5155555555557</v>
      </c>
      <c r="AD31" t="s">
        <v>37</v>
      </c>
      <c r="AF31" s="1">
        <f>(AF2+AF9+AF16+AF18)*0.2</f>
        <v>2422.056</v>
      </c>
    </row>
    <row r="32" spans="1:33" x14ac:dyDescent="0.2">
      <c r="B32" s="142"/>
    </row>
    <row r="33" spans="1:33" s="11" customFormat="1" ht="16" x14ac:dyDescent="0.2">
      <c r="A33" s="11" t="s">
        <v>59</v>
      </c>
      <c r="B33" s="143"/>
      <c r="C33" s="161"/>
      <c r="D33" s="158">
        <f>D2+D9+D16+D18+D31</f>
        <v>7172.0373333333328</v>
      </c>
      <c r="E33" s="137"/>
      <c r="G33" s="23"/>
      <c r="H33" s="146">
        <f>H2+H9+H16+H18+H31</f>
        <v>9854.5173333333332</v>
      </c>
      <c r="I33" s="138"/>
      <c r="J33" s="149"/>
      <c r="K33" s="165"/>
      <c r="L33" s="158">
        <f>L2+L9+L16+L18+L31</f>
        <v>9854.5173333333332</v>
      </c>
      <c r="M33" s="138"/>
      <c r="O33" s="161"/>
      <c r="P33" s="146">
        <f>P2+P9+P16+P18+P31</f>
        <v>12111.957333333334</v>
      </c>
      <c r="Q33" s="137"/>
      <c r="R33" s="156"/>
      <c r="S33" s="156"/>
      <c r="T33" s="146">
        <f>T2+T9+T16+T18+T31</f>
        <v>14083.077333333335</v>
      </c>
      <c r="U33" s="137"/>
      <c r="W33" s="25"/>
      <c r="X33" s="146">
        <f>X2+X9+X16+X18+X31</f>
        <v>15645.093333333334</v>
      </c>
      <c r="Y33" s="138"/>
      <c r="AA33" s="161"/>
      <c r="AB33" s="146">
        <f>AB2+AB9+AB16+AB18+AB31</f>
        <v>15645.093333333334</v>
      </c>
      <c r="AC33" s="138"/>
      <c r="AE33" s="161"/>
      <c r="AF33" s="146">
        <f>AF2+AF9+AF16+AF18+AF31</f>
        <v>14532.336000000001</v>
      </c>
      <c r="AG33" s="138"/>
    </row>
    <row r="34" spans="1:33" x14ac:dyDescent="0.2">
      <c r="B34" s="142"/>
    </row>
    <row r="35" spans="1:33" x14ac:dyDescent="0.2">
      <c r="A35" t="s">
        <v>60</v>
      </c>
      <c r="B35" s="142"/>
      <c r="C35" s="159">
        <f>'Data Form'!$C$47</f>
        <v>215.68627450980392</v>
      </c>
      <c r="D35" s="66">
        <f>C35*12</f>
        <v>2588.2352941176468</v>
      </c>
      <c r="E35" s="134"/>
      <c r="G35" s="159">
        <f>'Data Form'!$C$47</f>
        <v>215.68627450980392</v>
      </c>
      <c r="H35" s="1">
        <f>G35*12</f>
        <v>2588.2352941176468</v>
      </c>
      <c r="K35" s="159">
        <f>'Data Form'!C47</f>
        <v>215.68627450980392</v>
      </c>
      <c r="L35" s="66">
        <f>K35*12</f>
        <v>2588.2352941176468</v>
      </c>
      <c r="O35" s="159">
        <f>'Data Form'!C47</f>
        <v>215.68627450980392</v>
      </c>
      <c r="P35" s="1">
        <f>O35*12</f>
        <v>2588.2352941176468</v>
      </c>
      <c r="S35" s="159">
        <f>'Data Form'!$C$47</f>
        <v>215.68627450980392</v>
      </c>
      <c r="T35" s="1">
        <f>S35*12</f>
        <v>2588.2352941176468</v>
      </c>
      <c r="W35" s="159">
        <f>'Data Form'!$C$47</f>
        <v>215.68627450980392</v>
      </c>
      <c r="X35" s="1">
        <f>W35*12</f>
        <v>2588.2352941176468</v>
      </c>
      <c r="AA35" s="159">
        <f>'Data Form'!$C$47</f>
        <v>215.68627450980392</v>
      </c>
      <c r="AB35" s="1">
        <f>AA35*12</f>
        <v>2588.2352941176468</v>
      </c>
      <c r="AE35" s="159">
        <f>'Data Form'!D47</f>
        <v>366.66666666666669</v>
      </c>
      <c r="AF35" s="1">
        <f>AE35*12</f>
        <v>4400</v>
      </c>
    </row>
    <row r="36" spans="1:33" x14ac:dyDescent="0.2">
      <c r="B36" s="142"/>
    </row>
    <row r="37" spans="1:33" x14ac:dyDescent="0.2">
      <c r="A37" t="s">
        <v>61</v>
      </c>
      <c r="B37" s="142"/>
      <c r="D37" s="66">
        <f>C37*12</f>
        <v>0</v>
      </c>
      <c r="G37" s="71">
        <f>'Data Form'!C52</f>
        <v>0</v>
      </c>
      <c r="H37" s="66">
        <f>G37*52</f>
        <v>0</v>
      </c>
      <c r="L37" s="66">
        <f>K37*52</f>
        <v>0</v>
      </c>
      <c r="O37" s="169">
        <f>'Data Form'!C52</f>
        <v>0</v>
      </c>
      <c r="P37" s="66">
        <f>O37*52</f>
        <v>0</v>
      </c>
      <c r="T37" s="66">
        <f>S37*52</f>
        <v>0</v>
      </c>
      <c r="W37" s="170">
        <f>'Data Form'!C52</f>
        <v>0</v>
      </c>
      <c r="X37" s="66">
        <f>W37*52</f>
        <v>0</v>
      </c>
      <c r="AB37" s="66">
        <f>AA37*52</f>
        <v>0</v>
      </c>
      <c r="AE37" s="169">
        <f>'Data Form'!C52</f>
        <v>0</v>
      </c>
      <c r="AF37" s="66">
        <f>AE37*52</f>
        <v>0</v>
      </c>
    </row>
    <row r="38" spans="1:33" x14ac:dyDescent="0.2">
      <c r="B38" s="142"/>
    </row>
    <row r="39" spans="1:33" s="11" customFormat="1" ht="16" x14ac:dyDescent="0.2">
      <c r="A39" s="11" t="s">
        <v>62</v>
      </c>
      <c r="B39" s="143"/>
      <c r="C39" s="161"/>
      <c r="D39" s="158">
        <f>D33+D35+D37</f>
        <v>9760.2726274509805</v>
      </c>
      <c r="E39" s="137"/>
      <c r="G39" s="23"/>
      <c r="H39" s="146">
        <f>H33+H35+H37</f>
        <v>12442.75262745098</v>
      </c>
      <c r="I39" s="138"/>
      <c r="J39" s="149"/>
      <c r="K39" s="165"/>
      <c r="L39" s="158">
        <f>L33+L35+L37</f>
        <v>12442.75262745098</v>
      </c>
      <c r="M39" s="138"/>
      <c r="O39" s="161"/>
      <c r="P39" s="146">
        <f>P33+P35+P37</f>
        <v>14700.192627450981</v>
      </c>
      <c r="Q39" s="137"/>
      <c r="R39" s="156"/>
      <c r="S39" s="156"/>
      <c r="T39" s="146">
        <f>T33+T35+T37</f>
        <v>16671.312627450981</v>
      </c>
      <c r="U39" s="137"/>
      <c r="W39" s="25"/>
      <c r="X39" s="146">
        <f>X33+X35+X37</f>
        <v>18233.328627450981</v>
      </c>
      <c r="Y39" s="138"/>
      <c r="AA39" s="161"/>
      <c r="AB39" s="146">
        <f>AB33+AB35+AB37</f>
        <v>18233.328627450981</v>
      </c>
      <c r="AC39" s="138"/>
      <c r="AE39" s="161"/>
      <c r="AF39" s="146">
        <f>AF33+AF35+AF37</f>
        <v>18932.336000000003</v>
      </c>
      <c r="AG39" s="138"/>
    </row>
    <row r="40" spans="1:33" x14ac:dyDescent="0.2">
      <c r="B40" s="142"/>
    </row>
    <row r="41" spans="1:33" x14ac:dyDescent="0.2">
      <c r="B41" s="142"/>
    </row>
    <row r="42" spans="1:33" ht="48" x14ac:dyDescent="0.2">
      <c r="A42" s="32" t="s">
        <v>76</v>
      </c>
      <c r="B42" s="142"/>
      <c r="F42" s="3"/>
      <c r="G42" s="1"/>
      <c r="I42" s="139"/>
      <c r="J42" s="150"/>
      <c r="K42" s="166"/>
      <c r="L42" s="166"/>
      <c r="M42" s="139"/>
      <c r="N42" s="3"/>
      <c r="P42"/>
      <c r="Q42" s="133"/>
      <c r="R42" s="74"/>
      <c r="S42" s="74"/>
      <c r="T42" s="74"/>
      <c r="U42" s="133"/>
    </row>
    <row r="43" spans="1:33" x14ac:dyDescent="0.2">
      <c r="A43" s="33">
        <v>0</v>
      </c>
      <c r="B43" s="142"/>
      <c r="F43" s="1">
        <v>10000</v>
      </c>
      <c r="G43" s="37" t="e">
        <f>'Data Form'!#REF!</f>
        <v>#REF!</v>
      </c>
      <c r="I43" s="136"/>
      <c r="J43" s="151"/>
      <c r="K43" s="167"/>
      <c r="L43" s="167"/>
      <c r="M43" s="136"/>
      <c r="N43" s="1">
        <v>10000</v>
      </c>
      <c r="O43" s="160">
        <f>'Data Form'!C60</f>
        <v>0</v>
      </c>
      <c r="P43" s="1">
        <f>(P39-A43)*O43</f>
        <v>0</v>
      </c>
    </row>
    <row r="44" spans="1:33" x14ac:dyDescent="0.2">
      <c r="A44" s="33">
        <v>10000</v>
      </c>
      <c r="B44" s="142"/>
      <c r="F44" s="1">
        <v>14999</v>
      </c>
      <c r="G44" s="37" t="e">
        <f>'Data Form'!#REF!</f>
        <v>#REF!</v>
      </c>
      <c r="I44" s="136"/>
      <c r="J44" s="151"/>
      <c r="K44" s="167"/>
      <c r="L44" s="167"/>
      <c r="M44" s="136"/>
      <c r="N44" s="1">
        <v>14999</v>
      </c>
      <c r="O44" s="160">
        <f>'Data Form'!C61</f>
        <v>0</v>
      </c>
      <c r="P44" s="33">
        <f>(P39-A44)*O44</f>
        <v>0</v>
      </c>
      <c r="Q44" s="136"/>
      <c r="R44" s="151"/>
      <c r="S44" s="151"/>
      <c r="T44" s="151"/>
      <c r="U44" s="136"/>
    </row>
    <row r="45" spans="1:33" x14ac:dyDescent="0.2">
      <c r="A45" s="33">
        <v>15000</v>
      </c>
      <c r="B45" s="142"/>
      <c r="F45" s="1">
        <v>24999</v>
      </c>
      <c r="G45" s="37" t="e">
        <f>'Data Form'!#REF!</f>
        <v>#REF!</v>
      </c>
      <c r="I45" s="136"/>
      <c r="J45" s="151"/>
      <c r="K45" s="167"/>
      <c r="L45" s="167"/>
      <c r="M45" s="136"/>
      <c r="N45" s="1">
        <v>24999</v>
      </c>
      <c r="O45" s="160">
        <f>'Data Form'!C62</f>
        <v>0</v>
      </c>
      <c r="P45" s="33">
        <f>(P39-A45)*O45</f>
        <v>0</v>
      </c>
      <c r="Q45" s="136"/>
      <c r="R45" s="151"/>
      <c r="S45" s="151"/>
      <c r="T45" s="151"/>
      <c r="U45" s="136"/>
    </row>
    <row r="46" spans="1:33" x14ac:dyDescent="0.2">
      <c r="A46" s="33">
        <v>25000</v>
      </c>
      <c r="B46" s="142"/>
      <c r="F46" s="1">
        <v>34999</v>
      </c>
      <c r="G46" s="37" t="e">
        <f>'Data Form'!#REF!</f>
        <v>#REF!</v>
      </c>
      <c r="I46" s="136"/>
      <c r="J46" s="151"/>
      <c r="K46" s="167"/>
      <c r="L46" s="167"/>
      <c r="M46" s="136"/>
      <c r="N46" s="1">
        <v>34999</v>
      </c>
      <c r="O46" s="160">
        <f>'Data Form'!C63</f>
        <v>0</v>
      </c>
      <c r="P46" s="33">
        <f>(P39-A46)*O46</f>
        <v>0</v>
      </c>
      <c r="Q46" s="136"/>
      <c r="R46" s="151"/>
      <c r="S46" s="151"/>
      <c r="T46" s="151"/>
      <c r="U46" s="136"/>
    </row>
    <row r="47" spans="1:33" x14ac:dyDescent="0.2">
      <c r="B47" s="142"/>
      <c r="F47" s="3"/>
      <c r="G47" s="1"/>
      <c r="N47" s="3"/>
      <c r="P47"/>
      <c r="Q47" s="133"/>
      <c r="R47" s="74"/>
      <c r="S47" s="74"/>
      <c r="T47" s="74"/>
      <c r="U47" s="133"/>
    </row>
    <row r="48" spans="1:33" x14ac:dyDescent="0.2">
      <c r="B48" s="142"/>
      <c r="F48" s="3"/>
      <c r="G48" s="1"/>
      <c r="N48" s="3"/>
      <c r="P48"/>
      <c r="Q48" s="133"/>
      <c r="R48" s="74"/>
      <c r="S48" s="74"/>
      <c r="T48" s="74"/>
      <c r="U48" s="133"/>
    </row>
    <row r="49" spans="1:21" x14ac:dyDescent="0.2">
      <c r="A49" t="s">
        <v>81</v>
      </c>
      <c r="B49" s="142"/>
      <c r="F49" s="3"/>
      <c r="G49" s="1"/>
      <c r="N49" s="3"/>
      <c r="P49"/>
      <c r="Q49" s="133"/>
      <c r="S49" s="74"/>
      <c r="T49" s="74"/>
      <c r="U49" s="133"/>
    </row>
    <row r="50" spans="1:21" x14ac:dyDescent="0.2">
      <c r="A50" t="s">
        <v>82</v>
      </c>
      <c r="B50" s="142"/>
      <c r="F50" s="1" t="e">
        <f>(H39-F43)*G43+(H39-F44)*G44+(H39-F45)*G45+(H39-F46)*G46</f>
        <v>#REF!</v>
      </c>
      <c r="G50" s="1"/>
      <c r="N50" s="1">
        <f>(P39-N43)*O43+(P39-N44)*O44+(P39-N45)*O45+(P39-N46)*O46</f>
        <v>0</v>
      </c>
      <c r="P50"/>
      <c r="Q50" s="133"/>
      <c r="S50" s="74"/>
      <c r="T50" s="74"/>
      <c r="U50" s="133"/>
    </row>
    <row r="51" spans="1:21" x14ac:dyDescent="0.2">
      <c r="A51" t="s">
        <v>83</v>
      </c>
      <c r="B51" s="142"/>
      <c r="F51" s="1" t="e">
        <f>((H39-#REF!)*G43)+((H39-#REF!)*G44)+((H39-#REF!)*G45)+((H39-#REF!)*G46)</f>
        <v>#REF!</v>
      </c>
      <c r="G51" s="1"/>
      <c r="N51" s="1">
        <f>((P39-A43)*O43)+((P39-A44)*O44)+((P39-A45)*O45)+((P39-A46)*O46)</f>
        <v>0</v>
      </c>
      <c r="P51"/>
      <c r="Q51" s="133"/>
      <c r="R51" s="74"/>
      <c r="S51" s="74"/>
      <c r="T51" s="74"/>
      <c r="U51" s="133"/>
    </row>
    <row r="52" spans="1:21" x14ac:dyDescent="0.2">
      <c r="B52" s="142"/>
    </row>
    <row r="53" spans="1:21" ht="32" x14ac:dyDescent="0.2">
      <c r="A53" s="32" t="s">
        <v>84</v>
      </c>
      <c r="B53" s="142"/>
      <c r="F53" s="34" t="e">
        <f>F55/F54</f>
        <v>#REF!</v>
      </c>
      <c r="I53" s="139"/>
      <c r="J53" s="150"/>
      <c r="K53" s="166"/>
      <c r="L53" s="166"/>
      <c r="M53" s="139"/>
      <c r="N53" s="34" t="e">
        <f>N55/N54</f>
        <v>#DIV/0!</v>
      </c>
    </row>
    <row r="54" spans="1:21" x14ac:dyDescent="0.2">
      <c r="A54" t="s">
        <v>85</v>
      </c>
      <c r="B54" s="142"/>
      <c r="F54" s="38" t="e">
        <f>'Data Form'!#REF!</f>
        <v>#REF!</v>
      </c>
      <c r="N54" s="38">
        <f>'Data Form'!B67</f>
        <v>0</v>
      </c>
    </row>
    <row r="55" spans="1:21" ht="48" x14ac:dyDescent="0.2">
      <c r="A55" s="32" t="s">
        <v>86</v>
      </c>
      <c r="B55" s="142"/>
      <c r="F55" s="58" t="e">
        <f>SUM(G43:G46)</f>
        <v>#REF!</v>
      </c>
      <c r="I55" s="139"/>
      <c r="J55" s="150"/>
      <c r="K55" s="166"/>
      <c r="L55" s="166"/>
      <c r="M55" s="139"/>
      <c r="N55" s="58">
        <f>SUM(O43:O46)</f>
        <v>0</v>
      </c>
    </row>
    <row r="56" spans="1:21" x14ac:dyDescent="0.2">
      <c r="B56" s="142"/>
    </row>
    <row r="57" spans="1:21" ht="48" x14ac:dyDescent="0.2">
      <c r="A57" s="39" t="s">
        <v>88</v>
      </c>
      <c r="B57" s="142"/>
      <c r="I57" s="140"/>
      <c r="J57" s="152"/>
      <c r="K57" s="168"/>
      <c r="L57" s="168"/>
      <c r="M57" s="140"/>
    </row>
    <row r="58" spans="1:21" x14ac:dyDescent="0.2">
      <c r="B58" s="142"/>
      <c r="F58" t="s">
        <v>89</v>
      </c>
      <c r="G58" s="43" t="e">
        <f>'Data Form'!#REF!</f>
        <v>#REF!</v>
      </c>
      <c r="N58" t="s">
        <v>89</v>
      </c>
      <c r="O58" s="157">
        <f>'Data Form'!C70</f>
        <v>0</v>
      </c>
    </row>
    <row r="59" spans="1:21" x14ac:dyDescent="0.2">
      <c r="B59" s="142"/>
      <c r="F59" t="s">
        <v>82</v>
      </c>
      <c r="G59" s="34" t="e">
        <f>F50/G58</f>
        <v>#REF!</v>
      </c>
      <c r="N59" t="s">
        <v>82</v>
      </c>
      <c r="O59" s="162" t="e">
        <f>N50/O58</f>
        <v>#DIV/0!</v>
      </c>
    </row>
    <row r="60" spans="1:21" x14ac:dyDescent="0.2">
      <c r="B60" s="142"/>
      <c r="F60" t="s">
        <v>83</v>
      </c>
      <c r="G60" s="34" t="e">
        <f>F51/G58</f>
        <v>#REF!</v>
      </c>
      <c r="N60" t="s">
        <v>83</v>
      </c>
      <c r="O60" s="162" t="e">
        <f>N51/O58</f>
        <v>#DIV/0!</v>
      </c>
    </row>
  </sheetData>
  <sheetProtection sheet="1" objects="1" scenarios="1"/>
  <mergeCells count="6">
    <mergeCell ref="Z1:AA1"/>
    <mergeCell ref="B1:C1"/>
    <mergeCell ref="F1:G1"/>
    <mergeCell ref="J1:K1"/>
    <mergeCell ref="N1:O1"/>
    <mergeCell ref="R1:S1"/>
  </mergeCells>
  <pageMargins left="0.7" right="0.7" top="0.75" bottom="0.75" header="0.3" footer="0.3"/>
  <pageSetup orientation="portrait" horizontalDpi="4294967292" verticalDpi="4294967292" r:id="rId1"/>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I93"/>
  <sheetViews>
    <sheetView tabSelected="1" topLeftCell="A51" zoomScale="117" zoomScaleNormal="165" zoomScalePageLayoutView="75" workbookViewId="0">
      <selection activeCell="A72" sqref="A72:XFD72"/>
    </sheetView>
  </sheetViews>
  <sheetFormatPr baseColWidth="10" defaultColWidth="8.83203125" defaultRowHeight="15" x14ac:dyDescent="0.2"/>
  <cols>
    <col min="1" max="1" width="26.5" customWidth="1"/>
    <col min="2" max="2" width="38.33203125" customWidth="1"/>
    <col min="3" max="3" width="23" style="3" customWidth="1"/>
    <col min="4" max="4" width="21.33203125" style="1" customWidth="1"/>
    <col min="5" max="5" width="21.1640625" customWidth="1"/>
    <col min="6" max="6" width="21.1640625" style="2" customWidth="1"/>
    <col min="7" max="7" width="15.6640625" style="1" customWidth="1"/>
    <col min="8" max="9" width="16.1640625" customWidth="1"/>
  </cols>
  <sheetData>
    <row r="1" spans="1:5" x14ac:dyDescent="0.2">
      <c r="A1" t="s">
        <v>125</v>
      </c>
    </row>
    <row r="2" spans="1:5" x14ac:dyDescent="0.2">
      <c r="A2" s="69" t="s">
        <v>128</v>
      </c>
      <c r="B2" s="74"/>
    </row>
    <row r="3" spans="1:5" x14ac:dyDescent="0.2">
      <c r="A3" s="57" t="s">
        <v>126</v>
      </c>
      <c r="B3" s="74"/>
    </row>
    <row r="4" spans="1:5" x14ac:dyDescent="0.2">
      <c r="A4" s="70" t="s">
        <v>127</v>
      </c>
      <c r="B4" s="74"/>
    </row>
    <row r="6" spans="1:5" x14ac:dyDescent="0.2">
      <c r="B6" t="s">
        <v>4</v>
      </c>
      <c r="E6" t="s">
        <v>5</v>
      </c>
    </row>
    <row r="7" spans="1:5" x14ac:dyDescent="0.2">
      <c r="A7" t="s">
        <v>94</v>
      </c>
      <c r="D7" s="22"/>
    </row>
    <row r="8" spans="1:5" x14ac:dyDescent="0.2">
      <c r="B8" t="s">
        <v>0</v>
      </c>
      <c r="C8" s="8">
        <v>32.299999999999997</v>
      </c>
    </row>
    <row r="9" spans="1:5" x14ac:dyDescent="0.2">
      <c r="B9" t="s">
        <v>1</v>
      </c>
      <c r="C9" s="8">
        <v>33.1</v>
      </c>
    </row>
    <row r="10" spans="1:5" x14ac:dyDescent="0.2">
      <c r="B10" t="s">
        <v>28</v>
      </c>
      <c r="C10" s="124">
        <v>48.2</v>
      </c>
    </row>
    <row r="11" spans="1:5" x14ac:dyDescent="0.2">
      <c r="B11" t="s">
        <v>2</v>
      </c>
      <c r="C11" s="8">
        <v>50.8</v>
      </c>
    </row>
    <row r="12" spans="1:5" x14ac:dyDescent="0.2">
      <c r="B12" t="s">
        <v>145</v>
      </c>
      <c r="C12" s="8">
        <v>58.7</v>
      </c>
    </row>
    <row r="13" spans="1:5" x14ac:dyDescent="0.2">
      <c r="C13" s="4"/>
    </row>
    <row r="14" spans="1:5" x14ac:dyDescent="0.2">
      <c r="C14" s="4"/>
    </row>
    <row r="15" spans="1:5" x14ac:dyDescent="0.2">
      <c r="A15" t="s">
        <v>95</v>
      </c>
      <c r="C15" s="4"/>
    </row>
    <row r="16" spans="1:5" x14ac:dyDescent="0.2">
      <c r="B16" t="s">
        <v>29</v>
      </c>
      <c r="C16" s="8">
        <v>400</v>
      </c>
    </row>
    <row r="17" spans="1:9" x14ac:dyDescent="0.2">
      <c r="B17" t="s">
        <v>30</v>
      </c>
      <c r="C17" s="8">
        <v>290</v>
      </c>
    </row>
    <row r="18" spans="1:9" x14ac:dyDescent="0.2">
      <c r="B18" t="s">
        <v>28</v>
      </c>
      <c r="C18" s="124">
        <v>320</v>
      </c>
    </row>
    <row r="19" spans="1:9" x14ac:dyDescent="0.2">
      <c r="B19" t="s">
        <v>24</v>
      </c>
      <c r="C19" s="8">
        <v>400</v>
      </c>
    </row>
    <row r="20" spans="1:9" x14ac:dyDescent="0.2">
      <c r="B20" t="s">
        <v>146</v>
      </c>
      <c r="C20" s="8">
        <v>347</v>
      </c>
    </row>
    <row r="21" spans="1:9" ht="16" x14ac:dyDescent="0.2">
      <c r="B21" s="56" t="s">
        <v>25</v>
      </c>
    </row>
    <row r="22" spans="1:9" ht="16" x14ac:dyDescent="0.2">
      <c r="B22" s="56" t="s">
        <v>26</v>
      </c>
      <c r="C22" s="9">
        <v>2.7</v>
      </c>
    </row>
    <row r="23" spans="1:9" ht="16" x14ac:dyDescent="0.2">
      <c r="B23" s="56" t="s">
        <v>27</v>
      </c>
      <c r="C23" s="9">
        <v>0.9</v>
      </c>
    </row>
    <row r="24" spans="1:9" x14ac:dyDescent="0.2">
      <c r="C24" s="4"/>
    </row>
    <row r="25" spans="1:9" x14ac:dyDescent="0.2">
      <c r="C25" s="4"/>
    </row>
    <row r="26" spans="1:9" x14ac:dyDescent="0.2">
      <c r="A26" t="s">
        <v>96</v>
      </c>
      <c r="C26" s="4"/>
    </row>
    <row r="27" spans="1:9" x14ac:dyDescent="0.2">
      <c r="B27" t="s">
        <v>8</v>
      </c>
      <c r="C27" s="71"/>
      <c r="E27" t="s">
        <v>9</v>
      </c>
      <c r="F27" s="72"/>
      <c r="H27" t="s">
        <v>139</v>
      </c>
      <c r="I27" s="70"/>
    </row>
    <row r="28" spans="1:9" x14ac:dyDescent="0.2">
      <c r="C28" s="4"/>
    </row>
    <row r="29" spans="1:9" x14ac:dyDescent="0.2">
      <c r="A29" t="s">
        <v>97</v>
      </c>
      <c r="C29" s="4"/>
    </row>
    <row r="30" spans="1:9" x14ac:dyDescent="0.2">
      <c r="B30" t="s">
        <v>13</v>
      </c>
      <c r="C30" s="35">
        <v>2</v>
      </c>
      <c r="E30" t="s">
        <v>13</v>
      </c>
      <c r="F30" s="36">
        <v>2</v>
      </c>
      <c r="H30" t="s">
        <v>13</v>
      </c>
      <c r="I30" s="36">
        <v>2</v>
      </c>
    </row>
    <row r="31" spans="1:9" x14ac:dyDescent="0.2">
      <c r="B31" t="s">
        <v>14</v>
      </c>
      <c r="C31" s="35">
        <v>3</v>
      </c>
      <c r="E31" t="s">
        <v>14</v>
      </c>
      <c r="F31" s="36">
        <v>3</v>
      </c>
      <c r="H31" t="s">
        <v>14</v>
      </c>
      <c r="I31" s="36">
        <v>3</v>
      </c>
    </row>
    <row r="32" spans="1:9" x14ac:dyDescent="0.2">
      <c r="B32" t="s">
        <v>15</v>
      </c>
      <c r="C32" s="35">
        <v>9</v>
      </c>
      <c r="E32" t="s">
        <v>15</v>
      </c>
      <c r="F32" s="36">
        <v>12</v>
      </c>
      <c r="H32" t="s">
        <v>15</v>
      </c>
      <c r="I32" s="36">
        <v>7</v>
      </c>
    </row>
    <row r="33" spans="1:9" x14ac:dyDescent="0.2">
      <c r="B33" t="s">
        <v>16</v>
      </c>
      <c r="C33" s="35">
        <v>19</v>
      </c>
      <c r="E33" t="s">
        <v>16</v>
      </c>
      <c r="F33" s="36">
        <v>23</v>
      </c>
      <c r="H33" t="s">
        <v>16</v>
      </c>
      <c r="I33" s="36">
        <v>15</v>
      </c>
    </row>
    <row r="34" spans="1:9" x14ac:dyDescent="0.2">
      <c r="B34" t="s">
        <v>17</v>
      </c>
      <c r="C34" s="35">
        <v>5</v>
      </c>
      <c r="E34" t="s">
        <v>17</v>
      </c>
      <c r="F34" s="36">
        <v>7</v>
      </c>
      <c r="H34" t="s">
        <v>17</v>
      </c>
      <c r="I34" s="36">
        <v>4</v>
      </c>
    </row>
    <row r="35" spans="1:9" x14ac:dyDescent="0.2">
      <c r="B35" t="s">
        <v>18</v>
      </c>
      <c r="C35" s="35">
        <v>34</v>
      </c>
      <c r="E35" t="s">
        <v>18</v>
      </c>
      <c r="F35" s="36">
        <v>42</v>
      </c>
      <c r="H35" t="s">
        <v>18</v>
      </c>
      <c r="I35" s="36">
        <v>26</v>
      </c>
    </row>
    <row r="36" spans="1:9" x14ac:dyDescent="0.2">
      <c r="B36" t="s">
        <v>20</v>
      </c>
      <c r="C36" s="35">
        <v>16</v>
      </c>
      <c r="E36" t="s">
        <v>20</v>
      </c>
      <c r="F36" s="36">
        <v>20</v>
      </c>
      <c r="H36" t="s">
        <v>20</v>
      </c>
      <c r="I36" s="36">
        <v>13</v>
      </c>
    </row>
    <row r="37" spans="1:9" x14ac:dyDescent="0.2">
      <c r="B37" t="s">
        <v>21</v>
      </c>
      <c r="C37" s="35">
        <v>34</v>
      </c>
      <c r="E37" t="s">
        <v>21</v>
      </c>
      <c r="F37" s="36">
        <v>42</v>
      </c>
      <c r="H37" t="s">
        <v>21</v>
      </c>
      <c r="I37" s="36">
        <v>27</v>
      </c>
    </row>
    <row r="38" spans="1:9" x14ac:dyDescent="0.2">
      <c r="B38" t="s">
        <v>22</v>
      </c>
      <c r="C38" s="35">
        <v>12</v>
      </c>
      <c r="E38" t="s">
        <v>22</v>
      </c>
      <c r="F38" s="36">
        <v>12</v>
      </c>
      <c r="H38" t="s">
        <v>22</v>
      </c>
      <c r="I38" s="36">
        <v>12</v>
      </c>
    </row>
    <row r="39" spans="1:9" x14ac:dyDescent="0.2">
      <c r="B39" t="s">
        <v>23</v>
      </c>
      <c r="C39" s="35">
        <v>29</v>
      </c>
      <c r="E39" t="s">
        <v>23</v>
      </c>
      <c r="F39" s="36">
        <v>35</v>
      </c>
      <c r="H39" t="s">
        <v>23</v>
      </c>
      <c r="I39" s="36">
        <v>22</v>
      </c>
    </row>
    <row r="40" spans="1:9" x14ac:dyDescent="0.2">
      <c r="B40" t="s">
        <v>11</v>
      </c>
      <c r="C40" s="4">
        <f>D40/12</f>
        <v>58.56481481481481</v>
      </c>
      <c r="D40" s="4">
        <f>C41/(C22-C23)</f>
        <v>702.77777777777771</v>
      </c>
      <c r="F40" s="4"/>
    </row>
    <row r="41" spans="1:9" ht="32" x14ac:dyDescent="0.2">
      <c r="B41" s="56" t="s">
        <v>31</v>
      </c>
      <c r="C41" s="8">
        <v>1265</v>
      </c>
      <c r="F41"/>
      <c r="G41"/>
    </row>
    <row r="42" spans="1:9" x14ac:dyDescent="0.2">
      <c r="C42" s="4"/>
      <c r="F42"/>
      <c r="G42"/>
    </row>
    <row r="43" spans="1:9" x14ac:dyDescent="0.2">
      <c r="C43" s="4"/>
      <c r="F43"/>
    </row>
    <row r="45" spans="1:9" s="11" customFormat="1" x14ac:dyDescent="0.2">
      <c r="C45" s="23"/>
      <c r="D45" s="24"/>
      <c r="F45" s="25"/>
      <c r="G45" s="24"/>
    </row>
    <row r="47" spans="1:9" x14ac:dyDescent="0.2">
      <c r="A47" t="s">
        <v>98</v>
      </c>
      <c r="C47" s="67">
        <f>(C48/12)+(C49/12)+(C50/12)</f>
        <v>215.68627450980392</v>
      </c>
      <c r="D47" s="1">
        <f>(D48+D49+D50)/12</f>
        <v>366.66666666666669</v>
      </c>
    </row>
    <row r="48" spans="1:9" x14ac:dyDescent="0.2">
      <c r="B48" t="s">
        <v>122</v>
      </c>
      <c r="C48" s="1">
        <f>D48/E48</f>
        <v>437.64705882352945</v>
      </c>
      <c r="D48" s="68">
        <v>744</v>
      </c>
      <c r="E48" s="9">
        <v>1.7</v>
      </c>
    </row>
    <row r="49" spans="1:7" x14ac:dyDescent="0.2">
      <c r="B49" t="s">
        <v>123</v>
      </c>
      <c r="C49" s="1">
        <f>D49/E48</f>
        <v>894.11764705882354</v>
      </c>
      <c r="D49" s="68">
        <v>1520</v>
      </c>
    </row>
    <row r="50" spans="1:7" x14ac:dyDescent="0.2">
      <c r="B50" t="s">
        <v>124</v>
      </c>
      <c r="C50" s="33">
        <f>D50/E48</f>
        <v>1256.4705882352941</v>
      </c>
      <c r="D50" s="75">
        <v>2136</v>
      </c>
    </row>
    <row r="52" spans="1:7" x14ac:dyDescent="0.2">
      <c r="A52" t="s">
        <v>99</v>
      </c>
      <c r="B52" t="s">
        <v>129</v>
      </c>
      <c r="C52" s="67">
        <f>D52*5</f>
        <v>0</v>
      </c>
      <c r="D52" s="73"/>
    </row>
    <row r="53" spans="1:7" x14ac:dyDescent="0.2">
      <c r="B53" t="s">
        <v>130</v>
      </c>
      <c r="C53" s="67">
        <f>D53*5</f>
        <v>0</v>
      </c>
      <c r="D53" s="73"/>
    </row>
    <row r="54" spans="1:7" s="11" customFormat="1" x14ac:dyDescent="0.2">
      <c r="C54" s="23"/>
      <c r="D54" s="24"/>
      <c r="F54" s="25"/>
      <c r="G54" s="24"/>
    </row>
    <row r="55" spans="1:7" s="11" customFormat="1" x14ac:dyDescent="0.2">
      <c r="C55" s="23"/>
      <c r="D55" s="24"/>
      <c r="F55" s="25"/>
      <c r="G55" s="24"/>
    </row>
    <row r="56" spans="1:7" s="11" customFormat="1" x14ac:dyDescent="0.2">
      <c r="C56" s="23"/>
      <c r="D56" s="24"/>
      <c r="F56" s="25"/>
      <c r="G56" s="24"/>
    </row>
    <row r="59" spans="1:7" x14ac:dyDescent="0.2">
      <c r="A59" s="32"/>
      <c r="B59" s="3"/>
      <c r="C59" s="1"/>
      <c r="D59"/>
      <c r="E59" s="3"/>
      <c r="F59" s="65"/>
    </row>
    <row r="60" spans="1:7" x14ac:dyDescent="0.2">
      <c r="A60" t="s">
        <v>77</v>
      </c>
      <c r="B60" s="33"/>
      <c r="C60" s="76"/>
      <c r="D60" s="34" t="e">
        <f>C60/$C$65</f>
        <v>#DIV/0!</v>
      </c>
      <c r="E60" s="3"/>
      <c r="F60" s="65"/>
    </row>
    <row r="61" spans="1:7" x14ac:dyDescent="0.2">
      <c r="A61" t="s">
        <v>78</v>
      </c>
      <c r="B61" s="33"/>
      <c r="C61" s="76"/>
      <c r="D61" s="34" t="e">
        <f t="shared" ref="D61:D63" si="0">C61/$C$65</f>
        <v>#DIV/0!</v>
      </c>
      <c r="E61" s="65"/>
      <c r="F61" s="65"/>
    </row>
    <row r="62" spans="1:7" x14ac:dyDescent="0.2">
      <c r="A62" t="s">
        <v>79</v>
      </c>
      <c r="B62" s="33"/>
      <c r="C62" s="76"/>
      <c r="D62" s="34" t="e">
        <f t="shared" si="0"/>
        <v>#DIV/0!</v>
      </c>
      <c r="E62" s="65"/>
      <c r="F62" s="65"/>
    </row>
    <row r="63" spans="1:7" x14ac:dyDescent="0.2">
      <c r="A63" t="s">
        <v>80</v>
      </c>
      <c r="B63" s="33"/>
      <c r="C63" s="76"/>
      <c r="D63" s="34" t="e">
        <f t="shared" si="0"/>
        <v>#DIV/0!</v>
      </c>
      <c r="E63" s="65"/>
      <c r="F63" s="65"/>
    </row>
    <row r="64" spans="1:7" x14ac:dyDescent="0.2">
      <c r="B64" s="3"/>
      <c r="C64" s="1"/>
      <c r="D64"/>
      <c r="E64" s="3"/>
    </row>
    <row r="65" spans="1:6" x14ac:dyDescent="0.2">
      <c r="B65" s="3"/>
      <c r="C65" s="3">
        <f>SUM(C60:C63)</f>
        <v>0</v>
      </c>
      <c r="D65" s="34" t="e">
        <f>C65/B67</f>
        <v>#DIV/0!</v>
      </c>
    </row>
    <row r="66" spans="1:6" x14ac:dyDescent="0.2">
      <c r="B66" s="3"/>
      <c r="D66"/>
    </row>
    <row r="67" spans="1:6" x14ac:dyDescent="0.2">
      <c r="A67" t="s">
        <v>85</v>
      </c>
      <c r="B67" s="70"/>
      <c r="F67" s="65"/>
    </row>
    <row r="68" spans="1:6" x14ac:dyDescent="0.2">
      <c r="A68" s="32"/>
    </row>
    <row r="69" spans="1:6" x14ac:dyDescent="0.2">
      <c r="A69" s="39"/>
    </row>
    <row r="70" spans="1:6" x14ac:dyDescent="0.2">
      <c r="B70" t="s">
        <v>89</v>
      </c>
      <c r="C70" s="223"/>
      <c r="E70" s="33"/>
    </row>
    <row r="71" spans="1:6" x14ac:dyDescent="0.2">
      <c r="C71" s="34"/>
    </row>
    <row r="72" spans="1:6" x14ac:dyDescent="0.2">
      <c r="A72" t="s">
        <v>114</v>
      </c>
      <c r="B72" s="34">
        <f>'2020 Summary'!K7/'2020 Summary'!K15</f>
        <v>0</v>
      </c>
    </row>
    <row r="73" spans="1:6" x14ac:dyDescent="0.2">
      <c r="B73" s="34">
        <f>'2020 Summary'!K7/'2020 Summary'!K21</f>
        <v>0</v>
      </c>
    </row>
    <row r="79" spans="1:6" x14ac:dyDescent="0.2">
      <c r="A79" t="s">
        <v>115</v>
      </c>
      <c r="B79">
        <v>1325</v>
      </c>
    </row>
    <row r="80" spans="1:6" x14ac:dyDescent="0.2">
      <c r="A80" t="s">
        <v>116</v>
      </c>
      <c r="B80">
        <v>799</v>
      </c>
    </row>
    <row r="81" spans="1:3" x14ac:dyDescent="0.2">
      <c r="A81" t="s">
        <v>113</v>
      </c>
      <c r="B81">
        <v>1325</v>
      </c>
    </row>
    <row r="82" spans="1:3" x14ac:dyDescent="0.2">
      <c r="A82" t="s">
        <v>117</v>
      </c>
      <c r="B82">
        <v>1325</v>
      </c>
    </row>
    <row r="83" spans="1:3" x14ac:dyDescent="0.2">
      <c r="A83" t="s">
        <v>118</v>
      </c>
      <c r="B83">
        <v>1325</v>
      </c>
    </row>
    <row r="84" spans="1:3" x14ac:dyDescent="0.2">
      <c r="A84" t="s">
        <v>119</v>
      </c>
      <c r="B84">
        <v>978</v>
      </c>
    </row>
    <row r="85" spans="1:3" x14ac:dyDescent="0.2">
      <c r="A85" t="s">
        <v>120</v>
      </c>
      <c r="B85">
        <v>1325</v>
      </c>
    </row>
    <row r="87" spans="1:3" x14ac:dyDescent="0.2">
      <c r="A87" t="s">
        <v>121</v>
      </c>
      <c r="B87">
        <v>52</v>
      </c>
      <c r="C87" s="3">
        <f>B87*5</f>
        <v>260</v>
      </c>
    </row>
    <row r="88" spans="1:3" x14ac:dyDescent="0.2">
      <c r="A88" t="s">
        <v>116</v>
      </c>
      <c r="B88">
        <v>26</v>
      </c>
      <c r="C88" s="3">
        <f t="shared" ref="C88:C93" si="1">B88*5</f>
        <v>130</v>
      </c>
    </row>
    <row r="89" spans="1:3" x14ac:dyDescent="0.2">
      <c r="A89" t="s">
        <v>113</v>
      </c>
      <c r="B89">
        <v>52</v>
      </c>
      <c r="C89" s="3">
        <f t="shared" si="1"/>
        <v>260</v>
      </c>
    </row>
    <row r="90" spans="1:3" x14ac:dyDescent="0.2">
      <c r="A90" t="s">
        <v>117</v>
      </c>
      <c r="B90">
        <v>33</v>
      </c>
      <c r="C90" s="3">
        <f t="shared" si="1"/>
        <v>165</v>
      </c>
    </row>
    <row r="91" spans="1:3" x14ac:dyDescent="0.2">
      <c r="A91" t="s">
        <v>118</v>
      </c>
      <c r="B91">
        <v>33</v>
      </c>
      <c r="C91" s="3">
        <f t="shared" si="1"/>
        <v>165</v>
      </c>
    </row>
    <row r="92" spans="1:3" x14ac:dyDescent="0.2">
      <c r="A92" t="s">
        <v>119</v>
      </c>
      <c r="B92">
        <v>33</v>
      </c>
      <c r="C92" s="3">
        <f t="shared" si="1"/>
        <v>165</v>
      </c>
    </row>
    <row r="93" spans="1:3" x14ac:dyDescent="0.2">
      <c r="A93" t="s">
        <v>120</v>
      </c>
      <c r="B93">
        <v>33</v>
      </c>
      <c r="C93" s="3">
        <f t="shared" si="1"/>
        <v>165</v>
      </c>
    </row>
  </sheetData>
  <pageMargins left="0.7" right="0.7" top="0.75" bottom="0.75" header="0.3" footer="0.3"/>
  <pageSetup orientation="portrait" horizontalDpi="4294967292" verticalDpi="4294967292" r:id="rId1"/>
  <legacy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G65"/>
  <sheetViews>
    <sheetView topLeftCell="A5" zoomScale="75" zoomScaleNormal="75" zoomScalePageLayoutView="75" workbookViewId="0">
      <selection activeCell="C42" sqref="C42"/>
    </sheetView>
  </sheetViews>
  <sheetFormatPr baseColWidth="10" defaultColWidth="8.83203125" defaultRowHeight="15" x14ac:dyDescent="0.2"/>
  <cols>
    <col min="1" max="1" width="23.83203125" style="17" customWidth="1"/>
    <col min="2" max="2" width="26.6640625" style="17" customWidth="1"/>
    <col min="3" max="3" width="50" style="15" customWidth="1"/>
    <col min="4" max="4" width="34" style="19" customWidth="1"/>
    <col min="5" max="5" width="21.5" style="17" customWidth="1"/>
    <col min="6" max="6" width="43.33203125" style="20" customWidth="1"/>
    <col min="7" max="7" width="40.33203125" style="15" customWidth="1"/>
    <col min="8" max="8" width="16.1640625" customWidth="1"/>
  </cols>
  <sheetData>
    <row r="1" spans="1:7" x14ac:dyDescent="0.2">
      <c r="B1" s="16" t="s">
        <v>4</v>
      </c>
      <c r="E1" s="16" t="s">
        <v>5</v>
      </c>
    </row>
    <row r="2" spans="1:7" ht="32" x14ac:dyDescent="0.2">
      <c r="A2" s="16" t="s">
        <v>3</v>
      </c>
      <c r="D2" s="19" t="s">
        <v>32</v>
      </c>
      <c r="G2" s="15" t="s">
        <v>34</v>
      </c>
    </row>
    <row r="3" spans="1:7" ht="80" x14ac:dyDescent="0.2">
      <c r="B3" s="16" t="s">
        <v>0</v>
      </c>
      <c r="C3" s="14" t="s">
        <v>41</v>
      </c>
      <c r="D3" s="19" t="s">
        <v>33</v>
      </c>
      <c r="E3" s="16" t="s">
        <v>0</v>
      </c>
      <c r="F3" s="21" t="s">
        <v>36</v>
      </c>
      <c r="G3" s="15" t="s">
        <v>35</v>
      </c>
    </row>
    <row r="4" spans="1:7" ht="80" x14ac:dyDescent="0.2">
      <c r="B4" s="16" t="s">
        <v>1</v>
      </c>
      <c r="C4" s="14" t="s">
        <v>42</v>
      </c>
      <c r="D4" s="19" t="s">
        <v>33</v>
      </c>
      <c r="E4" s="16" t="s">
        <v>1</v>
      </c>
      <c r="F4" s="20" t="s">
        <v>36</v>
      </c>
      <c r="G4" s="15" t="s">
        <v>35</v>
      </c>
    </row>
    <row r="5" spans="1:7" ht="96" x14ac:dyDescent="0.2">
      <c r="B5" s="16" t="s">
        <v>2</v>
      </c>
      <c r="C5" s="14" t="s">
        <v>43</v>
      </c>
      <c r="D5" s="19" t="s">
        <v>33</v>
      </c>
      <c r="E5" s="16" t="s">
        <v>28</v>
      </c>
      <c r="F5" s="13" t="s">
        <v>44</v>
      </c>
      <c r="G5" s="15" t="s">
        <v>35</v>
      </c>
    </row>
    <row r="6" spans="1:7" ht="32" x14ac:dyDescent="0.2">
      <c r="E6" s="16" t="s">
        <v>2</v>
      </c>
      <c r="F6" s="20" t="s">
        <v>36</v>
      </c>
      <c r="G6" s="15" t="s">
        <v>35</v>
      </c>
    </row>
    <row r="9" spans="1:7" ht="32" x14ac:dyDescent="0.2">
      <c r="A9" s="16" t="s">
        <v>6</v>
      </c>
      <c r="D9" s="19" t="s">
        <v>32</v>
      </c>
      <c r="G9" s="15" t="s">
        <v>34</v>
      </c>
    </row>
    <row r="10" spans="1:7" ht="96" x14ac:dyDescent="0.2">
      <c r="B10" s="16" t="s">
        <v>29</v>
      </c>
      <c r="C10" s="14" t="s">
        <v>73</v>
      </c>
      <c r="D10" s="19" t="s">
        <v>39</v>
      </c>
      <c r="E10" s="16" t="s">
        <v>29</v>
      </c>
      <c r="G10" s="15" t="s">
        <v>39</v>
      </c>
    </row>
    <row r="11" spans="1:7" ht="96" x14ac:dyDescent="0.2">
      <c r="B11" s="16" t="s">
        <v>30</v>
      </c>
      <c r="C11" s="14" t="s">
        <v>72</v>
      </c>
      <c r="D11" s="19" t="s">
        <v>39</v>
      </c>
      <c r="E11" s="16" t="s">
        <v>30</v>
      </c>
      <c r="G11" s="15" t="s">
        <v>39</v>
      </c>
    </row>
    <row r="12" spans="1:7" ht="128" x14ac:dyDescent="0.2">
      <c r="B12" s="16" t="s">
        <v>24</v>
      </c>
      <c r="D12" s="19" t="s">
        <v>48</v>
      </c>
      <c r="E12" s="16" t="s">
        <v>28</v>
      </c>
      <c r="F12" s="14" t="s">
        <v>74</v>
      </c>
      <c r="G12" s="15" t="s">
        <v>40</v>
      </c>
    </row>
    <row r="13" spans="1:7" ht="112" x14ac:dyDescent="0.2">
      <c r="B13" s="18" t="s">
        <v>25</v>
      </c>
      <c r="C13" s="14" t="s">
        <v>45</v>
      </c>
      <c r="E13" s="16" t="s">
        <v>24</v>
      </c>
      <c r="G13" s="15" t="str">
        <f>D12</f>
        <v>Formula calculates the cost of apparel for a single adult female by dividing the average amount spent by a consumer unit by the number of adults in the reference consumer unit (by taking the average number of persons in the consumer unit and subtracting the average number of children under the age of 18)</v>
      </c>
    </row>
    <row r="14" spans="1:7" ht="96" x14ac:dyDescent="0.2">
      <c r="B14" s="18" t="s">
        <v>26</v>
      </c>
      <c r="C14" s="14" t="s">
        <v>46</v>
      </c>
    </row>
    <row r="15" spans="1:7" ht="96" x14ac:dyDescent="0.2">
      <c r="B15" s="18" t="s">
        <v>27</v>
      </c>
      <c r="C15" s="14" t="s">
        <v>47</v>
      </c>
    </row>
    <row r="18" spans="1:7" x14ac:dyDescent="0.2">
      <c r="A18" s="16" t="s">
        <v>7</v>
      </c>
    </row>
    <row r="19" spans="1:7" ht="112" x14ac:dyDescent="0.2">
      <c r="B19" s="16" t="s">
        <v>8</v>
      </c>
      <c r="C19" s="42" t="s">
        <v>49</v>
      </c>
      <c r="D19" s="19" t="s">
        <v>50</v>
      </c>
      <c r="E19" s="16" t="s">
        <v>9</v>
      </c>
      <c r="F19" s="42" t="s">
        <v>51</v>
      </c>
      <c r="G19" s="15" t="s">
        <v>50</v>
      </c>
    </row>
    <row r="21" spans="1:7" ht="16" x14ac:dyDescent="0.2">
      <c r="A21" s="16" t="s">
        <v>10</v>
      </c>
      <c r="D21" s="19" t="s">
        <v>53</v>
      </c>
      <c r="G21" s="15" t="s">
        <v>53</v>
      </c>
    </row>
    <row r="22" spans="1:7" ht="128" x14ac:dyDescent="0.2">
      <c r="B22" s="16" t="s">
        <v>13</v>
      </c>
      <c r="C22" s="42" t="s">
        <v>52</v>
      </c>
      <c r="D22" s="19" t="s">
        <v>54</v>
      </c>
      <c r="E22" s="16" t="s">
        <v>13</v>
      </c>
      <c r="F22" s="42" t="s">
        <v>52</v>
      </c>
      <c r="G22" s="15" t="s">
        <v>54</v>
      </c>
    </row>
    <row r="23" spans="1:7" ht="128" x14ac:dyDescent="0.2">
      <c r="B23" s="16" t="s">
        <v>14</v>
      </c>
      <c r="C23" s="42" t="s">
        <v>52</v>
      </c>
      <c r="D23" s="19" t="s">
        <v>54</v>
      </c>
      <c r="E23" s="16" t="s">
        <v>14</v>
      </c>
      <c r="F23" s="42" t="s">
        <v>52</v>
      </c>
      <c r="G23" s="15" t="s">
        <v>54</v>
      </c>
    </row>
    <row r="24" spans="1:7" ht="128" x14ac:dyDescent="0.2">
      <c r="B24" s="16" t="s">
        <v>15</v>
      </c>
      <c r="C24" s="42" t="s">
        <v>52</v>
      </c>
      <c r="D24" s="19" t="s">
        <v>54</v>
      </c>
      <c r="E24" s="16" t="s">
        <v>15</v>
      </c>
      <c r="F24" s="42" t="s">
        <v>52</v>
      </c>
      <c r="G24" s="15" t="s">
        <v>54</v>
      </c>
    </row>
    <row r="25" spans="1:7" ht="128" x14ac:dyDescent="0.2">
      <c r="B25" s="16" t="s">
        <v>16</v>
      </c>
      <c r="C25" s="42" t="s">
        <v>52</v>
      </c>
      <c r="D25" s="19" t="s">
        <v>54</v>
      </c>
      <c r="E25" s="16" t="s">
        <v>16</v>
      </c>
      <c r="F25" s="42" t="s">
        <v>52</v>
      </c>
      <c r="G25" s="15" t="s">
        <v>54</v>
      </c>
    </row>
    <row r="26" spans="1:7" ht="128" x14ac:dyDescent="0.2">
      <c r="B26" s="16" t="s">
        <v>17</v>
      </c>
      <c r="C26" s="42" t="s">
        <v>52</v>
      </c>
      <c r="D26" s="19" t="s">
        <v>54</v>
      </c>
      <c r="E26" s="16" t="s">
        <v>17</v>
      </c>
      <c r="F26" s="42" t="s">
        <v>52</v>
      </c>
      <c r="G26" s="15" t="s">
        <v>54</v>
      </c>
    </row>
    <row r="27" spans="1:7" ht="128" x14ac:dyDescent="0.2">
      <c r="B27" s="16" t="s">
        <v>18</v>
      </c>
      <c r="C27" s="42" t="s">
        <v>52</v>
      </c>
      <c r="D27" s="19" t="s">
        <v>54</v>
      </c>
      <c r="E27" s="16" t="s">
        <v>18</v>
      </c>
      <c r="F27" s="42" t="s">
        <v>52</v>
      </c>
      <c r="G27" s="15" t="s">
        <v>54</v>
      </c>
    </row>
    <row r="28" spans="1:7" ht="128" x14ac:dyDescent="0.2">
      <c r="B28" s="16" t="s">
        <v>19</v>
      </c>
      <c r="C28" s="42" t="s">
        <v>52</v>
      </c>
      <c r="D28" s="19" t="s">
        <v>54</v>
      </c>
      <c r="E28" s="16" t="s">
        <v>19</v>
      </c>
      <c r="F28" s="42" t="s">
        <v>52</v>
      </c>
      <c r="G28" s="15" t="s">
        <v>54</v>
      </c>
    </row>
    <row r="29" spans="1:7" ht="128" x14ac:dyDescent="0.2">
      <c r="B29" s="16" t="s">
        <v>20</v>
      </c>
      <c r="C29" s="42" t="s">
        <v>52</v>
      </c>
      <c r="D29" s="19" t="s">
        <v>54</v>
      </c>
      <c r="E29" s="16" t="s">
        <v>20</v>
      </c>
      <c r="F29" s="42" t="s">
        <v>52</v>
      </c>
      <c r="G29" s="15" t="s">
        <v>54</v>
      </c>
    </row>
    <row r="30" spans="1:7" ht="128" x14ac:dyDescent="0.2">
      <c r="B30" s="16" t="s">
        <v>21</v>
      </c>
      <c r="C30" s="42" t="s">
        <v>52</v>
      </c>
      <c r="D30" s="19" t="s">
        <v>54</v>
      </c>
      <c r="E30" s="16" t="s">
        <v>21</v>
      </c>
      <c r="F30" s="42" t="s">
        <v>52</v>
      </c>
      <c r="G30" s="15" t="s">
        <v>54</v>
      </c>
    </row>
    <row r="31" spans="1:7" ht="128" x14ac:dyDescent="0.2">
      <c r="B31" s="16" t="s">
        <v>22</v>
      </c>
      <c r="C31" s="42" t="s">
        <v>52</v>
      </c>
      <c r="D31" s="19" t="s">
        <v>54</v>
      </c>
      <c r="E31" s="16" t="s">
        <v>22</v>
      </c>
      <c r="F31" s="42" t="s">
        <v>52</v>
      </c>
      <c r="G31" s="15" t="s">
        <v>54</v>
      </c>
    </row>
    <row r="32" spans="1:7" ht="128" x14ac:dyDescent="0.2">
      <c r="B32" s="16" t="s">
        <v>23</v>
      </c>
      <c r="C32" s="42" t="s">
        <v>52</v>
      </c>
      <c r="D32" s="19" t="s">
        <v>54</v>
      </c>
      <c r="E32" s="16" t="s">
        <v>23</v>
      </c>
      <c r="F32" s="42" t="s">
        <v>52</v>
      </c>
      <c r="G32" s="15" t="s">
        <v>54</v>
      </c>
    </row>
    <row r="33" spans="1:7" ht="128" x14ac:dyDescent="0.2">
      <c r="B33" s="16" t="s">
        <v>11</v>
      </c>
      <c r="C33" s="15" t="s">
        <v>57</v>
      </c>
      <c r="D33" s="19" t="s">
        <v>56</v>
      </c>
      <c r="E33" s="16" t="s">
        <v>11</v>
      </c>
      <c r="F33" s="15" t="str">
        <f>C33</f>
        <v>Formula divides the annual cost of Telephone Services by 12 to get a monthly cost</v>
      </c>
      <c r="G33" s="15" t="str">
        <f>D33</f>
        <v>Formula calculates the cost of Telephone Services for an adult by dividing the average amount spent by a consumer unit by the number of adults in the reference consumer unit (by taking the average number of persons in the consumer unit and subtracting the average number of children under the age of 18)</v>
      </c>
    </row>
    <row r="34" spans="1:7" ht="112" x14ac:dyDescent="0.2">
      <c r="B34" s="18" t="s">
        <v>31</v>
      </c>
      <c r="C34" s="14" t="s">
        <v>55</v>
      </c>
      <c r="F34" s="15"/>
    </row>
    <row r="35" spans="1:7" x14ac:dyDescent="0.2">
      <c r="F35" s="15"/>
    </row>
    <row r="36" spans="1:7" ht="96" x14ac:dyDescent="0.2">
      <c r="A36" s="16" t="s">
        <v>12</v>
      </c>
      <c r="B36" s="17" t="s">
        <v>38</v>
      </c>
      <c r="D36" s="19" t="s">
        <v>63</v>
      </c>
      <c r="F36" s="15"/>
      <c r="G36" s="15" t="s">
        <v>58</v>
      </c>
    </row>
    <row r="38" spans="1:7" ht="48" x14ac:dyDescent="0.2">
      <c r="A38" s="16" t="s">
        <v>59</v>
      </c>
      <c r="B38" s="11"/>
      <c r="C38" s="23"/>
      <c r="D38" s="26" t="s">
        <v>64</v>
      </c>
      <c r="E38" s="11"/>
      <c r="F38" s="25"/>
      <c r="G38" s="26" t="s">
        <v>64</v>
      </c>
    </row>
    <row r="39" spans="1:7" x14ac:dyDescent="0.2">
      <c r="B39"/>
      <c r="C39" s="3"/>
      <c r="D39" s="30"/>
      <c r="E39"/>
      <c r="F39" s="2"/>
      <c r="G39" s="1"/>
    </row>
    <row r="40" spans="1:7" ht="32" x14ac:dyDescent="0.2">
      <c r="A40" s="17" t="s">
        <v>60</v>
      </c>
      <c r="B40"/>
      <c r="C40" s="40" t="s">
        <v>65</v>
      </c>
      <c r="D40" s="15" t="s">
        <v>66</v>
      </c>
      <c r="E40"/>
      <c r="F40" s="2"/>
      <c r="G40" s="12" t="s">
        <v>67</v>
      </c>
    </row>
    <row r="41" spans="1:7" x14ac:dyDescent="0.2">
      <c r="B41"/>
      <c r="C41" s="3"/>
      <c r="D41" s="30"/>
      <c r="E41"/>
      <c r="F41" s="2"/>
      <c r="G41" s="1"/>
    </row>
    <row r="42" spans="1:7" ht="48" x14ac:dyDescent="0.2">
      <c r="A42" s="17" t="s">
        <v>61</v>
      </c>
      <c r="B42"/>
      <c r="C42" s="41" t="s">
        <v>68</v>
      </c>
      <c r="D42" s="31" t="s">
        <v>69</v>
      </c>
      <c r="E42"/>
      <c r="F42" s="2"/>
      <c r="G42" s="12" t="s">
        <v>70</v>
      </c>
    </row>
    <row r="43" spans="1:7" x14ac:dyDescent="0.2">
      <c r="B43"/>
      <c r="C43" s="3"/>
      <c r="D43" s="30"/>
      <c r="E43"/>
      <c r="F43" s="2"/>
      <c r="G43" s="1"/>
    </row>
    <row r="44" spans="1:7" ht="32" x14ac:dyDescent="0.2">
      <c r="A44" s="16" t="s">
        <v>62</v>
      </c>
      <c r="B44" s="11"/>
      <c r="C44" s="23"/>
      <c r="D44" s="27" t="s">
        <v>87</v>
      </c>
      <c r="E44" s="11"/>
      <c r="F44" s="25"/>
      <c r="G44" s="27" t="s">
        <v>71</v>
      </c>
    </row>
    <row r="45" spans="1:7" x14ac:dyDescent="0.2">
      <c r="A45"/>
      <c r="B45"/>
      <c r="C45" s="3"/>
      <c r="D45" s="1"/>
      <c r="E45"/>
    </row>
    <row r="46" spans="1:7" x14ac:dyDescent="0.2">
      <c r="A46"/>
      <c r="B46"/>
      <c r="C46" s="3"/>
      <c r="D46" s="1"/>
      <c r="E46"/>
    </row>
    <row r="47" spans="1:7" ht="48" x14ac:dyDescent="0.2">
      <c r="A47" s="32" t="s">
        <v>76</v>
      </c>
      <c r="B47" s="3"/>
      <c r="C47" s="1"/>
      <c r="D47"/>
      <c r="E47"/>
    </row>
    <row r="48" spans="1:7" ht="192" x14ac:dyDescent="0.2">
      <c r="A48" s="33">
        <v>0</v>
      </c>
      <c r="B48" s="1">
        <v>10000</v>
      </c>
      <c r="C48" s="61" t="s">
        <v>101</v>
      </c>
      <c r="D48" s="1"/>
    </row>
    <row r="49" spans="1:5" ht="208" x14ac:dyDescent="0.2">
      <c r="A49" s="33">
        <v>10000</v>
      </c>
      <c r="B49" s="1">
        <v>14999</v>
      </c>
      <c r="C49" s="61" t="s">
        <v>109</v>
      </c>
      <c r="D49" s="33"/>
    </row>
    <row r="50" spans="1:5" ht="208" x14ac:dyDescent="0.2">
      <c r="A50" s="33">
        <v>15000</v>
      </c>
      <c r="B50" s="1">
        <v>24999</v>
      </c>
      <c r="C50" s="61" t="s">
        <v>110</v>
      </c>
      <c r="D50" s="33"/>
    </row>
    <row r="51" spans="1:5" ht="208" x14ac:dyDescent="0.2">
      <c r="A51" s="33">
        <v>25000</v>
      </c>
      <c r="B51" s="1">
        <v>34999</v>
      </c>
      <c r="C51" s="61" t="s">
        <v>111</v>
      </c>
      <c r="D51" s="33"/>
    </row>
    <row r="52" spans="1:5" x14ac:dyDescent="0.2">
      <c r="A52"/>
      <c r="B52" s="3"/>
      <c r="C52" s="1"/>
      <c r="D52"/>
      <c r="E52"/>
    </row>
    <row r="53" spans="1:5" x14ac:dyDescent="0.2">
      <c r="A53"/>
      <c r="B53" s="3"/>
      <c r="C53" s="1"/>
      <c r="D53"/>
      <c r="E53"/>
    </row>
    <row r="54" spans="1:5" x14ac:dyDescent="0.2">
      <c r="A54" t="s">
        <v>81</v>
      </c>
      <c r="B54" s="3"/>
      <c r="C54" s="1"/>
      <c r="D54"/>
      <c r="E54"/>
    </row>
    <row r="55" spans="1:5" ht="160" x14ac:dyDescent="0.2">
      <c r="A55" t="s">
        <v>82</v>
      </c>
      <c r="B55" s="31" t="s">
        <v>103</v>
      </c>
      <c r="C55" s="1"/>
      <c r="D55"/>
      <c r="E55"/>
    </row>
    <row r="56" spans="1:5" ht="160" x14ac:dyDescent="0.2">
      <c r="A56" t="s">
        <v>83</v>
      </c>
      <c r="B56" s="31" t="s">
        <v>104</v>
      </c>
      <c r="C56" s="1"/>
      <c r="D56"/>
      <c r="E56"/>
    </row>
    <row r="57" spans="1:5" x14ac:dyDescent="0.2">
      <c r="A57"/>
      <c r="B57"/>
      <c r="C57" s="3"/>
      <c r="D57" s="1"/>
      <c r="E57"/>
    </row>
    <row r="58" spans="1:5" ht="32" x14ac:dyDescent="0.2">
      <c r="A58" s="32" t="s">
        <v>84</v>
      </c>
      <c r="B58" s="34" t="s">
        <v>112</v>
      </c>
      <c r="C58" s="3"/>
      <c r="D58" s="1"/>
      <c r="E58"/>
    </row>
    <row r="59" spans="1:5" ht="365" x14ac:dyDescent="0.2">
      <c r="A59" t="s">
        <v>85</v>
      </c>
      <c r="B59" s="60" t="s">
        <v>102</v>
      </c>
      <c r="C59" s="3"/>
      <c r="D59" s="1"/>
      <c r="E59"/>
    </row>
    <row r="60" spans="1:5" ht="48" x14ac:dyDescent="0.2">
      <c r="A60" s="32" t="s">
        <v>86</v>
      </c>
      <c r="B60" s="32" t="s">
        <v>105</v>
      </c>
      <c r="C60" s="3"/>
      <c r="D60" s="1"/>
      <c r="E60"/>
    </row>
    <row r="61" spans="1:5" x14ac:dyDescent="0.2">
      <c r="A61"/>
      <c r="B61"/>
      <c r="C61" s="3"/>
      <c r="D61" s="1"/>
      <c r="E61"/>
    </row>
    <row r="62" spans="1:5" ht="48" x14ac:dyDescent="0.2">
      <c r="A62" s="39" t="s">
        <v>88</v>
      </c>
      <c r="B62"/>
      <c r="C62" s="3"/>
      <c r="D62" s="1"/>
      <c r="E62"/>
    </row>
    <row r="63" spans="1:5" ht="64" x14ac:dyDescent="0.2">
      <c r="A63"/>
      <c r="B63" t="s">
        <v>89</v>
      </c>
      <c r="C63" s="62" t="s">
        <v>106</v>
      </c>
      <c r="D63" s="1"/>
      <c r="E63"/>
    </row>
    <row r="64" spans="1:5" ht="48" x14ac:dyDescent="0.2">
      <c r="A64"/>
      <c r="B64" t="s">
        <v>82</v>
      </c>
      <c r="C64" s="63" t="s">
        <v>107</v>
      </c>
      <c r="D64" s="1"/>
      <c r="E64"/>
    </row>
    <row r="65" spans="1:5" ht="48" x14ac:dyDescent="0.2">
      <c r="A65"/>
      <c r="B65" t="s">
        <v>83</v>
      </c>
      <c r="C65" s="63" t="s">
        <v>108</v>
      </c>
      <c r="D65" s="1"/>
      <c r="E65"/>
    </row>
  </sheetData>
  <sheetProtection sheet="1" objects="1" scenarios="1"/>
  <pageMargins left="0.7" right="0.7" top="0.75" bottom="0.75" header="0.3" footer="0.3"/>
  <pageSetup orientation="portrait" horizontalDpi="4294967292" verticalDpi="4294967292"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7D9A59-AF96-B24B-997C-89DBF264976F}">
  <dimension ref="A2:C9"/>
  <sheetViews>
    <sheetView workbookViewId="0">
      <selection activeCell="J14" sqref="J14"/>
    </sheetView>
  </sheetViews>
  <sheetFormatPr baseColWidth="10" defaultRowHeight="15" x14ac:dyDescent="0.2"/>
  <cols>
    <col min="1" max="1" width="22.33203125" customWidth="1"/>
    <col min="2" max="2" width="27" customWidth="1"/>
    <col min="3" max="3" width="33.1640625" customWidth="1"/>
  </cols>
  <sheetData>
    <row r="2" spans="1:3" ht="48" x14ac:dyDescent="0.2">
      <c r="A2" s="54" t="s">
        <v>100</v>
      </c>
      <c r="B2" s="64">
        <f>'Locality 2020'!N55</f>
        <v>0</v>
      </c>
      <c r="C2" s="1"/>
    </row>
    <row r="3" spans="1:3" ht="48" x14ac:dyDescent="0.2">
      <c r="A3" s="54" t="s">
        <v>84</v>
      </c>
      <c r="B3" s="55" t="e">
        <f>'Locality 2020'!N53</f>
        <v>#DIV/0!</v>
      </c>
      <c r="C3" s="1"/>
    </row>
    <row r="4" spans="1:3" x14ac:dyDescent="0.2">
      <c r="B4" s="1"/>
      <c r="C4" s="1"/>
    </row>
    <row r="5" spans="1:3" x14ac:dyDescent="0.2">
      <c r="B5" s="1"/>
      <c r="C5" s="1"/>
    </row>
    <row r="6" spans="1:3" x14ac:dyDescent="0.2">
      <c r="A6" s="5"/>
      <c r="B6" s="46" t="s">
        <v>82</v>
      </c>
      <c r="C6" s="46" t="s">
        <v>83</v>
      </c>
    </row>
    <row r="7" spans="1:3" x14ac:dyDescent="0.2">
      <c r="A7" s="28" t="s">
        <v>75</v>
      </c>
      <c r="B7" s="59">
        <f>'Locality 2020'!N50</f>
        <v>0</v>
      </c>
      <c r="C7" s="59">
        <f>'Locality 2020'!N51</f>
        <v>0</v>
      </c>
    </row>
    <row r="8" spans="1:3" x14ac:dyDescent="0.2">
      <c r="A8" s="5"/>
      <c r="B8" s="6"/>
      <c r="C8" s="6"/>
    </row>
    <row r="9" spans="1:3" ht="48" x14ac:dyDescent="0.2">
      <c r="A9" s="54" t="s">
        <v>93</v>
      </c>
      <c r="B9" s="55" t="e">
        <f>'Locality 2020'!O59</f>
        <v>#DIV/0!</v>
      </c>
      <c r="C9" s="55" t="e">
        <f>'Locality 2020'!O60</f>
        <v>#DIV/0!</v>
      </c>
    </row>
  </sheetData>
  <sheetProtection sheet="1" objects="1" scenarios="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5</vt:i4>
      </vt:variant>
    </vt:vector>
  </HeadingPairs>
  <TitlesOfParts>
    <vt:vector size="5" baseType="lpstr">
      <vt:lpstr>2020 Summary</vt:lpstr>
      <vt:lpstr>Locality 2020</vt:lpstr>
      <vt:lpstr>Data Form</vt:lpstr>
      <vt:lpstr>Methodology</vt:lpstr>
      <vt:lpstr>Local Income Deficit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Ridge Schuyler</dc:creator>
  <cp:lastModifiedBy>Charles Schuyler</cp:lastModifiedBy>
  <dcterms:created xsi:type="dcterms:W3CDTF">2013-01-31T14:19:02Z</dcterms:created>
  <dcterms:modified xsi:type="dcterms:W3CDTF">2020-11-17T20:23:08Z</dcterms:modified>
</cp:coreProperties>
</file>